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询价\3.15成都领地中心-吴姐-市场价值\"/>
    </mc:Choice>
  </mc:AlternateContent>
  <xr:revisionPtr revIDLastSave="0" documentId="13_ncr:1_{B11AA25E-1D5F-4D25-AE4A-AC511A0AC5DB}" xr6:coauthVersionLast="45" xr6:coauthVersionMax="45" xr10:uidLastSave="{00000000-0000-0000-0000-000000000000}"/>
  <bookViews>
    <workbookView xWindow="0" yWindow="0" windowWidth="13320" windowHeight="12120" tabRatio="899" firstSheet="15"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定义" sheetId="10" r:id="rId11"/>
    <sheet name="面积表" sheetId="95" r:id="rId12"/>
    <sheet name="数据-基础表" sheetId="3" r:id="rId13"/>
    <sheet name="抵押物清单（分楼）" sheetId="42" state="hidden" r:id="rId14"/>
    <sheet name="数据-汇总表" sheetId="6" r:id="rId15"/>
    <sheet name="数据-取费表" sheetId="1" r:id="rId16"/>
    <sheet name="房天下" sheetId="97" r:id="rId17"/>
    <sheet name="市场分析" sheetId="96" r:id="rId18"/>
    <sheet name="估价对象房地状况" sheetId="20" r:id="rId19"/>
    <sheet name="系统读取表" sheetId="74" r:id="rId20"/>
    <sheet name="结果一览表" sheetId="84" state="hidden" r:id="rId21"/>
    <sheet name="结果表商" sheetId="9" r:id="rId22"/>
    <sheet name="成本法商租" sheetId="68" state="hidden" r:id="rId23"/>
    <sheet name="比较法-商业" sheetId="33" r:id="rId24"/>
    <sheet name="典型户型修正" sheetId="31" r:id="rId25"/>
    <sheet name="成本法商自" sheetId="93" state="hidden" r:id="rId26"/>
    <sheet name="收益法商" sheetId="77" r:id="rId27"/>
    <sheet name="收益法商自" sheetId="90" state="hidden" r:id="rId28"/>
    <sheet name="收益法商（汇总）" sheetId="70" state="hidden" r:id="rId29"/>
    <sheet name="结果表办" sheetId="78" r:id="rId30"/>
    <sheet name="比较法-办公" sheetId="34" r:id="rId31"/>
    <sheet name="成本法 (元)" sheetId="69" state="hidden" r:id="rId32"/>
    <sheet name="假设开发法" sheetId="12" state="hidden" r:id="rId33"/>
    <sheet name="收益法 (元)" sheetId="67" state="hidden" r:id="rId34"/>
    <sheet name="典型户型修正办" sheetId="82" state="hidden" r:id="rId35"/>
    <sheet name="收益法办" sheetId="91" r:id="rId36"/>
    <sheet name="收益法办自" sheetId="15" state="hidden" r:id="rId37"/>
    <sheet name="比较法-住宅" sheetId="21" state="hidden" r:id="rId38"/>
    <sheet name="比较法-工业" sheetId="37" state="hidden" r:id="rId39"/>
    <sheet name="收益法办（汇总）" sheetId="92" state="hidden" r:id="rId40"/>
    <sheet name="结果表车" sheetId="88" r:id="rId41"/>
    <sheet name="比较法-车位" sheetId="35" r:id="rId42"/>
    <sheet name="比较法-仓储" sheetId="36" state="hidden" r:id="rId43"/>
    <sheet name="土地比较法-工业" sheetId="40" state="hidden" r:id="rId44"/>
    <sheet name="收益法车库" sheetId="87" r:id="rId45"/>
    <sheet name="结果表酒店" sheetId="80" r:id="rId46"/>
    <sheet name="土地比较法-住宅、综合" sheetId="85" r:id="rId47"/>
    <sheet name="土地案例" sheetId="81" r:id="rId48"/>
    <sheet name="成本法酒店" sheetId="86" r:id="rId49"/>
    <sheet name="基准地价修正" sheetId="43" state="hidden" r:id="rId50"/>
    <sheet name="修正" sheetId="45" state="hidden" r:id="rId51"/>
    <sheet name="容积率修正" sheetId="46" state="hidden" r:id="rId52"/>
    <sheet name="基准地价（汇总）" sheetId="76" state="hidden" r:id="rId53"/>
    <sheet name="收益法酒店" sheetId="79" r:id="rId54"/>
    <sheet name="酒店收入计算" sheetId="66" r:id="rId55"/>
    <sheet name="地价" sheetId="71"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s>
  <definedNames>
    <definedName name="_xlnm._FilterDatabase" localSheetId="30" hidden="1">'比较法-办公'!$A$1:$L$50</definedName>
    <definedName name="_xlnm._FilterDatabase" localSheetId="42" hidden="1">'比较法-仓储'!$A$1:$L$37</definedName>
    <definedName name="_xlnm._FilterDatabase" localSheetId="41" hidden="1">'比较法-车位'!$A$1:$L$39</definedName>
    <definedName name="_xlnm._FilterDatabase" localSheetId="38" hidden="1">'比较法-工业'!$A$1:$L$43</definedName>
    <definedName name="_xlnm._FilterDatabase" localSheetId="23" hidden="1">'比较法-商业'!$A$1:$L$49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6" hidden="1">'土地比较法-住宅、综合'!$A$1:$L$48</definedName>
    <definedName name="_xlnm._FilterDatabase" localSheetId="9" hidden="1">项目基本情况!$A$42:$N$42</definedName>
    <definedName name="_xlnm.Print_Area" localSheetId="8">估价师及机构信息!$A$1:$F$29</definedName>
    <definedName name="_xlnm.Print_Area" localSheetId="33">'收益法 (元)'!$A$1:$AK$69</definedName>
    <definedName name="_xlnm.Print_Area" localSheetId="35">收益法办!$A$1:$AK$69</definedName>
    <definedName name="_xlnm.Print_Area" localSheetId="36">收益法办自!$A$1:$AK$69</definedName>
    <definedName name="_xlnm.Print_Area" localSheetId="44">收益法车库!$A$1:$AK$69</definedName>
    <definedName name="_xlnm.Print_Area" localSheetId="53">收益法酒店!$A$1:$AK$69</definedName>
    <definedName name="_xlnm.Print_Area" localSheetId="26">收益法商!$A$1:$AK$69</definedName>
    <definedName name="_xlnm.Print_Area" localSheetId="27">收益法商自!$A$1:$AK$69</definedName>
    <definedName name="_xlnm.Print_Area" localSheetId="14">'数据-汇总表'!$A$1:$P$32</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25">#REF!</definedName>
    <definedName name="套工交易情况" localSheetId="35">#REF!</definedName>
    <definedName name="套工交易情况" localSheetId="39">#REF!</definedName>
    <definedName name="套工交易情况" localSheetId="27">#REF!</definedName>
    <definedName name="套工交易情况" localSheetId="46">'土地比较法-住宅、综合'!$A$73:$M$73</definedName>
    <definedName name="套工交易情况">#REF!</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25">#REF!</definedName>
    <definedName name="套综道路等级" localSheetId="35">#REF!</definedName>
    <definedName name="套综道路等级" localSheetId="39">#REF!</definedName>
    <definedName name="套综道路等级" localSheetId="27">#REF!</definedName>
    <definedName name="套综道路等级" localSheetId="46">'土地比较法-住宅、综合'!$B$106:$M$106</definedName>
    <definedName name="套综道路等级">#REF!</definedName>
    <definedName name="套综工程地质条件" localSheetId="25">#REF!</definedName>
    <definedName name="套综工程地质条件" localSheetId="35">#REF!</definedName>
    <definedName name="套综工程地质条件" localSheetId="39">#REF!</definedName>
    <definedName name="套综工程地质条件" localSheetId="27">#REF!</definedName>
    <definedName name="套综工程地质条件" localSheetId="46">'土地比较法-住宅、综合'!$B$125:$M$125</definedName>
    <definedName name="套综工程地质条件">#REF!</definedName>
    <definedName name="套综交易情况" localSheetId="25">#REF!</definedName>
    <definedName name="套综交易情况" localSheetId="35">#REF!</definedName>
    <definedName name="套综交易情况" localSheetId="39">#REF!</definedName>
    <definedName name="套综交易情况" localSheetId="27">#REF!</definedName>
    <definedName name="套综交易情况" localSheetId="46">'土地比较法-住宅、综合'!$A$73:$M$73</definedName>
    <definedName name="套综交易情况">#REF!</definedName>
    <definedName name="套综临街宽度及深度" localSheetId="25">#REF!</definedName>
    <definedName name="套综临街宽度及深度" localSheetId="35">#REF!</definedName>
    <definedName name="套综临街宽度及深度" localSheetId="39">#REF!</definedName>
    <definedName name="套综临街宽度及深度" localSheetId="27">#REF!</definedName>
    <definedName name="套综临街宽度及深度" localSheetId="46">'土地比较法-住宅、综合'!$B$121:$M$121</definedName>
    <definedName name="套综临街宽度及深度">#REF!</definedName>
    <definedName name="套综土地级别" localSheetId="25">#REF!</definedName>
    <definedName name="套综土地级别" localSheetId="35">#REF!</definedName>
    <definedName name="套综土地级别" localSheetId="39">#REF!</definedName>
    <definedName name="套综土地级别" localSheetId="27">#REF!</definedName>
    <definedName name="套综土地级别" localSheetId="46">'土地比较法-住宅、综合'!$B$108:$M$108</definedName>
    <definedName name="套综土地级别">#REF!</definedName>
    <definedName name="套综用途" localSheetId="25">#REF!</definedName>
    <definedName name="套综用途" localSheetId="35">#REF!</definedName>
    <definedName name="套综用途" localSheetId="39">#REF!</definedName>
    <definedName name="套综用途" localSheetId="27">#REF!</definedName>
    <definedName name="套综用途" localSheetId="46">'土地比较法-住宅、综合'!$B$75:$M$75</definedName>
    <definedName name="套综用途">#REF!</definedName>
    <definedName name="套综宗地内开发程度" localSheetId="25">#REF!</definedName>
    <definedName name="套综宗地内开发程度" localSheetId="35">#REF!</definedName>
    <definedName name="套综宗地内开发程度" localSheetId="39">#REF!</definedName>
    <definedName name="套综宗地内开发程度" localSheetId="27">#REF!</definedName>
    <definedName name="套综宗地内开发程度" localSheetId="46">'土地比较法-住宅、综合'!$B$123:$M$123</definedName>
    <definedName name="套综宗地内开发程度">#REF!</definedName>
    <definedName name="套综宗地形状" localSheetId="25">#REF!</definedName>
    <definedName name="套综宗地形状" localSheetId="35">#REF!</definedName>
    <definedName name="套综宗地形状" localSheetId="39">#REF!</definedName>
    <definedName name="套综宗地形状" localSheetId="27">#REF!</definedName>
    <definedName name="套综宗地形状" localSheetId="46">'土地比较法-住宅、综合'!$B$119:$M$119</definedName>
    <definedName name="套综宗地形状">#REF!</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34">典型户型修正办!$5:$5</definedName>
    <definedName name="一修多修正项2" localSheetId="46">[1]典型户型修正!$5:$5</definedName>
    <definedName name="一修多修正项2">典型户型修正!$5:$5</definedName>
    <definedName name="一修多修正项3" localSheetId="34">典型户型修正办!$7:$7</definedName>
    <definedName name="一修多修正项3" localSheetId="46">[1]典型户型修正!$7:$7</definedName>
    <definedName name="一修多修正项3">典型户型修正!$7:$7</definedName>
    <definedName name="一修多修正项4" localSheetId="34">典型户型修正办!$9:$9</definedName>
    <definedName name="一修多修正项4" localSheetId="46">[1]典型户型修正!$9:$9</definedName>
    <definedName name="一修多修正项4">典型户型修正!$9:$9</definedName>
    <definedName name="一修多修正项5" localSheetId="34">典型户型修正办!$11:$11</definedName>
    <definedName name="一修多修正项5" localSheetId="46">[1]典型户型修正!$11:$11</definedName>
    <definedName name="一修多修正项5">典型户型修正!$11:$11</definedName>
    <definedName name="一修多修正项6" localSheetId="34">典型户型修正办!$13:$13</definedName>
    <definedName name="一修多修正项6" localSheetId="46">[1]典型户型修正!$13:$13</definedName>
    <definedName name="一修多修正项6">典型户型修正!$13:$13</definedName>
    <definedName name="一修多修正项7" localSheetId="34">典型户型修正办!$15:$15</definedName>
    <definedName name="一修多修正项7" localSheetId="46">[1]典型户型修正!$15:$15</definedName>
    <definedName name="一修多修正项7">典型户型修正!$15:$15</definedName>
    <definedName name="一修多修正项8" localSheetId="34">典型户型修正办!$17:$17</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[1]估价师及机构信息!$A$3:$A$24</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74" l="1"/>
  <c r="I3" i="66"/>
  <c r="I10" i="66"/>
  <c r="C28" i="66"/>
  <c r="I21" i="66"/>
  <c r="C29" i="66"/>
  <c r="C27" i="66"/>
  <c r="I4" i="66"/>
  <c r="I5" i="66"/>
  <c r="I6" i="66"/>
  <c r="I7" i="66"/>
  <c r="I8" i="66"/>
  <c r="I9" i="66"/>
  <c r="A6" i="1"/>
  <c r="G1" i="77"/>
  <c r="G13" i="95"/>
  <c r="G15" i="95"/>
  <c r="G16" i="95"/>
  <c r="G17" i="95"/>
  <c r="G18" i="95"/>
  <c r="E14" i="95"/>
  <c r="G19" i="95"/>
  <c r="U6" i="1"/>
  <c r="F6" i="77"/>
  <c r="F8" i="77"/>
  <c r="I13" i="3"/>
  <c r="F19" i="6"/>
  <c r="G19" i="6"/>
  <c r="E19" i="6"/>
  <c r="K6" i="1"/>
  <c r="AH6" i="1"/>
  <c r="F7" i="77"/>
  <c r="F9" i="77"/>
  <c r="C6" i="77"/>
  <c r="D3" i="4"/>
  <c r="C1" i="73"/>
  <c r="L1" i="73"/>
  <c r="F4" i="73"/>
  <c r="I1" i="73"/>
  <c r="B39" i="1"/>
  <c r="F11" i="77"/>
  <c r="C10" i="77"/>
  <c r="C5" i="77"/>
  <c r="L22" i="66"/>
  <c r="L21" i="66"/>
  <c r="L23" i="66"/>
  <c r="C30" i="66"/>
  <c r="C31" i="66"/>
  <c r="C32" i="66"/>
  <c r="E26" i="66"/>
  <c r="U11" i="1"/>
  <c r="Z8" i="1"/>
  <c r="R47" i="33"/>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D87" i="33"/>
  <c r="E87" i="33"/>
  <c r="F25" i="33"/>
  <c r="AA25" i="33"/>
  <c r="B88" i="33"/>
  <c r="D89" i="33"/>
  <c r="F26" i="33"/>
  <c r="AA26" i="33"/>
  <c r="B90" i="33"/>
  <c r="D91" i="33"/>
  <c r="F27" i="33"/>
  <c r="AA27" i="33"/>
  <c r="B92" i="33"/>
  <c r="F28" i="33"/>
  <c r="AA28" i="33"/>
  <c r="B94" i="33"/>
  <c r="F29" i="33"/>
  <c r="AA29" i="33"/>
  <c r="B96" i="33"/>
  <c r="F30" i="33"/>
  <c r="AA30" i="33"/>
  <c r="B98" i="33"/>
  <c r="F31" i="33"/>
  <c r="AA31" i="33"/>
  <c r="F32" i="33"/>
  <c r="AA32" i="33"/>
  <c r="D104" i="33"/>
  <c r="E104" i="33"/>
  <c r="F104" i="33"/>
  <c r="G104" i="33"/>
  <c r="H104" i="33"/>
  <c r="F33" i="33"/>
  <c r="AA33" i="33"/>
  <c r="F34" i="33"/>
  <c r="AA34" i="33"/>
  <c r="F35" i="33"/>
  <c r="AA35" i="33"/>
  <c r="D111" i="33"/>
  <c r="E111" i="33"/>
  <c r="F111" i="33"/>
  <c r="F36" i="33"/>
  <c r="AA36" i="33"/>
  <c r="D113" i="33"/>
  <c r="F37" i="33"/>
  <c r="AA37" i="33"/>
  <c r="F38" i="33"/>
  <c r="AA38" i="33"/>
  <c r="D117" i="33"/>
  <c r="F39" i="33"/>
  <c r="AA39" i="33"/>
  <c r="F40" i="33"/>
  <c r="AA40" i="33"/>
  <c r="F41" i="33"/>
  <c r="AA41" i="33"/>
  <c r="D123"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R24" i="31"/>
  <c r="B24" i="31"/>
  <c r="S24" i="31"/>
  <c r="B25" i="31"/>
  <c r="H3" i="31"/>
  <c r="J3" i="31"/>
  <c r="I3" i="31"/>
  <c r="H4" i="31"/>
  <c r="C25" i="31"/>
  <c r="B5" i="31"/>
  <c r="C5" i="31"/>
  <c r="D5" i="31"/>
  <c r="E5" i="31"/>
  <c r="F5" i="31"/>
  <c r="T5" i="31"/>
  <c r="D6" i="31"/>
  <c r="E6" i="31"/>
  <c r="F6" i="31"/>
  <c r="G6" i="31"/>
  <c r="H6" i="31"/>
  <c r="I6" i="31"/>
  <c r="J6" i="31"/>
  <c r="K6" i="31"/>
  <c r="L6" i="31"/>
  <c r="M6" i="31"/>
  <c r="N6" i="31"/>
  <c r="O6" i="31"/>
  <c r="P6" i="31"/>
  <c r="Q6" i="31"/>
  <c r="R6" i="31"/>
  <c r="S6" i="31"/>
  <c r="E25" i="31"/>
  <c r="B7" i="31"/>
  <c r="C7" i="31"/>
  <c r="D7" i="31"/>
  <c r="E7" i="31"/>
  <c r="F7" i="31"/>
  <c r="G7" i="31"/>
  <c r="D8" i="31"/>
  <c r="E8" i="31"/>
  <c r="F8" i="31"/>
  <c r="G8" i="31"/>
  <c r="H8" i="31"/>
  <c r="I8" i="31"/>
  <c r="J8" i="31"/>
  <c r="K8" i="31"/>
  <c r="L8" i="31"/>
  <c r="M8" i="31"/>
  <c r="N8" i="31"/>
  <c r="O8" i="31"/>
  <c r="P8" i="31"/>
  <c r="Q8" i="31"/>
  <c r="R8" i="31"/>
  <c r="S8" i="31"/>
  <c r="G25" i="31"/>
  <c r="B9" i="31"/>
  <c r="C9" i="31"/>
  <c r="D9" i="31"/>
  <c r="E9" i="31"/>
  <c r="F9" i="31"/>
  <c r="G9" i="31"/>
  <c r="D10" i="31"/>
  <c r="E10" i="31"/>
  <c r="F10" i="31"/>
  <c r="G10" i="31"/>
  <c r="H10" i="31"/>
  <c r="I10" i="31"/>
  <c r="J10" i="31"/>
  <c r="K10" i="31"/>
  <c r="L10" i="31"/>
  <c r="M10" i="31"/>
  <c r="N10" i="31"/>
  <c r="O10" i="31"/>
  <c r="P10" i="31"/>
  <c r="Q10" i="31"/>
  <c r="R10" i="31"/>
  <c r="S10" i="31"/>
  <c r="I25" i="31"/>
  <c r="K25" i="31"/>
  <c r="M25" i="31"/>
  <c r="O25" i="31"/>
  <c r="Q25" i="31"/>
  <c r="R25" i="31"/>
  <c r="S25" i="31"/>
  <c r="B26" i="31"/>
  <c r="I104" i="33"/>
  <c r="J104" i="33"/>
  <c r="J4" i="31"/>
  <c r="C26" i="31"/>
  <c r="E26" i="31"/>
  <c r="G26" i="31"/>
  <c r="I26" i="31"/>
  <c r="K26" i="31"/>
  <c r="M26" i="31"/>
  <c r="O26" i="31"/>
  <c r="Q26" i="31"/>
  <c r="R26" i="31"/>
  <c r="S26" i="31"/>
  <c r="B27" i="31"/>
  <c r="C27" i="31"/>
  <c r="E27" i="31"/>
  <c r="G27" i="31"/>
  <c r="I27" i="31"/>
  <c r="K27" i="31"/>
  <c r="M27" i="31"/>
  <c r="O27" i="31"/>
  <c r="Q27" i="31"/>
  <c r="R27" i="31"/>
  <c r="S27" i="31"/>
  <c r="B28" i="31"/>
  <c r="C28" i="31"/>
  <c r="E28" i="31"/>
  <c r="G28" i="31"/>
  <c r="I28" i="31"/>
  <c r="K28" i="31"/>
  <c r="M28" i="31"/>
  <c r="O28" i="31"/>
  <c r="Q28" i="31"/>
  <c r="R28" i="31"/>
  <c r="S28" i="31"/>
  <c r="B29" i="31"/>
  <c r="D3" i="31"/>
  <c r="F3" i="31"/>
  <c r="G3" i="31"/>
  <c r="G4" i="31"/>
  <c r="C29" i="31"/>
  <c r="E29" i="31"/>
  <c r="G29" i="31"/>
  <c r="I29" i="31"/>
  <c r="K29" i="31"/>
  <c r="M29" i="31"/>
  <c r="O29" i="31"/>
  <c r="Q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A24" i="31"/>
  <c r="A25" i="31"/>
  <c r="A26" i="31"/>
  <c r="A27" i="31"/>
  <c r="A28" i="31"/>
  <c r="A29" i="31"/>
  <c r="B22" i="31"/>
  <c r="R22" i="31"/>
  <c r="B21" i="31"/>
  <c r="C19" i="9"/>
  <c r="B43" i="1"/>
  <c r="B41" i="1"/>
  <c r="F32" i="77"/>
  <c r="C42" i="1"/>
  <c r="C32" i="77"/>
  <c r="F33" i="77"/>
  <c r="C33" i="77"/>
  <c r="G8" i="95"/>
  <c r="A3" i="3"/>
  <c r="BB13" i="3"/>
  <c r="K13" i="3"/>
  <c r="BC13" i="3"/>
  <c r="M13" i="3"/>
  <c r="BD13" i="3"/>
  <c r="O13" i="3"/>
  <c r="BE13" i="3"/>
  <c r="E23" i="95"/>
  <c r="Q13" i="3"/>
  <c r="BF13" i="3"/>
  <c r="S13" i="3"/>
  <c r="BG13" i="3"/>
  <c r="BH13" i="3"/>
  <c r="BI13" i="3"/>
  <c r="BJ13" i="3"/>
  <c r="BK13" i="3"/>
  <c r="BA13" i="3"/>
  <c r="BM13" i="3"/>
  <c r="BN13" i="3"/>
  <c r="BO13" i="3"/>
  <c r="BP13" i="3"/>
  <c r="BQ13" i="3"/>
  <c r="AN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H19" i="6"/>
  <c r="R19" i="6"/>
  <c r="R6" i="1"/>
  <c r="F35" i="77"/>
  <c r="B52" i="1"/>
  <c r="F34" i="77"/>
  <c r="C34" i="77"/>
  <c r="C31" i="77"/>
  <c r="M6" i="1"/>
  <c r="BQ5" i="3"/>
  <c r="BS5" i="3"/>
  <c r="F28" i="6"/>
  <c r="BR5" i="3"/>
  <c r="BT5" i="3"/>
  <c r="G28" i="6"/>
  <c r="E28" i="6"/>
  <c r="E20" i="6"/>
  <c r="F21" i="6"/>
  <c r="E21" i="6"/>
  <c r="E22" i="6"/>
  <c r="G23" i="6"/>
  <c r="E23" i="6"/>
  <c r="F24" i="6"/>
  <c r="G24" i="6"/>
  <c r="E24" i="6"/>
  <c r="E25" i="6"/>
  <c r="E26" i="6"/>
  <c r="BA5" i="3"/>
  <c r="E27" i="6"/>
  <c r="K19" i="6"/>
  <c r="S6" i="1"/>
  <c r="T6" i="1"/>
  <c r="C14" i="77"/>
  <c r="F15" i="77"/>
  <c r="C15" i="77"/>
  <c r="F16" i="77"/>
  <c r="C16" i="77"/>
  <c r="F43" i="77"/>
  <c r="F17" i="77"/>
  <c r="C17" i="77"/>
  <c r="F18" i="77"/>
  <c r="C18" i="77"/>
  <c r="C19" i="77"/>
  <c r="F20" i="77"/>
  <c r="C20" i="77"/>
  <c r="J1" i="73"/>
  <c r="D6" i="73"/>
  <c r="B22" i="1"/>
  <c r="E1" i="73"/>
  <c r="K1" i="73"/>
  <c r="D5" i="73"/>
  <c r="G1" i="73"/>
  <c r="B40" i="1"/>
  <c r="F24" i="77"/>
  <c r="F23" i="77"/>
  <c r="C23" i="77"/>
  <c r="F26" i="77"/>
  <c r="C26" i="77"/>
  <c r="F21" i="77"/>
  <c r="C24" i="77"/>
  <c r="C27" i="77"/>
  <c r="F28" i="77"/>
  <c r="C28" i="77"/>
  <c r="C29" i="77"/>
  <c r="F36" i="77"/>
  <c r="C36" i="77"/>
  <c r="N6" i="1"/>
  <c r="Y6" i="1"/>
  <c r="F13" i="77"/>
  <c r="C13" i="77"/>
  <c r="F37" i="77"/>
  <c r="C37" i="77"/>
  <c r="F38" i="77"/>
  <c r="C38" i="77"/>
  <c r="C30" i="77"/>
  <c r="C39" i="77"/>
  <c r="F42" i="77"/>
  <c r="F40" i="77"/>
  <c r="E15" i="4"/>
  <c r="F6" i="1"/>
  <c r="L48" i="77"/>
  <c r="M47" i="77"/>
  <c r="J50" i="77"/>
  <c r="J51" i="77"/>
  <c r="J53" i="77"/>
  <c r="F1" i="77"/>
  <c r="AE6" i="1"/>
  <c r="F41" i="77"/>
  <c r="C40" i="77"/>
  <c r="M6" i="77"/>
  <c r="M8" i="77"/>
  <c r="M7" i="77"/>
  <c r="M9" i="77"/>
  <c r="J6" i="77"/>
  <c r="M11" i="77"/>
  <c r="J10" i="77"/>
  <c r="J5" i="77"/>
  <c r="J26" i="77"/>
  <c r="J29" i="77"/>
  <c r="J60" i="77"/>
  <c r="L46" i="77"/>
  <c r="B2" i="77"/>
  <c r="D19" i="9"/>
  <c r="C17" i="9"/>
  <c r="D17" i="9"/>
  <c r="C18" i="9"/>
  <c r="D18" i="9"/>
  <c r="G19" i="9"/>
  <c r="C24" i="9"/>
  <c r="C32" i="9"/>
  <c r="H118" i="9"/>
  <c r="D14" i="74"/>
  <c r="L14" i="74"/>
  <c r="R48" i="34"/>
  <c r="C7" i="34"/>
  <c r="C59" i="34"/>
  <c r="D59" i="34"/>
  <c r="E59" i="34"/>
  <c r="F59" i="34"/>
  <c r="G59" i="34"/>
  <c r="H59" i="34"/>
  <c r="I59" i="34"/>
  <c r="J59" i="34"/>
  <c r="K59" i="34"/>
  <c r="L59" i="34"/>
  <c r="M59" i="34"/>
  <c r="N59" i="34"/>
  <c r="O59" i="34"/>
  <c r="F7" i="34"/>
  <c r="AA7" i="34"/>
  <c r="F8" i="34"/>
  <c r="AA8" i="34"/>
  <c r="C64" i="34"/>
  <c r="F9" i="34"/>
  <c r="AA9" i="34"/>
  <c r="F67" i="34"/>
  <c r="G67" i="34"/>
  <c r="F10" i="34"/>
  <c r="AA10" i="34"/>
  <c r="F11" i="34"/>
  <c r="AA11" i="34"/>
  <c r="B71" i="34"/>
  <c r="F12" i="34"/>
  <c r="AA12" i="34"/>
  <c r="B73" i="34"/>
  <c r="F13" i="34"/>
  <c r="AA13" i="34"/>
  <c r="B75" i="34"/>
  <c r="F14" i="34"/>
  <c r="AA14" i="34"/>
  <c r="F15" i="34"/>
  <c r="AA15" i="34"/>
  <c r="K17" i="34"/>
  <c r="D80" i="34"/>
  <c r="F17" i="34"/>
  <c r="AA17" i="34"/>
  <c r="D82" i="34"/>
  <c r="E82" i="34"/>
  <c r="F19" i="34"/>
  <c r="AA19" i="34"/>
  <c r="F21" i="34"/>
  <c r="AA21" i="34"/>
  <c r="D86" i="34"/>
  <c r="F23" i="34"/>
  <c r="AA23" i="34"/>
  <c r="D88" i="34"/>
  <c r="E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C37"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D3" i="34"/>
  <c r="B2" i="34"/>
  <c r="C19" i="78"/>
  <c r="A7" i="1"/>
  <c r="A8" i="1"/>
  <c r="G1" i="91"/>
  <c r="F6" i="91"/>
  <c r="F8" i="91"/>
  <c r="K8" i="1"/>
  <c r="AH8" i="1"/>
  <c r="F7" i="91"/>
  <c r="F9" i="91"/>
  <c r="C6" i="91"/>
  <c r="F11" i="91"/>
  <c r="C10" i="91"/>
  <c r="C5" i="91"/>
  <c r="F32" i="91"/>
  <c r="C32" i="91"/>
  <c r="F33" i="91"/>
  <c r="C33" i="91"/>
  <c r="D21" i="6"/>
  <c r="H21" i="6"/>
  <c r="R21" i="6"/>
  <c r="R8" i="1"/>
  <c r="F35" i="91"/>
  <c r="F34" i="91"/>
  <c r="C34" i="91"/>
  <c r="C31" i="91"/>
  <c r="L8" i="1"/>
  <c r="M8" i="1"/>
  <c r="K21" i="6"/>
  <c r="S8" i="1"/>
  <c r="T8" i="1"/>
  <c r="C14" i="91"/>
  <c r="F15" i="91"/>
  <c r="C15" i="91"/>
  <c r="F16" i="91"/>
  <c r="C16" i="91"/>
  <c r="F43" i="91"/>
  <c r="F17" i="91"/>
  <c r="C17" i="91"/>
  <c r="F18" i="91"/>
  <c r="C18" i="91"/>
  <c r="C19" i="91"/>
  <c r="F20" i="91"/>
  <c r="C20" i="91"/>
  <c r="F24" i="91"/>
  <c r="F23" i="91"/>
  <c r="C23" i="91"/>
  <c r="F26" i="91"/>
  <c r="C26" i="91"/>
  <c r="F21" i="91"/>
  <c r="C24" i="91"/>
  <c r="C27" i="91"/>
  <c r="F28" i="91"/>
  <c r="C28" i="91"/>
  <c r="C29" i="91"/>
  <c r="F36" i="91"/>
  <c r="C36" i="91"/>
  <c r="N8" i="1"/>
  <c r="Y8" i="1"/>
  <c r="F13" i="91"/>
  <c r="C13" i="91"/>
  <c r="F37" i="91"/>
  <c r="C37" i="91"/>
  <c r="F38" i="91"/>
  <c r="C38" i="91"/>
  <c r="C30" i="91"/>
  <c r="C39" i="91"/>
  <c r="F42" i="91"/>
  <c r="F40" i="91"/>
  <c r="F41" i="91"/>
  <c r="C40" i="91"/>
  <c r="M6" i="91"/>
  <c r="M8" i="91"/>
  <c r="M7" i="91"/>
  <c r="M9" i="91"/>
  <c r="J6" i="91"/>
  <c r="M11" i="91"/>
  <c r="J10" i="91"/>
  <c r="J5" i="91"/>
  <c r="M18" i="91"/>
  <c r="J18" i="91"/>
  <c r="M19" i="91"/>
  <c r="J19" i="91"/>
  <c r="M21" i="91"/>
  <c r="M20" i="91"/>
  <c r="J20" i="91"/>
  <c r="J17" i="91"/>
  <c r="J14" i="91"/>
  <c r="M22" i="91"/>
  <c r="J22" i="91"/>
  <c r="AD8" i="1"/>
  <c r="J15" i="91"/>
  <c r="J13" i="91"/>
  <c r="M23" i="91"/>
  <c r="J23" i="91"/>
  <c r="M24" i="91"/>
  <c r="J24" i="91"/>
  <c r="J16" i="91"/>
  <c r="J25" i="91"/>
  <c r="M28" i="91"/>
  <c r="M26" i="91"/>
  <c r="F8" i="1"/>
  <c r="L48" i="91"/>
  <c r="M47" i="91"/>
  <c r="J50" i="91"/>
  <c r="J51" i="91"/>
  <c r="J53" i="91"/>
  <c r="F1" i="91"/>
  <c r="AE8" i="1"/>
  <c r="AG8" i="1"/>
  <c r="M27" i="91"/>
  <c r="J26" i="91"/>
  <c r="J29" i="91"/>
  <c r="J60" i="91"/>
  <c r="L46" i="91"/>
  <c r="B2" i="91"/>
  <c r="D19" i="78"/>
  <c r="C17" i="78"/>
  <c r="D17" i="78"/>
  <c r="C18" i="78"/>
  <c r="D18" i="78"/>
  <c r="G19" i="78"/>
  <c r="C24" i="78"/>
  <c r="C32" i="78"/>
  <c r="H118" i="78"/>
  <c r="D15" i="74"/>
  <c r="L15" i="74"/>
  <c r="A9" i="1"/>
  <c r="A10" i="1"/>
  <c r="A11" i="1"/>
  <c r="G1" i="86"/>
  <c r="D9" i="86"/>
  <c r="E9" i="86"/>
  <c r="C9" i="86"/>
  <c r="K11" i="1"/>
  <c r="K24" i="6"/>
  <c r="S11" i="1"/>
  <c r="D10" i="86"/>
  <c r="E10" i="86"/>
  <c r="C10" i="86"/>
  <c r="C8" i="86"/>
  <c r="E46" i="85"/>
  <c r="R46" i="85"/>
  <c r="E7" i="85"/>
  <c r="C7" i="85"/>
  <c r="C68" i="85"/>
  <c r="C70" i="85"/>
  <c r="D68" i="85"/>
  <c r="D70" i="85"/>
  <c r="E68" i="85"/>
  <c r="E70" i="85"/>
  <c r="F68" i="85"/>
  <c r="F70" i="85"/>
  <c r="G68" i="85"/>
  <c r="G70" i="85"/>
  <c r="H68" i="85"/>
  <c r="H70" i="85"/>
  <c r="I68" i="85"/>
  <c r="I70" i="85"/>
  <c r="J68" i="85"/>
  <c r="J70" i="85"/>
  <c r="K68" i="85"/>
  <c r="K70" i="85"/>
  <c r="L68" i="85"/>
  <c r="L70" i="85"/>
  <c r="M68" i="85"/>
  <c r="M70" i="85"/>
  <c r="N68" i="85"/>
  <c r="N70" i="85"/>
  <c r="O68" i="85"/>
  <c r="O70" i="85"/>
  <c r="B71" i="85"/>
  <c r="D71" i="85"/>
  <c r="F7" i="85"/>
  <c r="AA7" i="85"/>
  <c r="F8" i="85"/>
  <c r="AA8" i="85"/>
  <c r="F9" i="85"/>
  <c r="AA9" i="85"/>
  <c r="F10" i="85"/>
  <c r="AA10" i="85"/>
  <c r="D80" i="85"/>
  <c r="E80" i="85"/>
  <c r="F80" i="85"/>
  <c r="G80" i="85"/>
  <c r="H80" i="85"/>
  <c r="D81" i="85"/>
  <c r="E81" i="85"/>
  <c r="F81" i="85"/>
  <c r="I5" i="3"/>
  <c r="M5" i="3"/>
  <c r="O5" i="3"/>
  <c r="AD5" i="3"/>
  <c r="J5" i="3"/>
  <c r="K5" i="3"/>
  <c r="L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C11" i="85"/>
  <c r="I80" i="85"/>
  <c r="J80" i="85"/>
  <c r="G81" i="85"/>
  <c r="H81" i="85"/>
  <c r="I81" i="85"/>
  <c r="J81" i="85"/>
  <c r="K81" i="85"/>
  <c r="L81" i="85"/>
  <c r="M81" i="85"/>
  <c r="F11" i="85"/>
  <c r="AA11" i="85"/>
  <c r="B82" i="85"/>
  <c r="F12" i="85"/>
  <c r="AA12" i="85"/>
  <c r="B84" i="85"/>
  <c r="F13" i="85"/>
  <c r="AA13" i="85"/>
  <c r="B86" i="85"/>
  <c r="F14" i="85"/>
  <c r="AA14" i="85"/>
  <c r="F15" i="85"/>
  <c r="AA15" i="85"/>
  <c r="D91" i="85"/>
  <c r="E91" i="85"/>
  <c r="F17" i="85"/>
  <c r="AA17" i="85"/>
  <c r="D93" i="85"/>
  <c r="E93" i="85"/>
  <c r="F19" i="85"/>
  <c r="AA19" i="85"/>
  <c r="D95" i="85"/>
  <c r="F21" i="85"/>
  <c r="AA21" i="85"/>
  <c r="D97" i="85"/>
  <c r="F23" i="85"/>
  <c r="AA23" i="85"/>
  <c r="D99" i="85"/>
  <c r="F25" i="85"/>
  <c r="AA25" i="85"/>
  <c r="D101" i="85"/>
  <c r="E101" i="85"/>
  <c r="F27" i="85"/>
  <c r="AA27" i="85"/>
  <c r="F29" i="85"/>
  <c r="AA29" i="85"/>
  <c r="B104" i="85"/>
  <c r="F31" i="85"/>
  <c r="AA31" i="85"/>
  <c r="D107" i="85"/>
  <c r="E107" i="85"/>
  <c r="F32" i="85"/>
  <c r="AA32" i="85"/>
  <c r="F34" i="85"/>
  <c r="AA34" i="85"/>
  <c r="B110" i="85"/>
  <c r="F35" i="85"/>
  <c r="AA35" i="85"/>
  <c r="B112" i="85"/>
  <c r="F36" i="85"/>
  <c r="AA36" i="85"/>
  <c r="B114" i="85"/>
  <c r="F37" i="85"/>
  <c r="AA37" i="85"/>
  <c r="E38" i="85"/>
  <c r="C118" i="85"/>
  <c r="D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R47" i="85"/>
  <c r="G46" i="85"/>
  <c r="T46" i="85"/>
  <c r="G7" i="85"/>
  <c r="H7" i="85"/>
  <c r="AB7" i="85"/>
  <c r="H8" i="85"/>
  <c r="AB8" i="85"/>
  <c r="H9" i="85"/>
  <c r="AB9" i="85"/>
  <c r="H10" i="85"/>
  <c r="AB10" i="85"/>
  <c r="H11" i="85"/>
  <c r="AB11" i="85"/>
  <c r="H12" i="85"/>
  <c r="AB12" i="85"/>
  <c r="H13" i="85"/>
  <c r="AB13" i="85"/>
  <c r="H14" i="85"/>
  <c r="AB14" i="85"/>
  <c r="H15" i="85"/>
  <c r="AB15" i="85"/>
  <c r="H17" i="85"/>
  <c r="AB17" i="85"/>
  <c r="H19" i="85"/>
  <c r="AB19" i="85"/>
  <c r="H21" i="85"/>
  <c r="AB21" i="85"/>
  <c r="H23" i="85"/>
  <c r="AB23" i="85"/>
  <c r="H25" i="85"/>
  <c r="AB25" i="85"/>
  <c r="H27" i="85"/>
  <c r="AB27" i="85"/>
  <c r="H29" i="85"/>
  <c r="AB29" i="85"/>
  <c r="H31" i="85"/>
  <c r="AB31" i="85"/>
  <c r="H32" i="85"/>
  <c r="AB32" i="85"/>
  <c r="H34" i="85"/>
  <c r="AB34" i="85"/>
  <c r="H35" i="85"/>
  <c r="AB35" i="85"/>
  <c r="H36" i="85"/>
  <c r="AB36" i="85"/>
  <c r="H37" i="85"/>
  <c r="AB37" i="85"/>
  <c r="G38" i="85"/>
  <c r="H38" i="85"/>
  <c r="AB38" i="85"/>
  <c r="H39" i="85"/>
  <c r="AB39" i="85"/>
  <c r="H40" i="85"/>
  <c r="AB40" i="85"/>
  <c r="H41" i="85"/>
  <c r="AB41" i="85"/>
  <c r="H42" i="85"/>
  <c r="AB42" i="85"/>
  <c r="H43" i="85"/>
  <c r="AB43" i="85"/>
  <c r="H44" i="85"/>
  <c r="AB44" i="85"/>
  <c r="H45" i="85"/>
  <c r="AB45" i="85"/>
  <c r="T47" i="85"/>
  <c r="I46" i="85"/>
  <c r="V46" i="85"/>
  <c r="I7" i="85"/>
  <c r="J7" i="85"/>
  <c r="AC7" i="85"/>
  <c r="J8" i="85"/>
  <c r="AC8" i="85"/>
  <c r="J9" i="85"/>
  <c r="AC9" i="85"/>
  <c r="J10" i="85"/>
  <c r="AC10" i="85"/>
  <c r="J11" i="85"/>
  <c r="AC11" i="85"/>
  <c r="J12" i="85"/>
  <c r="AC12" i="85"/>
  <c r="J13" i="85"/>
  <c r="AC13" i="85"/>
  <c r="J14" i="85"/>
  <c r="AC14" i="85"/>
  <c r="J15" i="85"/>
  <c r="AC15" i="85"/>
  <c r="J17" i="85"/>
  <c r="AC17" i="85"/>
  <c r="J19" i="85"/>
  <c r="AC19" i="85"/>
  <c r="J21" i="85"/>
  <c r="AC21" i="85"/>
  <c r="J23" i="85"/>
  <c r="AC23" i="85"/>
  <c r="J25" i="85"/>
  <c r="AC25" i="85"/>
  <c r="J27" i="85"/>
  <c r="AC27" i="85"/>
  <c r="J29" i="85"/>
  <c r="AC29" i="85"/>
  <c r="J31" i="85"/>
  <c r="AC31" i="85"/>
  <c r="J32" i="85"/>
  <c r="AC32" i="85"/>
  <c r="J34" i="85"/>
  <c r="AC34" i="85"/>
  <c r="J35" i="85"/>
  <c r="AC35" i="85"/>
  <c r="J36" i="85"/>
  <c r="AC36" i="85"/>
  <c r="J37" i="85"/>
  <c r="AC37" i="85"/>
  <c r="I38" i="85"/>
  <c r="J38" i="85"/>
  <c r="AC38" i="85"/>
  <c r="J39" i="85"/>
  <c r="AC39" i="85"/>
  <c r="J40" i="85"/>
  <c r="AC40" i="85"/>
  <c r="J41" i="85"/>
  <c r="AC41" i="85"/>
  <c r="J42" i="85"/>
  <c r="AC42" i="85"/>
  <c r="J43" i="85"/>
  <c r="AC43" i="85"/>
  <c r="J44" i="85"/>
  <c r="AC44" i="85"/>
  <c r="J45" i="85"/>
  <c r="AC45" i="85"/>
  <c r="V47" i="85"/>
  <c r="R48" i="85"/>
  <c r="C47" i="85"/>
  <c r="D3" i="85"/>
  <c r="C6" i="86"/>
  <c r="F7" i="86"/>
  <c r="C7" i="86"/>
  <c r="C5" i="86"/>
  <c r="C19" i="86"/>
  <c r="F20" i="86"/>
  <c r="C20" i="86"/>
  <c r="F22" i="86"/>
  <c r="B21" i="1"/>
  <c r="B23" i="1"/>
  <c r="C23" i="86"/>
  <c r="C24" i="86"/>
  <c r="C25" i="86"/>
  <c r="C22" i="86"/>
  <c r="F27" i="86"/>
  <c r="C28" i="86"/>
  <c r="C27" i="86"/>
  <c r="F21" i="86"/>
  <c r="C26" i="86"/>
  <c r="D22" i="86"/>
  <c r="C21" i="86"/>
  <c r="C29" i="86"/>
  <c r="D27" i="86"/>
  <c r="F30" i="86"/>
  <c r="C30" i="86"/>
  <c r="C31" i="86"/>
  <c r="B24" i="1"/>
  <c r="F34" i="86"/>
  <c r="M11" i="1"/>
  <c r="T11" i="1"/>
  <c r="C34" i="86"/>
  <c r="F35" i="86"/>
  <c r="C35" i="86"/>
  <c r="C36" i="86"/>
  <c r="D19" i="86"/>
  <c r="D37" i="86"/>
  <c r="E37" i="86"/>
  <c r="C37" i="86"/>
  <c r="F38" i="86"/>
  <c r="C38" i="86"/>
  <c r="C33" i="86"/>
  <c r="C39" i="86"/>
  <c r="C42" i="86"/>
  <c r="C43" i="86"/>
  <c r="C41" i="86"/>
  <c r="C46" i="86"/>
  <c r="C45" i="86"/>
  <c r="C40" i="86"/>
  <c r="C44" i="86"/>
  <c r="D41" i="86"/>
  <c r="C47" i="86"/>
  <c r="D45" i="86"/>
  <c r="C48" i="86"/>
  <c r="C49" i="86"/>
  <c r="K7" i="1"/>
  <c r="L7" i="1"/>
  <c r="M7" i="1"/>
  <c r="K9" i="1"/>
  <c r="L9" i="1"/>
  <c r="M9" i="1"/>
  <c r="K10" i="1"/>
  <c r="M10" i="1"/>
  <c r="A12" i="1"/>
  <c r="K12" i="1"/>
  <c r="M12" i="1"/>
  <c r="A13" i="1"/>
  <c r="K13" i="1"/>
  <c r="M13" i="1"/>
  <c r="K14" i="1"/>
  <c r="M14" i="1"/>
  <c r="N7" i="1"/>
  <c r="N9" i="1"/>
  <c r="N10" i="1"/>
  <c r="N11" i="1"/>
  <c r="M16" i="1"/>
  <c r="N16" i="1"/>
  <c r="F50" i="86"/>
  <c r="C51" i="86"/>
  <c r="C52" i="86"/>
  <c r="B2" i="86"/>
  <c r="C19" i="80"/>
  <c r="G1" i="79"/>
  <c r="F6" i="79"/>
  <c r="F8" i="79"/>
  <c r="F7" i="79"/>
  <c r="F9" i="79"/>
  <c r="C6" i="79"/>
  <c r="F11" i="79"/>
  <c r="C10" i="79"/>
  <c r="C5" i="79"/>
  <c r="F32" i="79"/>
  <c r="C32" i="79"/>
  <c r="C14" i="79"/>
  <c r="F15" i="79"/>
  <c r="C15" i="79"/>
  <c r="F16" i="79"/>
  <c r="C16" i="79"/>
  <c r="F43" i="79"/>
  <c r="F17" i="79"/>
  <c r="C17" i="79"/>
  <c r="F18" i="79"/>
  <c r="C18" i="79"/>
  <c r="C19" i="79"/>
  <c r="F20" i="79"/>
  <c r="C20" i="79"/>
  <c r="F24" i="79"/>
  <c r="F23" i="79"/>
  <c r="C23" i="79"/>
  <c r="F26" i="79"/>
  <c r="C26" i="79"/>
  <c r="F21" i="79"/>
  <c r="C24" i="79"/>
  <c r="C27" i="79"/>
  <c r="F28" i="79"/>
  <c r="C28" i="79"/>
  <c r="C29" i="79"/>
  <c r="F33" i="79"/>
  <c r="C33" i="79"/>
  <c r="D24" i="6"/>
  <c r="H24" i="6"/>
  <c r="R24" i="6"/>
  <c r="R11" i="1"/>
  <c r="F35" i="79"/>
  <c r="F34" i="79"/>
  <c r="C34" i="79"/>
  <c r="C31" i="79"/>
  <c r="F36" i="79"/>
  <c r="C36" i="79"/>
  <c r="Y10" i="1"/>
  <c r="Y11" i="1"/>
  <c r="F13" i="79"/>
  <c r="C13" i="79"/>
  <c r="AL11" i="1"/>
  <c r="F37" i="79"/>
  <c r="C37" i="79"/>
  <c r="F38" i="79"/>
  <c r="C38" i="79"/>
  <c r="C30" i="79"/>
  <c r="C39" i="79"/>
  <c r="F42" i="79"/>
  <c r="F40" i="79"/>
  <c r="F11" i="1"/>
  <c r="L48" i="79"/>
  <c r="M47" i="79"/>
  <c r="J50" i="79"/>
  <c r="J51" i="79"/>
  <c r="J53" i="79"/>
  <c r="F1" i="79"/>
  <c r="AE11" i="1"/>
  <c r="F41" i="79"/>
  <c r="C40" i="79"/>
  <c r="M6" i="79"/>
  <c r="M8" i="79"/>
  <c r="M7" i="79"/>
  <c r="M9" i="79"/>
  <c r="J6" i="79"/>
  <c r="M11" i="79"/>
  <c r="J10" i="79"/>
  <c r="J5" i="79"/>
  <c r="J26" i="79"/>
  <c r="J29" i="79"/>
  <c r="J60" i="79"/>
  <c r="L46" i="79"/>
  <c r="B2" i="79"/>
  <c r="D19" i="80"/>
  <c r="C17" i="80"/>
  <c r="D17" i="80"/>
  <c r="C18" i="80"/>
  <c r="D18" i="80"/>
  <c r="G19" i="80"/>
  <c r="C24" i="80"/>
  <c r="C32" i="80"/>
  <c r="H118" i="80"/>
  <c r="D17" i="74"/>
  <c r="L17" i="74"/>
  <c r="L13" i="74"/>
  <c r="M14" i="74"/>
  <c r="M15" i="74"/>
  <c r="M17" i="74"/>
  <c r="M13" i="74"/>
  <c r="L2" i="6"/>
  <c r="N2" i="6"/>
  <c r="BB10" i="3"/>
  <c r="BB5" i="3"/>
  <c r="BC10" i="3"/>
  <c r="BD10" i="3"/>
  <c r="BE10" i="3"/>
  <c r="BF10" i="3"/>
  <c r="BG10" i="3"/>
  <c r="BH10" i="3"/>
  <c r="BI10" i="3"/>
  <c r="BJ10" i="3"/>
  <c r="BK10" i="3"/>
  <c r="BC5" i="3"/>
  <c r="BD5" i="3"/>
  <c r="BE5" i="3"/>
  <c r="BF5" i="3"/>
  <c r="BG5" i="3"/>
  <c r="BH5" i="3"/>
  <c r="BI5" i="3"/>
  <c r="BJ5" i="3"/>
  <c r="BK5" i="3"/>
  <c r="E8" i="6"/>
  <c r="F27" i="6"/>
  <c r="BM5" i="3"/>
  <c r="BO5" i="3"/>
  <c r="F29" i="6"/>
  <c r="F30" i="6"/>
  <c r="F31" i="6"/>
  <c r="O2" i="6"/>
  <c r="O4" i="6"/>
  <c r="N4" i="6"/>
  <c r="G27" i="6"/>
  <c r="BN5" i="3"/>
  <c r="BP5" i="3"/>
  <c r="G29" i="6"/>
  <c r="G30" i="6"/>
  <c r="G31" i="6"/>
  <c r="N5" i="6"/>
  <c r="N6" i="6"/>
  <c r="O6" i="6"/>
  <c r="B1" i="74"/>
  <c r="L5" i="74"/>
  <c r="N14" i="66"/>
  <c r="E19" i="95"/>
  <c r="E29" i="6"/>
  <c r="K15" i="1"/>
  <c r="K16" i="1"/>
  <c r="B29" i="1"/>
  <c r="F3" i="35"/>
  <c r="R37" i="35"/>
  <c r="C7" i="35"/>
  <c r="C48" i="35"/>
  <c r="D48" i="35"/>
  <c r="E48" i="35"/>
  <c r="F48" i="35"/>
  <c r="G48" i="35"/>
  <c r="H48" i="35"/>
  <c r="I48" i="35"/>
  <c r="J48" i="35"/>
  <c r="K48" i="35"/>
  <c r="L48" i="35"/>
  <c r="M48" i="35"/>
  <c r="N48" i="35"/>
  <c r="O48" i="35"/>
  <c r="D49" i="35"/>
  <c r="E49" i="35"/>
  <c r="F49"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F18" i="35"/>
  <c r="AA18" i="35"/>
  <c r="D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C29"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C19" i="88"/>
  <c r="G1" i="87"/>
  <c r="F6" i="87"/>
  <c r="F8" i="87"/>
  <c r="F7" i="87"/>
  <c r="F9" i="87"/>
  <c r="C6" i="87"/>
  <c r="F11" i="87"/>
  <c r="C10" i="87"/>
  <c r="C5" i="87"/>
  <c r="F32" i="87"/>
  <c r="C32" i="87"/>
  <c r="F33" i="87"/>
  <c r="C33" i="87"/>
  <c r="D23" i="6"/>
  <c r="H23" i="6"/>
  <c r="R23" i="6"/>
  <c r="R10" i="1"/>
  <c r="F35" i="87"/>
  <c r="F34" i="87"/>
  <c r="C34" i="87"/>
  <c r="C31" i="87"/>
  <c r="K23" i="6"/>
  <c r="S10" i="1"/>
  <c r="T10" i="1"/>
  <c r="C14" i="87"/>
  <c r="F15" i="87"/>
  <c r="C15" i="87"/>
  <c r="F16" i="87"/>
  <c r="C16" i="87"/>
  <c r="F43" i="87"/>
  <c r="F17" i="87"/>
  <c r="C17" i="87"/>
  <c r="F18" i="87"/>
  <c r="C18" i="87"/>
  <c r="C19" i="87"/>
  <c r="F20" i="87"/>
  <c r="C20" i="87"/>
  <c r="F24" i="87"/>
  <c r="F23" i="87"/>
  <c r="C23" i="87"/>
  <c r="F26" i="87"/>
  <c r="C26" i="87"/>
  <c r="F21" i="87"/>
  <c r="C24" i="87"/>
  <c r="C27" i="87"/>
  <c r="F28" i="87"/>
  <c r="C28" i="87"/>
  <c r="C29" i="87"/>
  <c r="F36" i="87"/>
  <c r="C36" i="87"/>
  <c r="F13" i="87"/>
  <c r="C13" i="87"/>
  <c r="F37" i="87"/>
  <c r="C37" i="87"/>
  <c r="F38" i="87"/>
  <c r="C38" i="87"/>
  <c r="C30" i="87"/>
  <c r="C39" i="87"/>
  <c r="F42" i="87"/>
  <c r="F40" i="87"/>
  <c r="G15" i="4"/>
  <c r="F10" i="1"/>
  <c r="L48" i="87"/>
  <c r="M47" i="87"/>
  <c r="J50" i="87"/>
  <c r="J51" i="87"/>
  <c r="J53" i="87"/>
  <c r="F1" i="87"/>
  <c r="AE10" i="1"/>
  <c r="F41" i="87"/>
  <c r="C40" i="87"/>
  <c r="M6" i="87"/>
  <c r="M8" i="87"/>
  <c r="M7" i="87"/>
  <c r="M9" i="87"/>
  <c r="J6" i="87"/>
  <c r="M11" i="87"/>
  <c r="J10" i="87"/>
  <c r="J5" i="87"/>
  <c r="J26" i="87"/>
  <c r="J29" i="87"/>
  <c r="J60" i="87"/>
  <c r="L46" i="87"/>
  <c r="B2" i="87"/>
  <c r="D19" i="88"/>
  <c r="C17" i="88"/>
  <c r="D17" i="88"/>
  <c r="C18" i="88"/>
  <c r="D18" i="88"/>
  <c r="G19" i="88"/>
  <c r="K23" i="88"/>
  <c r="E25" i="95"/>
  <c r="D23" i="95"/>
  <c r="D25" i="95"/>
  <c r="D14" i="95"/>
  <c r="D19" i="95"/>
  <c r="K8" i="95"/>
  <c r="H8" i="95"/>
  <c r="J6" i="95"/>
  <c r="I12" i="66"/>
  <c r="I13" i="66"/>
  <c r="I14" i="66"/>
  <c r="I15" i="66"/>
  <c r="I17" i="66"/>
  <c r="I18" i="66"/>
  <c r="I19" i="66"/>
  <c r="I20" i="66"/>
  <c r="E64" i="35"/>
  <c r="E66" i="35"/>
  <c r="E70" i="35"/>
  <c r="D3" i="35"/>
  <c r="L23" i="6"/>
  <c r="M23" i="6"/>
  <c r="I23" i="6"/>
  <c r="D78" i="34"/>
  <c r="E78" i="34"/>
  <c r="F88" i="34"/>
  <c r="B3" i="34"/>
  <c r="R24" i="82"/>
  <c r="B24" i="82"/>
  <c r="S24" i="82"/>
  <c r="B25" i="82"/>
  <c r="D4" i="82"/>
  <c r="C25" i="82"/>
  <c r="B5" i="82"/>
  <c r="C5" i="82"/>
  <c r="D5" i="82"/>
  <c r="E5" i="82"/>
  <c r="F5" i="82"/>
  <c r="D6" i="82"/>
  <c r="E6" i="82"/>
  <c r="F6" i="82"/>
  <c r="G6" i="82"/>
  <c r="H6" i="82"/>
  <c r="I6" i="82"/>
  <c r="J6" i="82"/>
  <c r="K6" i="82"/>
  <c r="L6" i="82"/>
  <c r="M6" i="82"/>
  <c r="N6" i="82"/>
  <c r="O6" i="82"/>
  <c r="P6" i="82"/>
  <c r="Q6" i="82"/>
  <c r="R6" i="82"/>
  <c r="S6" i="82"/>
  <c r="E25" i="82"/>
  <c r="G25" i="82"/>
  <c r="I25" i="82"/>
  <c r="K25" i="82"/>
  <c r="M25" i="82"/>
  <c r="O25" i="82"/>
  <c r="E18" i="82"/>
  <c r="Q25" i="82"/>
  <c r="R25" i="82"/>
  <c r="S25" i="82"/>
  <c r="B26" i="82"/>
  <c r="C26" i="82"/>
  <c r="E26" i="82"/>
  <c r="G26" i="82"/>
  <c r="I26" i="82"/>
  <c r="K26" i="82"/>
  <c r="M26" i="82"/>
  <c r="O26" i="82"/>
  <c r="Q26" i="82"/>
  <c r="R26" i="82"/>
  <c r="S26" i="82"/>
  <c r="B27" i="82"/>
  <c r="C27" i="82"/>
  <c r="E27" i="82"/>
  <c r="G27" i="82"/>
  <c r="I27" i="82"/>
  <c r="K27" i="82"/>
  <c r="M27" i="82"/>
  <c r="O27" i="82"/>
  <c r="Q27" i="82"/>
  <c r="R27" i="82"/>
  <c r="S27" i="82"/>
  <c r="B28" i="82"/>
  <c r="C28" i="82"/>
  <c r="E28" i="82"/>
  <c r="G28" i="82"/>
  <c r="I28" i="82"/>
  <c r="K28" i="82"/>
  <c r="M28" i="82"/>
  <c r="O28" i="82"/>
  <c r="Q28" i="82"/>
  <c r="R28" i="82"/>
  <c r="S28" i="82"/>
  <c r="B29" i="82"/>
  <c r="C29" i="82"/>
  <c r="E29" i="82"/>
  <c r="G29" i="82"/>
  <c r="I29" i="82"/>
  <c r="K29" i="82"/>
  <c r="M29" i="82"/>
  <c r="O29" i="82"/>
  <c r="Q29" i="82"/>
  <c r="R29" i="82"/>
  <c r="S29" i="82"/>
  <c r="B30" i="82"/>
  <c r="C30" i="82"/>
  <c r="E30" i="82"/>
  <c r="G30" i="82"/>
  <c r="I30" i="82"/>
  <c r="K30" i="82"/>
  <c r="M30" i="82"/>
  <c r="O30" i="82"/>
  <c r="Q30" i="82"/>
  <c r="R30" i="82"/>
  <c r="S30" i="82"/>
  <c r="B31" i="82"/>
  <c r="C31" i="82"/>
  <c r="E31" i="82"/>
  <c r="G31" i="82"/>
  <c r="I31" i="82"/>
  <c r="K31" i="82"/>
  <c r="M31" i="82"/>
  <c r="O31" i="82"/>
  <c r="Q31" i="82"/>
  <c r="R31" i="82"/>
  <c r="S31" i="82"/>
  <c r="B32" i="82"/>
  <c r="C32" i="82"/>
  <c r="E32" i="82"/>
  <c r="G32" i="82"/>
  <c r="I32" i="82"/>
  <c r="K32" i="82"/>
  <c r="M32" i="82"/>
  <c r="O32" i="82"/>
  <c r="Q32" i="82"/>
  <c r="R32" i="82"/>
  <c r="S32" i="82"/>
  <c r="B33" i="82"/>
  <c r="C33" i="82"/>
  <c r="E33" i="82"/>
  <c r="G33" i="82"/>
  <c r="I33" i="82"/>
  <c r="K33" i="82"/>
  <c r="M33" i="82"/>
  <c r="O33" i="82"/>
  <c r="D18" i="82"/>
  <c r="Q33" i="82"/>
  <c r="R33" i="82"/>
  <c r="S33" i="82"/>
  <c r="B34" i="82"/>
  <c r="C34" i="82"/>
  <c r="E34" i="82"/>
  <c r="G34" i="82"/>
  <c r="I34" i="82"/>
  <c r="K34" i="82"/>
  <c r="M34" i="82"/>
  <c r="O34" i="82"/>
  <c r="Q34" i="82"/>
  <c r="R34" i="82"/>
  <c r="S34" i="82"/>
  <c r="B35" i="82"/>
  <c r="C35" i="82"/>
  <c r="E35" i="82"/>
  <c r="G35" i="82"/>
  <c r="I35" i="82"/>
  <c r="K35" i="82"/>
  <c r="M35" i="82"/>
  <c r="O35" i="82"/>
  <c r="Q35" i="82"/>
  <c r="R35" i="82"/>
  <c r="S35" i="82"/>
  <c r="B36" i="82"/>
  <c r="C36" i="82"/>
  <c r="E36" i="82"/>
  <c r="G36" i="82"/>
  <c r="I36" i="82"/>
  <c r="K36" i="82"/>
  <c r="M36" i="82"/>
  <c r="O36" i="82"/>
  <c r="Q36" i="82"/>
  <c r="R36" i="82"/>
  <c r="S36" i="82"/>
  <c r="B37" i="82"/>
  <c r="C37" i="82"/>
  <c r="E37" i="82"/>
  <c r="G37" i="82"/>
  <c r="I37" i="82"/>
  <c r="K37" i="82"/>
  <c r="M37" i="82"/>
  <c r="O37" i="82"/>
  <c r="Q37" i="82"/>
  <c r="R37" i="82"/>
  <c r="S37" i="82"/>
  <c r="B38" i="82"/>
  <c r="C38" i="82"/>
  <c r="E38" i="82"/>
  <c r="G38" i="82"/>
  <c r="I38" i="82"/>
  <c r="K38" i="82"/>
  <c r="M38" i="82"/>
  <c r="O38" i="82"/>
  <c r="Q38" i="82"/>
  <c r="R38" i="82"/>
  <c r="S38" i="82"/>
  <c r="B39" i="82"/>
  <c r="C39" i="82"/>
  <c r="E39" i="82"/>
  <c r="G39" i="82"/>
  <c r="I39" i="82"/>
  <c r="K39" i="82"/>
  <c r="M39" i="82"/>
  <c r="O39" i="82"/>
  <c r="Q39" i="82"/>
  <c r="R39" i="82"/>
  <c r="S39" i="82"/>
  <c r="B40" i="82"/>
  <c r="C40" i="82"/>
  <c r="E40" i="82"/>
  <c r="G40" i="82"/>
  <c r="I40" i="82"/>
  <c r="K40" i="82"/>
  <c r="M40" i="82"/>
  <c r="O40" i="82"/>
  <c r="Q40" i="82"/>
  <c r="R40" i="82"/>
  <c r="S40" i="82"/>
  <c r="B41" i="82"/>
  <c r="C41" i="82"/>
  <c r="E41" i="82"/>
  <c r="G41" i="82"/>
  <c r="I41" i="82"/>
  <c r="K41" i="82"/>
  <c r="M41" i="82"/>
  <c r="O41" i="82"/>
  <c r="Q41" i="82"/>
  <c r="R41" i="82"/>
  <c r="S41" i="82"/>
  <c r="B42" i="82"/>
  <c r="C42" i="82"/>
  <c r="E42" i="82"/>
  <c r="G42" i="82"/>
  <c r="I42" i="82"/>
  <c r="K42" i="82"/>
  <c r="M42" i="82"/>
  <c r="O42" i="82"/>
  <c r="Q42" i="82"/>
  <c r="R42" i="82"/>
  <c r="S42" i="82"/>
  <c r="B43" i="82"/>
  <c r="C43" i="82"/>
  <c r="E43" i="82"/>
  <c r="G43" i="82"/>
  <c r="I43" i="82"/>
  <c r="K43" i="82"/>
  <c r="M43" i="82"/>
  <c r="O43" i="82"/>
  <c r="Q43" i="82"/>
  <c r="R43" i="82"/>
  <c r="S43" i="82"/>
  <c r="B44" i="82"/>
  <c r="C44" i="82"/>
  <c r="E44" i="82"/>
  <c r="G44" i="82"/>
  <c r="I44" i="82"/>
  <c r="K44" i="82"/>
  <c r="M44" i="82"/>
  <c r="O44" i="82"/>
  <c r="Q44" i="82"/>
  <c r="R44" i="82"/>
  <c r="S44" i="82"/>
  <c r="B45" i="82"/>
  <c r="C45" i="82"/>
  <c r="E45" i="82"/>
  <c r="G45" i="82"/>
  <c r="I45" i="82"/>
  <c r="K45" i="82"/>
  <c r="M45" i="82"/>
  <c r="O45" i="82"/>
  <c r="Q45" i="82"/>
  <c r="R45" i="82"/>
  <c r="S45" i="82"/>
  <c r="B46" i="82"/>
  <c r="C46" i="82"/>
  <c r="E46" i="82"/>
  <c r="G46" i="82"/>
  <c r="I46" i="82"/>
  <c r="K46" i="82"/>
  <c r="M46" i="82"/>
  <c r="O46" i="82"/>
  <c r="Q46" i="82"/>
  <c r="R46" i="82"/>
  <c r="S46" i="82"/>
  <c r="B47" i="82"/>
  <c r="C47" i="82"/>
  <c r="E47" i="82"/>
  <c r="G47" i="82"/>
  <c r="I47" i="82"/>
  <c r="K47" i="82"/>
  <c r="M47" i="82"/>
  <c r="O47" i="82"/>
  <c r="Q47" i="82"/>
  <c r="R47" i="82"/>
  <c r="S47" i="82"/>
  <c r="B48" i="82"/>
  <c r="C48" i="82"/>
  <c r="E48" i="82"/>
  <c r="G48" i="82"/>
  <c r="I48" i="82"/>
  <c r="K48" i="82"/>
  <c r="M48" i="82"/>
  <c r="O48" i="82"/>
  <c r="Q48" i="82"/>
  <c r="R48" i="82"/>
  <c r="S48" i="82"/>
  <c r="B49" i="82"/>
  <c r="C49" i="82"/>
  <c r="E49" i="82"/>
  <c r="G49" i="82"/>
  <c r="I49" i="82"/>
  <c r="K49" i="82"/>
  <c r="M49" i="82"/>
  <c r="O49" i="82"/>
  <c r="Q49" i="82"/>
  <c r="R49" i="82"/>
  <c r="S49" i="82"/>
  <c r="B50" i="82"/>
  <c r="C50" i="82"/>
  <c r="E50" i="82"/>
  <c r="G50" i="82"/>
  <c r="I50" i="82"/>
  <c r="K50" i="82"/>
  <c r="M50" i="82"/>
  <c r="O50" i="82"/>
  <c r="Q50" i="82"/>
  <c r="R50" i="82"/>
  <c r="S50" i="82"/>
  <c r="B51" i="82"/>
  <c r="C51" i="82"/>
  <c r="E51" i="82"/>
  <c r="G51" i="82"/>
  <c r="I51" i="82"/>
  <c r="K51" i="82"/>
  <c r="M51" i="82"/>
  <c r="O51" i="82"/>
  <c r="Q51" i="82"/>
  <c r="R51" i="82"/>
  <c r="S51" i="82"/>
  <c r="B52" i="82"/>
  <c r="C52" i="82"/>
  <c r="E52" i="82"/>
  <c r="G52" i="82"/>
  <c r="I52" i="82"/>
  <c r="K52" i="82"/>
  <c r="M52" i="82"/>
  <c r="O52" i="82"/>
  <c r="Q52" i="82"/>
  <c r="R52" i="82"/>
  <c r="S52" i="82"/>
  <c r="B53" i="82"/>
  <c r="C53" i="82"/>
  <c r="E53" i="82"/>
  <c r="G53" i="82"/>
  <c r="I53" i="82"/>
  <c r="K53" i="82"/>
  <c r="M53" i="82"/>
  <c r="O53" i="82"/>
  <c r="Q53" i="82"/>
  <c r="R53" i="82"/>
  <c r="S53" i="82"/>
  <c r="B54" i="82"/>
  <c r="C54" i="82"/>
  <c r="E54" i="82"/>
  <c r="G54" i="82"/>
  <c r="I54" i="82"/>
  <c r="K54" i="82"/>
  <c r="M54" i="82"/>
  <c r="O54" i="82"/>
  <c r="Q54" i="82"/>
  <c r="R54" i="82"/>
  <c r="S54" i="82"/>
  <c r="B55" i="82"/>
  <c r="C55" i="82"/>
  <c r="E55" i="82"/>
  <c r="G55" i="82"/>
  <c r="I55" i="82"/>
  <c r="K55" i="82"/>
  <c r="M55" i="82"/>
  <c r="O55" i="82"/>
  <c r="Q55" i="82"/>
  <c r="R55" i="82"/>
  <c r="S55" i="82"/>
  <c r="B56" i="82"/>
  <c r="C56" i="82"/>
  <c r="E56" i="82"/>
  <c r="G56" i="82"/>
  <c r="I56" i="82"/>
  <c r="K56" i="82"/>
  <c r="M56" i="82"/>
  <c r="O56" i="82"/>
  <c r="Q56" i="82"/>
  <c r="R56" i="82"/>
  <c r="S56" i="82"/>
  <c r="B57" i="82"/>
  <c r="C57" i="82"/>
  <c r="E57" i="82"/>
  <c r="G57" i="82"/>
  <c r="I57" i="82"/>
  <c r="K57" i="82"/>
  <c r="M57" i="82"/>
  <c r="O57" i="82"/>
  <c r="Q57" i="82"/>
  <c r="R57" i="82"/>
  <c r="S57" i="82"/>
  <c r="B58" i="82"/>
  <c r="C58" i="82"/>
  <c r="E58" i="82"/>
  <c r="G58" i="82"/>
  <c r="I58" i="82"/>
  <c r="K58" i="82"/>
  <c r="M58" i="82"/>
  <c r="O58" i="82"/>
  <c r="Q58" i="82"/>
  <c r="R58" i="82"/>
  <c r="S58" i="82"/>
  <c r="B59" i="82"/>
  <c r="C59" i="82"/>
  <c r="E59" i="82"/>
  <c r="G59" i="82"/>
  <c r="I59" i="82"/>
  <c r="K59" i="82"/>
  <c r="M59" i="82"/>
  <c r="O59" i="82"/>
  <c r="Q59" i="82"/>
  <c r="R59" i="82"/>
  <c r="S59" i="82"/>
  <c r="B60" i="82"/>
  <c r="C60" i="82"/>
  <c r="E60" i="82"/>
  <c r="G60" i="82"/>
  <c r="I60" i="82"/>
  <c r="K60" i="82"/>
  <c r="M60" i="82"/>
  <c r="O60" i="82"/>
  <c r="Q60" i="82"/>
  <c r="R60" i="82"/>
  <c r="S60" i="82"/>
  <c r="B61" i="82"/>
  <c r="C61" i="82"/>
  <c r="E61" i="82"/>
  <c r="G61" i="82"/>
  <c r="I61" i="82"/>
  <c r="K61" i="82"/>
  <c r="M61" i="82"/>
  <c r="O61" i="82"/>
  <c r="Q61" i="82"/>
  <c r="R61" i="82"/>
  <c r="S61" i="82"/>
  <c r="B62" i="82"/>
  <c r="C62" i="82"/>
  <c r="E62" i="82"/>
  <c r="G62" i="82"/>
  <c r="I62" i="82"/>
  <c r="K62" i="82"/>
  <c r="M62" i="82"/>
  <c r="O62" i="82"/>
  <c r="Q62" i="82"/>
  <c r="R62" i="82"/>
  <c r="S62" i="82"/>
  <c r="B63" i="82"/>
  <c r="C63" i="82"/>
  <c r="E63" i="82"/>
  <c r="G63" i="82"/>
  <c r="I63" i="82"/>
  <c r="K63" i="82"/>
  <c r="M63" i="82"/>
  <c r="O63" i="82"/>
  <c r="Q63" i="82"/>
  <c r="R63" i="82"/>
  <c r="S63" i="82"/>
  <c r="B64" i="82"/>
  <c r="C64" i="82"/>
  <c r="E64" i="82"/>
  <c r="G64" i="82"/>
  <c r="I64" i="82"/>
  <c r="K64" i="82"/>
  <c r="M64" i="82"/>
  <c r="O64" i="82"/>
  <c r="Q64" i="82"/>
  <c r="R64" i="82"/>
  <c r="S64" i="82"/>
  <c r="B65" i="82"/>
  <c r="C65" i="82"/>
  <c r="E65" i="82"/>
  <c r="G65" i="82"/>
  <c r="I65" i="82"/>
  <c r="K65" i="82"/>
  <c r="M65" i="82"/>
  <c r="O65" i="82"/>
  <c r="Q65" i="82"/>
  <c r="R65" i="82"/>
  <c r="S65" i="82"/>
  <c r="B66" i="82"/>
  <c r="C66" i="82"/>
  <c r="E66" i="82"/>
  <c r="G66" i="82"/>
  <c r="I66" i="82"/>
  <c r="K66" i="82"/>
  <c r="M66" i="82"/>
  <c r="O66" i="82"/>
  <c r="Q66" i="82"/>
  <c r="R66" i="82"/>
  <c r="S66" i="82"/>
  <c r="B67" i="82"/>
  <c r="C67" i="82"/>
  <c r="E67" i="82"/>
  <c r="G67" i="82"/>
  <c r="I67" i="82"/>
  <c r="K67" i="82"/>
  <c r="M67" i="82"/>
  <c r="O67" i="82"/>
  <c r="Q67" i="82"/>
  <c r="R67" i="82"/>
  <c r="S67" i="82"/>
  <c r="B68" i="82"/>
  <c r="C68" i="82"/>
  <c r="E68" i="82"/>
  <c r="G68" i="82"/>
  <c r="I68" i="82"/>
  <c r="K68" i="82"/>
  <c r="M68" i="82"/>
  <c r="O68" i="82"/>
  <c r="Q68" i="82"/>
  <c r="R68" i="82"/>
  <c r="S68" i="82"/>
  <c r="B69" i="82"/>
  <c r="C69" i="82"/>
  <c r="E69" i="82"/>
  <c r="G69" i="82"/>
  <c r="I69" i="82"/>
  <c r="K69" i="82"/>
  <c r="M69" i="82"/>
  <c r="O69" i="82"/>
  <c r="C18" i="82"/>
  <c r="Q69" i="82"/>
  <c r="R69" i="82"/>
  <c r="S69" i="82"/>
  <c r="B70" i="82"/>
  <c r="C70" i="82"/>
  <c r="E70" i="82"/>
  <c r="G70" i="82"/>
  <c r="I70" i="82"/>
  <c r="K70" i="82"/>
  <c r="M70" i="82"/>
  <c r="O70" i="82"/>
  <c r="Q70" i="82"/>
  <c r="R70" i="82"/>
  <c r="S70" i="82"/>
  <c r="B71" i="82"/>
  <c r="C71" i="82"/>
  <c r="E71" i="82"/>
  <c r="G71" i="82"/>
  <c r="I71" i="82"/>
  <c r="K71" i="82"/>
  <c r="M71" i="82"/>
  <c r="O71" i="82"/>
  <c r="Q71" i="82"/>
  <c r="R71" i="82"/>
  <c r="S71" i="82"/>
  <c r="B72" i="82"/>
  <c r="C72" i="82"/>
  <c r="E72" i="82"/>
  <c r="G72" i="82"/>
  <c r="I72" i="82"/>
  <c r="K72" i="82"/>
  <c r="M72" i="82"/>
  <c r="O72" i="82"/>
  <c r="Q72" i="82"/>
  <c r="R72" i="82"/>
  <c r="S72" i="82"/>
  <c r="B73" i="82"/>
  <c r="C73" i="82"/>
  <c r="E73" i="82"/>
  <c r="G73" i="82"/>
  <c r="I73" i="82"/>
  <c r="K73" i="82"/>
  <c r="M73" i="82"/>
  <c r="O73" i="82"/>
  <c r="Q73" i="82"/>
  <c r="R73" i="82"/>
  <c r="S73" i="82"/>
  <c r="B74" i="82"/>
  <c r="C74" i="82"/>
  <c r="E74" i="82"/>
  <c r="G74" i="82"/>
  <c r="I74" i="82"/>
  <c r="K74" i="82"/>
  <c r="M74" i="82"/>
  <c r="O74" i="82"/>
  <c r="Q74" i="82"/>
  <c r="R74" i="82"/>
  <c r="S74" i="82"/>
  <c r="B75" i="82"/>
  <c r="C75" i="82"/>
  <c r="E75" i="82"/>
  <c r="G75" i="82"/>
  <c r="I75" i="82"/>
  <c r="K75" i="82"/>
  <c r="M75" i="82"/>
  <c r="O75" i="82"/>
  <c r="Q75" i="82"/>
  <c r="R75" i="82"/>
  <c r="S75" i="82"/>
  <c r="B76" i="82"/>
  <c r="C76" i="82"/>
  <c r="E76" i="82"/>
  <c r="G76" i="82"/>
  <c r="I76" i="82"/>
  <c r="K76" i="82"/>
  <c r="M76" i="82"/>
  <c r="O76" i="82"/>
  <c r="Q76" i="82"/>
  <c r="R76" i="82"/>
  <c r="S76" i="82"/>
  <c r="B77" i="82"/>
  <c r="C77" i="82"/>
  <c r="E77" i="82"/>
  <c r="G77" i="82"/>
  <c r="I77" i="82"/>
  <c r="K77" i="82"/>
  <c r="M77" i="82"/>
  <c r="O77" i="82"/>
  <c r="Q77" i="82"/>
  <c r="R77" i="82"/>
  <c r="S77" i="82"/>
  <c r="B78" i="82"/>
  <c r="C78" i="82"/>
  <c r="E78" i="82"/>
  <c r="G78" i="82"/>
  <c r="I78" i="82"/>
  <c r="K78" i="82"/>
  <c r="M78" i="82"/>
  <c r="O78" i="82"/>
  <c r="Q78" i="82"/>
  <c r="R78" i="82"/>
  <c r="S78" i="82"/>
  <c r="B79" i="82"/>
  <c r="C79" i="82"/>
  <c r="E79" i="82"/>
  <c r="G79" i="82"/>
  <c r="I79" i="82"/>
  <c r="K79" i="82"/>
  <c r="M79" i="82"/>
  <c r="O79" i="82"/>
  <c r="Q79" i="82"/>
  <c r="R79" i="82"/>
  <c r="S79" i="82"/>
  <c r="B80" i="82"/>
  <c r="C80" i="82"/>
  <c r="E80" i="82"/>
  <c r="G80" i="82"/>
  <c r="I80" i="82"/>
  <c r="K80" i="82"/>
  <c r="M80" i="82"/>
  <c r="O80" i="82"/>
  <c r="Q80" i="82"/>
  <c r="R80" i="82"/>
  <c r="S80" i="82"/>
  <c r="B81" i="82"/>
  <c r="C81" i="82"/>
  <c r="E81" i="82"/>
  <c r="G81" i="82"/>
  <c r="I81" i="82"/>
  <c r="K81" i="82"/>
  <c r="M81" i="82"/>
  <c r="O81" i="82"/>
  <c r="Q81" i="82"/>
  <c r="R81" i="82"/>
  <c r="S81" i="82"/>
  <c r="B82" i="82"/>
  <c r="C82" i="82"/>
  <c r="E82" i="82"/>
  <c r="G82" i="82"/>
  <c r="I82" i="82"/>
  <c r="K82" i="82"/>
  <c r="M82" i="82"/>
  <c r="O82" i="82"/>
  <c r="Q82" i="82"/>
  <c r="R82" i="82"/>
  <c r="S82" i="82"/>
  <c r="B83" i="82"/>
  <c r="C83" i="82"/>
  <c r="E83" i="82"/>
  <c r="G83" i="82"/>
  <c r="I83" i="82"/>
  <c r="K83" i="82"/>
  <c r="M83" i="82"/>
  <c r="O83" i="82"/>
  <c r="Q83" i="82"/>
  <c r="R83" i="82"/>
  <c r="S83" i="82"/>
  <c r="B84" i="82"/>
  <c r="C84" i="82"/>
  <c r="E84" i="82"/>
  <c r="G84" i="82"/>
  <c r="I84" i="82"/>
  <c r="K84" i="82"/>
  <c r="M84" i="82"/>
  <c r="O84" i="82"/>
  <c r="Q84" i="82"/>
  <c r="R84" i="82"/>
  <c r="S84" i="82"/>
  <c r="B85" i="82"/>
  <c r="C85" i="82"/>
  <c r="E85" i="82"/>
  <c r="G85" i="82"/>
  <c r="I85" i="82"/>
  <c r="K85" i="82"/>
  <c r="M85" i="82"/>
  <c r="O85" i="82"/>
  <c r="Q85" i="82"/>
  <c r="R85" i="82"/>
  <c r="S85" i="82"/>
  <c r="B86" i="82"/>
  <c r="C86" i="82"/>
  <c r="E86" i="82"/>
  <c r="G86" i="82"/>
  <c r="I86" i="82"/>
  <c r="K86" i="82"/>
  <c r="M86" i="82"/>
  <c r="O86" i="82"/>
  <c r="Q86" i="82"/>
  <c r="R86" i="82"/>
  <c r="S86" i="82"/>
  <c r="B87" i="82"/>
  <c r="C87" i="82"/>
  <c r="E87" i="82"/>
  <c r="G87" i="82"/>
  <c r="I87" i="82"/>
  <c r="K87" i="82"/>
  <c r="M87" i="82"/>
  <c r="O87" i="82"/>
  <c r="Q87" i="82"/>
  <c r="R87" i="82"/>
  <c r="S87" i="82"/>
  <c r="B88" i="82"/>
  <c r="C88" i="82"/>
  <c r="E88" i="82"/>
  <c r="G88" i="82"/>
  <c r="I88" i="82"/>
  <c r="K88" i="82"/>
  <c r="M88" i="82"/>
  <c r="O88" i="82"/>
  <c r="Q88" i="82"/>
  <c r="R88" i="82"/>
  <c r="S88" i="82"/>
  <c r="B89" i="82"/>
  <c r="C89" i="82"/>
  <c r="E89" i="82"/>
  <c r="G89" i="82"/>
  <c r="I89" i="82"/>
  <c r="K89" i="82"/>
  <c r="M89" i="82"/>
  <c r="O89" i="82"/>
  <c r="Q89" i="82"/>
  <c r="R89" i="82"/>
  <c r="S89" i="82"/>
  <c r="B90" i="82"/>
  <c r="C90" i="82"/>
  <c r="E90" i="82"/>
  <c r="G90" i="82"/>
  <c r="I90" i="82"/>
  <c r="K90" i="82"/>
  <c r="M90" i="82"/>
  <c r="O90" i="82"/>
  <c r="Q90" i="82"/>
  <c r="R90" i="82"/>
  <c r="S90" i="82"/>
  <c r="B91" i="82"/>
  <c r="C91" i="82"/>
  <c r="E91" i="82"/>
  <c r="G91" i="82"/>
  <c r="I91" i="82"/>
  <c r="K91" i="82"/>
  <c r="M91" i="82"/>
  <c r="O91" i="82"/>
  <c r="Q91" i="82"/>
  <c r="R91" i="82"/>
  <c r="S91" i="82"/>
  <c r="B92" i="82"/>
  <c r="C92" i="82"/>
  <c r="E92" i="82"/>
  <c r="G92" i="82"/>
  <c r="I92" i="82"/>
  <c r="K92" i="82"/>
  <c r="M92" i="82"/>
  <c r="O92" i="82"/>
  <c r="Q92" i="82"/>
  <c r="R92" i="82"/>
  <c r="S92" i="82"/>
  <c r="B93" i="82"/>
  <c r="C93" i="82"/>
  <c r="E93" i="82"/>
  <c r="G93" i="82"/>
  <c r="I93" i="82"/>
  <c r="K93" i="82"/>
  <c r="M93" i="82"/>
  <c r="O93" i="82"/>
  <c r="Q93" i="82"/>
  <c r="R93" i="82"/>
  <c r="S93" i="82"/>
  <c r="B94" i="82"/>
  <c r="C94" i="82"/>
  <c r="E94" i="82"/>
  <c r="G94" i="82"/>
  <c r="I94" i="82"/>
  <c r="K94" i="82"/>
  <c r="M94" i="82"/>
  <c r="O94" i="82"/>
  <c r="Q94" i="82"/>
  <c r="R94" i="82"/>
  <c r="S94" i="82"/>
  <c r="B95" i="82"/>
  <c r="C95" i="82"/>
  <c r="E95" i="82"/>
  <c r="G95" i="82"/>
  <c r="I95" i="82"/>
  <c r="K95" i="82"/>
  <c r="M95" i="82"/>
  <c r="O95" i="82"/>
  <c r="Q95" i="82"/>
  <c r="R95" i="82"/>
  <c r="S95" i="82"/>
  <c r="B96" i="82"/>
  <c r="C96" i="82"/>
  <c r="E96" i="82"/>
  <c r="G96" i="82"/>
  <c r="I96" i="82"/>
  <c r="K96" i="82"/>
  <c r="M96" i="82"/>
  <c r="O96" i="82"/>
  <c r="Q96" i="82"/>
  <c r="R96" i="82"/>
  <c r="S96" i="82"/>
  <c r="B97" i="82"/>
  <c r="C97" i="82"/>
  <c r="E97" i="82"/>
  <c r="G97" i="82"/>
  <c r="I97" i="82"/>
  <c r="K97" i="82"/>
  <c r="M97" i="82"/>
  <c r="O97" i="82"/>
  <c r="Q97" i="82"/>
  <c r="R97" i="82"/>
  <c r="S97" i="82"/>
  <c r="B98" i="82"/>
  <c r="C98" i="82"/>
  <c r="E98" i="82"/>
  <c r="G98" i="82"/>
  <c r="I98" i="82"/>
  <c r="K98" i="82"/>
  <c r="M98" i="82"/>
  <c r="O98" i="82"/>
  <c r="Q98" i="82"/>
  <c r="R98" i="82"/>
  <c r="S98" i="82"/>
  <c r="B99" i="82"/>
  <c r="C99" i="82"/>
  <c r="E99" i="82"/>
  <c r="G99" i="82"/>
  <c r="I99" i="82"/>
  <c r="K99" i="82"/>
  <c r="M99" i="82"/>
  <c r="O99" i="82"/>
  <c r="Q99" i="82"/>
  <c r="R99" i="82"/>
  <c r="S99" i="82"/>
  <c r="B100" i="82"/>
  <c r="C100" i="82"/>
  <c r="E100" i="82"/>
  <c r="G100" i="82"/>
  <c r="I100" i="82"/>
  <c r="K100" i="82"/>
  <c r="M100" i="82"/>
  <c r="O100" i="82"/>
  <c r="Q100" i="82"/>
  <c r="R100" i="82"/>
  <c r="S100" i="82"/>
  <c r="B101" i="82"/>
  <c r="C101" i="82"/>
  <c r="E101" i="82"/>
  <c r="G101" i="82"/>
  <c r="I101" i="82"/>
  <c r="K101" i="82"/>
  <c r="M101" i="82"/>
  <c r="O101" i="82"/>
  <c r="Q101" i="82"/>
  <c r="R101" i="82"/>
  <c r="S101" i="82"/>
  <c r="B102" i="82"/>
  <c r="C102" i="82"/>
  <c r="E102" i="82"/>
  <c r="G102" i="82"/>
  <c r="I102" i="82"/>
  <c r="K102" i="82"/>
  <c r="M102" i="82"/>
  <c r="O102" i="82"/>
  <c r="Q102" i="82"/>
  <c r="R102" i="82"/>
  <c r="S102" i="82"/>
  <c r="B103" i="82"/>
  <c r="C103" i="82"/>
  <c r="E103" i="82"/>
  <c r="G103" i="82"/>
  <c r="I103" i="82"/>
  <c r="K103" i="82"/>
  <c r="M103" i="82"/>
  <c r="O103" i="82"/>
  <c r="Q103" i="82"/>
  <c r="R103" i="82"/>
  <c r="S103" i="82"/>
  <c r="B104" i="82"/>
  <c r="C104" i="82"/>
  <c r="E104" i="82"/>
  <c r="G104" i="82"/>
  <c r="I104" i="82"/>
  <c r="K104" i="82"/>
  <c r="M104" i="82"/>
  <c r="O104" i="82"/>
  <c r="Q104" i="82"/>
  <c r="R104" i="82"/>
  <c r="S104" i="82"/>
  <c r="B105" i="82"/>
  <c r="C105" i="82"/>
  <c r="E105" i="82"/>
  <c r="G105" i="82"/>
  <c r="I105" i="82"/>
  <c r="K105" i="82"/>
  <c r="M105" i="82"/>
  <c r="O105" i="82"/>
  <c r="Q105" i="82"/>
  <c r="R105" i="82"/>
  <c r="S105" i="82"/>
  <c r="B106" i="82"/>
  <c r="C106" i="82"/>
  <c r="E106" i="82"/>
  <c r="G106" i="82"/>
  <c r="I106" i="82"/>
  <c r="K106" i="82"/>
  <c r="M106" i="82"/>
  <c r="O106" i="82"/>
  <c r="Q106" i="82"/>
  <c r="R106" i="82"/>
  <c r="S106" i="82"/>
  <c r="B107" i="82"/>
  <c r="C107" i="82"/>
  <c r="E107" i="82"/>
  <c r="G107" i="82"/>
  <c r="I107" i="82"/>
  <c r="K107" i="82"/>
  <c r="M107" i="82"/>
  <c r="O107" i="82"/>
  <c r="Q107" i="82"/>
  <c r="R107" i="82"/>
  <c r="S107" i="82"/>
  <c r="B108" i="82"/>
  <c r="C108" i="82"/>
  <c r="E108" i="82"/>
  <c r="G108" i="82"/>
  <c r="I108" i="82"/>
  <c r="K108" i="82"/>
  <c r="M108" i="82"/>
  <c r="O108" i="82"/>
  <c r="Q108" i="82"/>
  <c r="R108" i="82"/>
  <c r="S108" i="82"/>
  <c r="B109" i="82"/>
  <c r="C109" i="82"/>
  <c r="E109" i="82"/>
  <c r="G109" i="82"/>
  <c r="I109" i="82"/>
  <c r="K109" i="82"/>
  <c r="M109" i="82"/>
  <c r="O109" i="82"/>
  <c r="Q109" i="82"/>
  <c r="R109" i="82"/>
  <c r="S109" i="82"/>
  <c r="B110" i="82"/>
  <c r="C110" i="82"/>
  <c r="E110" i="82"/>
  <c r="G110" i="82"/>
  <c r="I110" i="82"/>
  <c r="K110" i="82"/>
  <c r="M110" i="82"/>
  <c r="O110" i="82"/>
  <c r="Q110" i="82"/>
  <c r="R110" i="82"/>
  <c r="S110" i="82"/>
  <c r="B111" i="82"/>
  <c r="C111" i="82"/>
  <c r="E111" i="82"/>
  <c r="G111" i="82"/>
  <c r="I111" i="82"/>
  <c r="K111" i="82"/>
  <c r="M111" i="82"/>
  <c r="O111" i="82"/>
  <c r="Q111" i="82"/>
  <c r="R111" i="82"/>
  <c r="S111" i="82"/>
  <c r="B112" i="82"/>
  <c r="C112" i="82"/>
  <c r="E112" i="82"/>
  <c r="G112" i="82"/>
  <c r="I112" i="82"/>
  <c r="K112" i="82"/>
  <c r="M112" i="82"/>
  <c r="O112" i="82"/>
  <c r="Q112" i="82"/>
  <c r="R112" i="82"/>
  <c r="S112" i="82"/>
  <c r="B113" i="82"/>
  <c r="C113" i="82"/>
  <c r="E113" i="82"/>
  <c r="G113" i="82"/>
  <c r="I113" i="82"/>
  <c r="K113" i="82"/>
  <c r="M113" i="82"/>
  <c r="O113" i="82"/>
  <c r="Q113" i="82"/>
  <c r="R113" i="82"/>
  <c r="S113" i="82"/>
  <c r="B114" i="82"/>
  <c r="C114" i="82"/>
  <c r="E114" i="82"/>
  <c r="G114" i="82"/>
  <c r="I114" i="82"/>
  <c r="K114" i="82"/>
  <c r="M114" i="82"/>
  <c r="O114" i="82"/>
  <c r="Q114" i="82"/>
  <c r="R114" i="82"/>
  <c r="S114" i="82"/>
  <c r="B115" i="82"/>
  <c r="C115" i="82"/>
  <c r="E115" i="82"/>
  <c r="G115" i="82"/>
  <c r="I115" i="82"/>
  <c r="K115" i="82"/>
  <c r="M115" i="82"/>
  <c r="O115" i="82"/>
  <c r="Q115" i="82"/>
  <c r="R115" i="82"/>
  <c r="S115" i="82"/>
  <c r="B116" i="82"/>
  <c r="C116" i="82"/>
  <c r="E116" i="82"/>
  <c r="G116" i="82"/>
  <c r="I116" i="82"/>
  <c r="K116" i="82"/>
  <c r="M116" i="82"/>
  <c r="O116" i="82"/>
  <c r="Q116" i="82"/>
  <c r="R116" i="82"/>
  <c r="S116" i="82"/>
  <c r="B117" i="82"/>
  <c r="C117" i="82"/>
  <c r="E117" i="82"/>
  <c r="G117" i="82"/>
  <c r="I117" i="82"/>
  <c r="K117" i="82"/>
  <c r="M117" i="82"/>
  <c r="O117" i="82"/>
  <c r="Q117" i="82"/>
  <c r="R117" i="82"/>
  <c r="S117" i="82"/>
  <c r="B118" i="82"/>
  <c r="C118" i="82"/>
  <c r="E118" i="82"/>
  <c r="G118" i="82"/>
  <c r="I118" i="82"/>
  <c r="K118" i="82"/>
  <c r="M118" i="82"/>
  <c r="O118" i="82"/>
  <c r="Q118" i="82"/>
  <c r="R118" i="82"/>
  <c r="S118" i="82"/>
  <c r="B119" i="82"/>
  <c r="C119" i="82"/>
  <c r="E119" i="82"/>
  <c r="G119" i="82"/>
  <c r="I119" i="82"/>
  <c r="K119" i="82"/>
  <c r="M119" i="82"/>
  <c r="O119" i="82"/>
  <c r="Q119" i="82"/>
  <c r="R119" i="82"/>
  <c r="S119" i="82"/>
  <c r="B120" i="82"/>
  <c r="C120" i="82"/>
  <c r="E120" i="82"/>
  <c r="G120" i="82"/>
  <c r="I120" i="82"/>
  <c r="K120" i="82"/>
  <c r="M120" i="82"/>
  <c r="O120" i="82"/>
  <c r="Q120" i="82"/>
  <c r="R120" i="82"/>
  <c r="S120" i="82"/>
  <c r="B121" i="82"/>
  <c r="C121" i="82"/>
  <c r="E121" i="82"/>
  <c r="G121" i="82"/>
  <c r="I121" i="82"/>
  <c r="K121" i="82"/>
  <c r="M121" i="82"/>
  <c r="O121" i="82"/>
  <c r="Q121" i="82"/>
  <c r="R121" i="82"/>
  <c r="S121" i="82"/>
  <c r="B122" i="82"/>
  <c r="C122" i="82"/>
  <c r="E122" i="82"/>
  <c r="G122" i="82"/>
  <c r="I122" i="82"/>
  <c r="K122" i="82"/>
  <c r="M122" i="82"/>
  <c r="O122" i="82"/>
  <c r="Q122" i="82"/>
  <c r="R122" i="82"/>
  <c r="S122" i="82"/>
  <c r="R123" i="82"/>
  <c r="S123" i="82"/>
  <c r="R124" i="82"/>
  <c r="S124" i="82"/>
  <c r="R125" i="82"/>
  <c r="S125" i="82"/>
  <c r="R126" i="82"/>
  <c r="S126" i="82"/>
  <c r="R127" i="82"/>
  <c r="S127" i="82"/>
  <c r="R128" i="82"/>
  <c r="S128" i="82"/>
  <c r="R129" i="82"/>
  <c r="S129" i="82"/>
  <c r="R130" i="82"/>
  <c r="S130" i="82"/>
  <c r="R131" i="82"/>
  <c r="S131" i="82"/>
  <c r="R132" i="82"/>
  <c r="S132" i="82"/>
  <c r="R133" i="82"/>
  <c r="S133" i="82"/>
  <c r="R134" i="82"/>
  <c r="S134" i="82"/>
  <c r="R135" i="82"/>
  <c r="S135" i="82"/>
  <c r="R136" i="82"/>
  <c r="S136" i="82"/>
  <c r="R137" i="82"/>
  <c r="S137" i="82"/>
  <c r="R138" i="82"/>
  <c r="S138" i="82"/>
  <c r="R139" i="82"/>
  <c r="S139" i="82"/>
  <c r="R140" i="82"/>
  <c r="S140" i="82"/>
  <c r="R141" i="82"/>
  <c r="S141" i="82"/>
  <c r="R142" i="82"/>
  <c r="S142" i="82"/>
  <c r="R143" i="82"/>
  <c r="S143" i="82"/>
  <c r="R144" i="82"/>
  <c r="S144" i="82"/>
  <c r="R145" i="82"/>
  <c r="S145" i="82"/>
  <c r="R146" i="82"/>
  <c r="S146" i="82"/>
  <c r="R147" i="82"/>
  <c r="S147" i="82"/>
  <c r="R148" i="82"/>
  <c r="S148" i="82"/>
  <c r="R149" i="82"/>
  <c r="S149" i="82"/>
  <c r="R150" i="82"/>
  <c r="S150" i="82"/>
  <c r="R151" i="82"/>
  <c r="S151" i="82"/>
  <c r="R152" i="82"/>
  <c r="S152" i="82"/>
  <c r="R153" i="82"/>
  <c r="S153" i="82"/>
  <c r="R154" i="82"/>
  <c r="S154" i="82"/>
  <c r="R155" i="82"/>
  <c r="S155" i="82"/>
  <c r="R156" i="82"/>
  <c r="S156" i="82"/>
  <c r="R157" i="82"/>
  <c r="S157" i="82"/>
  <c r="R158" i="82"/>
  <c r="S158" i="82"/>
  <c r="R159" i="82"/>
  <c r="S159" i="82"/>
  <c r="R160" i="82"/>
  <c r="S160" i="82"/>
  <c r="R161" i="82"/>
  <c r="S161" i="82"/>
  <c r="R162" i="82"/>
  <c r="S162" i="82"/>
  <c r="R163" i="82"/>
  <c r="S163" i="82"/>
  <c r="R164" i="82"/>
  <c r="S164" i="82"/>
  <c r="R165" i="82"/>
  <c r="S165" i="82"/>
  <c r="R166" i="82"/>
  <c r="S166" i="82"/>
  <c r="R167" i="82"/>
  <c r="S167" i="82"/>
  <c r="R168" i="82"/>
  <c r="S168" i="82"/>
  <c r="R169" i="82"/>
  <c r="S169" i="82"/>
  <c r="R170" i="82"/>
  <c r="S170" i="82"/>
  <c r="R171" i="82"/>
  <c r="S171" i="82"/>
  <c r="R172" i="82"/>
  <c r="S172" i="82"/>
  <c r="R173" i="82"/>
  <c r="S173" i="82"/>
  <c r="R174" i="82"/>
  <c r="S174" i="82"/>
  <c r="R175" i="82"/>
  <c r="S175" i="82"/>
  <c r="R176" i="82"/>
  <c r="S176" i="82"/>
  <c r="R177" i="82"/>
  <c r="S177" i="82"/>
  <c r="R178" i="82"/>
  <c r="S178" i="82"/>
  <c r="R179" i="82"/>
  <c r="S179" i="82"/>
  <c r="R180" i="82"/>
  <c r="S180" i="82"/>
  <c r="R181" i="82"/>
  <c r="S181" i="82"/>
  <c r="R182" i="82"/>
  <c r="S182" i="82"/>
  <c r="R183" i="82"/>
  <c r="S183" i="82"/>
  <c r="R184" i="82"/>
  <c r="S184" i="82"/>
  <c r="R185" i="82"/>
  <c r="S185" i="82"/>
  <c r="R186" i="82"/>
  <c r="S186" i="82"/>
  <c r="R187" i="82"/>
  <c r="S187" i="82"/>
  <c r="R188" i="82"/>
  <c r="S188" i="82"/>
  <c r="R189" i="82"/>
  <c r="S189" i="82"/>
  <c r="R190" i="82"/>
  <c r="S190" i="82"/>
  <c r="R191" i="82"/>
  <c r="S191" i="82"/>
  <c r="R192" i="82"/>
  <c r="S192" i="82"/>
  <c r="R193" i="82"/>
  <c r="S193" i="82"/>
  <c r="R194" i="82"/>
  <c r="S194" i="82"/>
  <c r="R195" i="82"/>
  <c r="S195" i="82"/>
  <c r="R196" i="82"/>
  <c r="S196" i="82"/>
  <c r="R197" i="82"/>
  <c r="S197" i="82"/>
  <c r="R198" i="82"/>
  <c r="S198" i="82"/>
  <c r="R199" i="82"/>
  <c r="S199" i="82"/>
  <c r="R200" i="82"/>
  <c r="S200" i="82"/>
  <c r="R201" i="82"/>
  <c r="S201" i="82"/>
  <c r="R202" i="82"/>
  <c r="S202" i="82"/>
  <c r="R203" i="82"/>
  <c r="S203" i="82"/>
  <c r="R204" i="82"/>
  <c r="S204" i="82"/>
  <c r="R205" i="82"/>
  <c r="S205" i="82"/>
  <c r="R206" i="82"/>
  <c r="S206" i="82"/>
  <c r="R207" i="82"/>
  <c r="S207" i="82"/>
  <c r="R208" i="82"/>
  <c r="S208" i="82"/>
  <c r="R209" i="82"/>
  <c r="S209" i="82"/>
  <c r="R210" i="82"/>
  <c r="S210" i="82"/>
  <c r="R211" i="82"/>
  <c r="S211" i="82"/>
  <c r="R212" i="82"/>
  <c r="S212" i="82"/>
  <c r="R213" i="82"/>
  <c r="S213" i="82"/>
  <c r="R214" i="82"/>
  <c r="S214" i="82"/>
  <c r="R215" i="82"/>
  <c r="S215" i="82"/>
  <c r="R216" i="82"/>
  <c r="S216" i="82"/>
  <c r="R217" i="82"/>
  <c r="S217" i="82"/>
  <c r="R218" i="82"/>
  <c r="S218" i="82"/>
  <c r="R219" i="82"/>
  <c r="S219" i="82"/>
  <c r="R220" i="82"/>
  <c r="S220" i="82"/>
  <c r="R221" i="82"/>
  <c r="S221" i="82"/>
  <c r="R222" i="82"/>
  <c r="S222" i="82"/>
  <c r="R223" i="82"/>
  <c r="S223" i="82"/>
  <c r="R224" i="82"/>
  <c r="S224" i="82"/>
  <c r="R225" i="82"/>
  <c r="S225" i="82"/>
  <c r="R226" i="82"/>
  <c r="S226" i="82"/>
  <c r="R227" i="82"/>
  <c r="S227" i="82"/>
  <c r="R228" i="82"/>
  <c r="S228" i="82"/>
  <c r="R229" i="82"/>
  <c r="S229" i="82"/>
  <c r="R230" i="82"/>
  <c r="S230" i="82"/>
  <c r="R231" i="82"/>
  <c r="S231" i="82"/>
  <c r="R232" i="82"/>
  <c r="S232" i="82"/>
  <c r="R233" i="82"/>
  <c r="S233" i="82"/>
  <c r="R234" i="82"/>
  <c r="S234" i="82"/>
  <c r="R235" i="82"/>
  <c r="S235" i="82"/>
  <c r="R236" i="82"/>
  <c r="S236" i="82"/>
  <c r="R237" i="82"/>
  <c r="S237" i="82"/>
  <c r="R238" i="82"/>
  <c r="S238" i="82"/>
  <c r="R239" i="82"/>
  <c r="S239" i="82"/>
  <c r="R240" i="82"/>
  <c r="S240" i="82"/>
  <c r="R241" i="82"/>
  <c r="S241" i="82"/>
  <c r="R242" i="82"/>
  <c r="S242" i="82"/>
  <c r="R243" i="82"/>
  <c r="S243" i="82"/>
  <c r="R244" i="82"/>
  <c r="S244" i="82"/>
  <c r="R245" i="82"/>
  <c r="S245" i="82"/>
  <c r="R246" i="82"/>
  <c r="S246" i="82"/>
  <c r="R247" i="82"/>
  <c r="S247" i="82"/>
  <c r="R248" i="82"/>
  <c r="S248" i="82"/>
  <c r="R249" i="82"/>
  <c r="S249" i="82"/>
  <c r="R250" i="82"/>
  <c r="S250" i="82"/>
  <c r="R251" i="82"/>
  <c r="S251" i="82"/>
  <c r="R252" i="82"/>
  <c r="S252" i="82"/>
  <c r="R253" i="82"/>
  <c r="S253" i="82"/>
  <c r="R254" i="82"/>
  <c r="S254" i="82"/>
  <c r="R255" i="82"/>
  <c r="S255" i="82"/>
  <c r="R256" i="82"/>
  <c r="S256" i="82"/>
  <c r="R257" i="82"/>
  <c r="S257" i="82"/>
  <c r="R258" i="82"/>
  <c r="S258" i="82"/>
  <c r="R259" i="82"/>
  <c r="S259" i="82"/>
  <c r="R260" i="82"/>
  <c r="S260" i="82"/>
  <c r="R261" i="82"/>
  <c r="S261" i="82"/>
  <c r="R262" i="82"/>
  <c r="S262" i="82"/>
  <c r="R263" i="82"/>
  <c r="S263" i="82"/>
  <c r="R264" i="82"/>
  <c r="S264" i="82"/>
  <c r="R265" i="82"/>
  <c r="S265" i="82"/>
  <c r="R266" i="82"/>
  <c r="S266" i="82"/>
  <c r="R267" i="82"/>
  <c r="S267" i="82"/>
  <c r="R268" i="82"/>
  <c r="S268" i="82"/>
  <c r="R269" i="82"/>
  <c r="S269" i="82"/>
  <c r="R270" i="82"/>
  <c r="S270" i="82"/>
  <c r="R271" i="82"/>
  <c r="S271" i="82"/>
  <c r="R272" i="82"/>
  <c r="S272" i="82"/>
  <c r="R273" i="82"/>
  <c r="S273" i="82"/>
  <c r="R274" i="82"/>
  <c r="S274" i="82"/>
  <c r="R275" i="82"/>
  <c r="S275" i="82"/>
  <c r="R276" i="82"/>
  <c r="S276" i="82"/>
  <c r="R277" i="82"/>
  <c r="S277" i="82"/>
  <c r="R278" i="82"/>
  <c r="S278" i="82"/>
  <c r="R279" i="82"/>
  <c r="S279" i="82"/>
  <c r="R280" i="82"/>
  <c r="S280" i="82"/>
  <c r="R281" i="82"/>
  <c r="S281" i="82"/>
  <c r="R282" i="82"/>
  <c r="S282" i="82"/>
  <c r="R283" i="82"/>
  <c r="S283" i="82"/>
  <c r="R284" i="82"/>
  <c r="S284" i="82"/>
  <c r="R285" i="82"/>
  <c r="S285" i="82"/>
  <c r="R286" i="82"/>
  <c r="S286" i="82"/>
  <c r="R287" i="82"/>
  <c r="S287" i="82"/>
  <c r="R288" i="82"/>
  <c r="S288" i="82"/>
  <c r="R289" i="82"/>
  <c r="S289" i="82"/>
  <c r="R290" i="82"/>
  <c r="S290" i="82"/>
  <c r="R291" i="82"/>
  <c r="S291" i="82"/>
  <c r="R292" i="82"/>
  <c r="S292" i="82"/>
  <c r="R293" i="82"/>
  <c r="S293" i="82"/>
  <c r="R294" i="82"/>
  <c r="S294" i="82"/>
  <c r="R295" i="82"/>
  <c r="S295" i="82"/>
  <c r="R296" i="82"/>
  <c r="S296" i="82"/>
  <c r="R297" i="82"/>
  <c r="S297" i="82"/>
  <c r="R298" i="82"/>
  <c r="S298" i="82"/>
  <c r="R299" i="82"/>
  <c r="S299" i="82"/>
  <c r="R300" i="82"/>
  <c r="S300" i="82"/>
  <c r="R301" i="82"/>
  <c r="S301" i="82"/>
  <c r="R302" i="82"/>
  <c r="S302" i="82"/>
  <c r="R303" i="82"/>
  <c r="S303" i="82"/>
  <c r="R304" i="82"/>
  <c r="S304" i="82"/>
  <c r="R305" i="82"/>
  <c r="S305" i="82"/>
  <c r="R306" i="82"/>
  <c r="S306" i="82"/>
  <c r="R307" i="82"/>
  <c r="S307" i="82"/>
  <c r="R308" i="82"/>
  <c r="S308" i="82"/>
  <c r="R309" i="82"/>
  <c r="S309" i="82"/>
  <c r="R310" i="82"/>
  <c r="S310" i="82"/>
  <c r="R311" i="82"/>
  <c r="S311" i="82"/>
  <c r="R312" i="82"/>
  <c r="S312" i="82"/>
  <c r="R313" i="82"/>
  <c r="S313" i="82"/>
  <c r="R314" i="82"/>
  <c r="S314" i="82"/>
  <c r="R315" i="82"/>
  <c r="S315" i="82"/>
  <c r="R316" i="82"/>
  <c r="S316" i="82"/>
  <c r="R317" i="82"/>
  <c r="S317" i="82"/>
  <c r="R318" i="82"/>
  <c r="S318" i="82"/>
  <c r="R319" i="82"/>
  <c r="S319" i="82"/>
  <c r="R320" i="82"/>
  <c r="S320" i="82"/>
  <c r="R321" i="82"/>
  <c r="S321" i="82"/>
  <c r="R322" i="82"/>
  <c r="S322" i="82"/>
  <c r="R323" i="82"/>
  <c r="S323" i="82"/>
  <c r="R324" i="82"/>
  <c r="S324" i="82"/>
  <c r="R325" i="82"/>
  <c r="S325" i="82"/>
  <c r="R326" i="82"/>
  <c r="S326" i="82"/>
  <c r="R327" i="82"/>
  <c r="S327" i="82"/>
  <c r="R328" i="82"/>
  <c r="S328" i="82"/>
  <c r="R329" i="82"/>
  <c r="S329" i="82"/>
  <c r="R330" i="82"/>
  <c r="S330" i="82"/>
  <c r="R331" i="82"/>
  <c r="S331" i="82"/>
  <c r="R332" i="82"/>
  <c r="S332" i="82"/>
  <c r="R333" i="82"/>
  <c r="S333" i="82"/>
  <c r="R334" i="82"/>
  <c r="S334" i="82"/>
  <c r="R335" i="82"/>
  <c r="S335" i="82"/>
  <c r="R336" i="82"/>
  <c r="S336" i="82"/>
  <c r="R337" i="82"/>
  <c r="S337" i="82"/>
  <c r="R338" i="82"/>
  <c r="S338" i="82"/>
  <c r="R339" i="82"/>
  <c r="S339" i="82"/>
  <c r="R340" i="82"/>
  <c r="S340" i="82"/>
  <c r="R341" i="82"/>
  <c r="S341" i="82"/>
  <c r="R342" i="82"/>
  <c r="S342" i="82"/>
  <c r="R343" i="82"/>
  <c r="S343" i="82"/>
  <c r="R344" i="82"/>
  <c r="S344" i="82"/>
  <c r="R345" i="82"/>
  <c r="S345" i="82"/>
  <c r="R346" i="82"/>
  <c r="S346" i="82"/>
  <c r="R347" i="82"/>
  <c r="S347" i="82"/>
  <c r="R348" i="82"/>
  <c r="S348" i="82"/>
  <c r="R349" i="82"/>
  <c r="S349" i="82"/>
  <c r="R350" i="82"/>
  <c r="S350" i="82"/>
  <c r="R351" i="82"/>
  <c r="S351" i="82"/>
  <c r="R352" i="82"/>
  <c r="S352" i="82"/>
  <c r="R353" i="82"/>
  <c r="S353" i="82"/>
  <c r="R354" i="82"/>
  <c r="S354" i="82"/>
  <c r="R355" i="82"/>
  <c r="S355" i="82"/>
  <c r="R356" i="82"/>
  <c r="S356" i="82"/>
  <c r="R357" i="82"/>
  <c r="S357" i="82"/>
  <c r="R358" i="82"/>
  <c r="S358" i="82"/>
  <c r="R359" i="82"/>
  <c r="S359" i="82"/>
  <c r="R360" i="82"/>
  <c r="S360" i="82"/>
  <c r="R361" i="82"/>
  <c r="S361" i="82"/>
  <c r="R362" i="82"/>
  <c r="S362" i="82"/>
  <c r="R363" i="82"/>
  <c r="S363" i="82"/>
  <c r="R364" i="82"/>
  <c r="S364" i="82"/>
  <c r="R365" i="82"/>
  <c r="S365" i="82"/>
  <c r="R366" i="82"/>
  <c r="S366" i="82"/>
  <c r="R367" i="82"/>
  <c r="S367" i="82"/>
  <c r="R368" i="82"/>
  <c r="S368" i="82"/>
  <c r="R369" i="82"/>
  <c r="S369" i="82"/>
  <c r="R370" i="82"/>
  <c r="S370" i="82"/>
  <c r="R371" i="82"/>
  <c r="S371" i="82"/>
  <c r="R372" i="82"/>
  <c r="S372" i="82"/>
  <c r="R373" i="82"/>
  <c r="S373" i="82"/>
  <c r="R374" i="82"/>
  <c r="S374" i="82"/>
  <c r="R375" i="82"/>
  <c r="S375" i="82"/>
  <c r="R376" i="82"/>
  <c r="S376" i="82"/>
  <c r="R377" i="82"/>
  <c r="S377" i="82"/>
  <c r="R378" i="82"/>
  <c r="S378" i="82"/>
  <c r="R379" i="82"/>
  <c r="S379" i="82"/>
  <c r="R380" i="82"/>
  <c r="S380" i="82"/>
  <c r="R381" i="82"/>
  <c r="S381" i="82"/>
  <c r="R382" i="82"/>
  <c r="S382" i="82"/>
  <c r="R383" i="82"/>
  <c r="S383" i="82"/>
  <c r="R384" i="82"/>
  <c r="S384" i="82"/>
  <c r="R385" i="82"/>
  <c r="S385" i="82"/>
  <c r="R386" i="82"/>
  <c r="S386" i="82"/>
  <c r="R387" i="82"/>
  <c r="S387" i="82"/>
  <c r="R388" i="82"/>
  <c r="S388" i="82"/>
  <c r="R389" i="82"/>
  <c r="S389" i="82"/>
  <c r="R390" i="82"/>
  <c r="S390" i="82"/>
  <c r="R391" i="82"/>
  <c r="S391" i="82"/>
  <c r="R392" i="82"/>
  <c r="S392" i="82"/>
  <c r="R393" i="82"/>
  <c r="S393" i="82"/>
  <c r="R394" i="82"/>
  <c r="S394" i="82"/>
  <c r="R395" i="82"/>
  <c r="S395" i="82"/>
  <c r="R396" i="82"/>
  <c r="S396" i="82"/>
  <c r="R397" i="82"/>
  <c r="S397" i="82"/>
  <c r="R398" i="82"/>
  <c r="S398" i="82"/>
  <c r="R399" i="82"/>
  <c r="S399" i="82"/>
  <c r="R400" i="82"/>
  <c r="S400" i="82"/>
  <c r="R401" i="82"/>
  <c r="S401" i="82"/>
  <c r="R402" i="82"/>
  <c r="S402" i="82"/>
  <c r="R403" i="82"/>
  <c r="S403" i="82"/>
  <c r="R404" i="82"/>
  <c r="S404" i="82"/>
  <c r="R405" i="82"/>
  <c r="S405" i="82"/>
  <c r="R406" i="82"/>
  <c r="S406" i="82"/>
  <c r="R407" i="82"/>
  <c r="S407" i="82"/>
  <c r="R408" i="82"/>
  <c r="S408" i="82"/>
  <c r="R409" i="82"/>
  <c r="S409" i="82"/>
  <c r="R410" i="82"/>
  <c r="S410" i="82"/>
  <c r="R411" i="82"/>
  <c r="S411" i="82"/>
  <c r="R412" i="82"/>
  <c r="S412" i="82"/>
  <c r="R413" i="82"/>
  <c r="S413" i="82"/>
  <c r="R414" i="82"/>
  <c r="S414" i="82"/>
  <c r="R415" i="82"/>
  <c r="S415" i="82"/>
  <c r="R416" i="82"/>
  <c r="S416" i="82"/>
  <c r="R417" i="82"/>
  <c r="S417" i="82"/>
  <c r="R418" i="82"/>
  <c r="S418" i="82"/>
  <c r="R419" i="82"/>
  <c r="S419" i="82"/>
  <c r="R420" i="82"/>
  <c r="S420" i="82"/>
  <c r="R421" i="82"/>
  <c r="S421" i="82"/>
  <c r="R422" i="82"/>
  <c r="S422" i="82"/>
  <c r="R423" i="82"/>
  <c r="S423" i="82"/>
  <c r="R424" i="82"/>
  <c r="S424" i="82"/>
  <c r="R425" i="82"/>
  <c r="S425" i="82"/>
  <c r="R426" i="82"/>
  <c r="S426" i="82"/>
  <c r="R427" i="82"/>
  <c r="S427" i="82"/>
  <c r="R428" i="82"/>
  <c r="S428" i="82"/>
  <c r="R429" i="82"/>
  <c r="S429" i="82"/>
  <c r="R430" i="82"/>
  <c r="S430" i="82"/>
  <c r="R431" i="82"/>
  <c r="S431" i="82"/>
  <c r="R432" i="82"/>
  <c r="S432" i="82"/>
  <c r="R433" i="82"/>
  <c r="S433" i="82"/>
  <c r="R434" i="82"/>
  <c r="S434" i="82"/>
  <c r="R435" i="82"/>
  <c r="S435" i="82"/>
  <c r="R436" i="82"/>
  <c r="S436" i="82"/>
  <c r="R437" i="82"/>
  <c r="S437" i="82"/>
  <c r="R438" i="82"/>
  <c r="S438" i="82"/>
  <c r="R439" i="82"/>
  <c r="S439" i="82"/>
  <c r="R440" i="82"/>
  <c r="S440" i="82"/>
  <c r="R441" i="82"/>
  <c r="S441" i="82"/>
  <c r="R442" i="82"/>
  <c r="S442" i="82"/>
  <c r="R443" i="82"/>
  <c r="S443" i="82"/>
  <c r="R444" i="82"/>
  <c r="S444" i="82"/>
  <c r="R445" i="82"/>
  <c r="S445" i="82"/>
  <c r="R446" i="82"/>
  <c r="S446" i="82"/>
  <c r="R447" i="82"/>
  <c r="S447" i="82"/>
  <c r="R448" i="82"/>
  <c r="S448" i="82"/>
  <c r="R449" i="82"/>
  <c r="S449" i="82"/>
  <c r="R450" i="82"/>
  <c r="S450" i="82"/>
  <c r="R451" i="82"/>
  <c r="S451" i="82"/>
  <c r="R452" i="82"/>
  <c r="S452" i="82"/>
  <c r="R453" i="82"/>
  <c r="S453" i="82"/>
  <c r="R454" i="82"/>
  <c r="S454" i="82"/>
  <c r="R455" i="82"/>
  <c r="S455" i="82"/>
  <c r="R456" i="82"/>
  <c r="S456" i="82"/>
  <c r="R457" i="82"/>
  <c r="S457" i="82"/>
  <c r="R458" i="82"/>
  <c r="S458" i="82"/>
  <c r="R459" i="82"/>
  <c r="S459" i="82"/>
  <c r="R460" i="82"/>
  <c r="S460" i="82"/>
  <c r="R461" i="82"/>
  <c r="S461" i="82"/>
  <c r="R462" i="82"/>
  <c r="S462" i="82"/>
  <c r="R463" i="82"/>
  <c r="S463" i="82"/>
  <c r="R464" i="82"/>
  <c r="S464" i="82"/>
  <c r="R465" i="82"/>
  <c r="S465" i="82"/>
  <c r="R466" i="82"/>
  <c r="S466" i="82"/>
  <c r="R467" i="82"/>
  <c r="S467" i="82"/>
  <c r="R468" i="82"/>
  <c r="S468" i="82"/>
  <c r="R469" i="82"/>
  <c r="S469" i="82"/>
  <c r="R470" i="82"/>
  <c r="S470" i="82"/>
  <c r="R471" i="82"/>
  <c r="S471" i="82"/>
  <c r="R472" i="82"/>
  <c r="S472" i="82"/>
  <c r="R473" i="82"/>
  <c r="S473" i="82"/>
  <c r="R474" i="82"/>
  <c r="S474" i="82"/>
  <c r="R475" i="82"/>
  <c r="S475" i="82"/>
  <c r="R476" i="82"/>
  <c r="S476" i="82"/>
  <c r="R477" i="82"/>
  <c r="S477" i="82"/>
  <c r="R478" i="82"/>
  <c r="S478" i="82"/>
  <c r="R479" i="82"/>
  <c r="S479" i="82"/>
  <c r="R480" i="82"/>
  <c r="S480" i="82"/>
  <c r="R481" i="82"/>
  <c r="S481" i="82"/>
  <c r="R482" i="82"/>
  <c r="S482" i="82"/>
  <c r="R483" i="82"/>
  <c r="S483" i="82"/>
  <c r="R484" i="82"/>
  <c r="S484" i="82"/>
  <c r="R485" i="82"/>
  <c r="S485" i="82"/>
  <c r="R486" i="82"/>
  <c r="S486" i="82"/>
  <c r="R487" i="82"/>
  <c r="S487" i="82"/>
  <c r="R488" i="82"/>
  <c r="S488" i="82"/>
  <c r="R489" i="82"/>
  <c r="S489" i="82"/>
  <c r="R490" i="82"/>
  <c r="S490" i="82"/>
  <c r="R491" i="82"/>
  <c r="S491" i="82"/>
  <c r="R492" i="82"/>
  <c r="S492" i="82"/>
  <c r="R493" i="82"/>
  <c r="S493" i="82"/>
  <c r="R494" i="82"/>
  <c r="S494" i="82"/>
  <c r="R495" i="82"/>
  <c r="S495" i="82"/>
  <c r="R496" i="82"/>
  <c r="S496" i="82"/>
  <c r="R497" i="82"/>
  <c r="S497" i="82"/>
  <c r="R498" i="82"/>
  <c r="S498" i="82"/>
  <c r="R499" i="82"/>
  <c r="S499" i="82"/>
  <c r="R500" i="82"/>
  <c r="S500" i="82"/>
  <c r="R501" i="82"/>
  <c r="S501" i="82"/>
  <c r="R502" i="82"/>
  <c r="S502" i="82"/>
  <c r="R503" i="82"/>
  <c r="S503" i="82"/>
  <c r="R504" i="82"/>
  <c r="S504" i="82"/>
  <c r="R505" i="82"/>
  <c r="S505" i="82"/>
  <c r="R506" i="82"/>
  <c r="S506" i="82"/>
  <c r="R507" i="82"/>
  <c r="S507" i="82"/>
  <c r="R508" i="82"/>
  <c r="S508" i="82"/>
  <c r="R509" i="82"/>
  <c r="S509" i="82"/>
  <c r="R510" i="82"/>
  <c r="S510" i="82"/>
  <c r="R511" i="82"/>
  <c r="S511" i="82"/>
  <c r="R512" i="82"/>
  <c r="S512" i="82"/>
  <c r="R513" i="82"/>
  <c r="S513" i="82"/>
  <c r="R514" i="82"/>
  <c r="S514" i="82"/>
  <c r="R515" i="82"/>
  <c r="S515" i="82"/>
  <c r="R516" i="82"/>
  <c r="S516" i="82"/>
  <c r="R517" i="82"/>
  <c r="S517" i="82"/>
  <c r="R518" i="82"/>
  <c r="S518" i="82"/>
  <c r="R519" i="82"/>
  <c r="S519" i="82"/>
  <c r="R520" i="82"/>
  <c r="S520" i="82"/>
  <c r="R521" i="82"/>
  <c r="S521" i="82"/>
  <c r="R522" i="82"/>
  <c r="S522" i="82"/>
  <c r="R523" i="82"/>
  <c r="S523" i="82"/>
  <c r="R524" i="82"/>
  <c r="S524" i="82"/>
  <c r="S22" i="82"/>
  <c r="B20"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B22" i="82"/>
  <c r="R22" i="82"/>
  <c r="B21" i="82"/>
  <c r="L21" i="6"/>
  <c r="M21" i="6"/>
  <c r="I21" i="6"/>
  <c r="L22" i="6"/>
  <c r="K22" i="6"/>
  <c r="M22" i="6"/>
  <c r="I22" i="6"/>
  <c r="H22" i="6"/>
  <c r="D22" i="6"/>
  <c r="R22" i="6"/>
  <c r="AO8" i="1"/>
  <c r="B8" i="92"/>
  <c r="G1" i="15"/>
  <c r="F6" i="15"/>
  <c r="F8" i="15"/>
  <c r="F7" i="15"/>
  <c r="F9" i="15"/>
  <c r="C6" i="15"/>
  <c r="F11" i="15"/>
  <c r="C10" i="15"/>
  <c r="C5" i="15"/>
  <c r="F32" i="15"/>
  <c r="C32" i="15"/>
  <c r="F33" i="15"/>
  <c r="C33" i="15"/>
  <c r="R9" i="1"/>
  <c r="F35" i="15"/>
  <c r="F34" i="15"/>
  <c r="C34" i="15"/>
  <c r="C31" i="15"/>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9" i="1"/>
  <c r="L48" i="15"/>
  <c r="M47" i="15"/>
  <c r="J50" i="15"/>
  <c r="J51" i="15"/>
  <c r="J53" i="15"/>
  <c r="F1" i="15"/>
  <c r="AE9" i="1"/>
  <c r="F41" i="15"/>
  <c r="C40" i="15"/>
  <c r="M6" i="15"/>
  <c r="M8" i="15"/>
  <c r="M7" i="15"/>
  <c r="M9" i="15"/>
  <c r="J6" i="15"/>
  <c r="M11" i="15"/>
  <c r="J10" i="15"/>
  <c r="J5" i="15"/>
  <c r="M18" i="15"/>
  <c r="J18" i="15"/>
  <c r="M19" i="15"/>
  <c r="J19" i="15"/>
  <c r="M21" i="15"/>
  <c r="M20" i="15"/>
  <c r="J20" i="15"/>
  <c r="J17" i="15"/>
  <c r="J14" i="15"/>
  <c r="M22" i="15"/>
  <c r="J22" i="15"/>
  <c r="J15" i="15"/>
  <c r="J13" i="15"/>
  <c r="M23" i="15"/>
  <c r="J23" i="15"/>
  <c r="M24" i="15"/>
  <c r="J24" i="15"/>
  <c r="J16" i="15"/>
  <c r="J25" i="15"/>
  <c r="M28" i="15"/>
  <c r="M26" i="15"/>
  <c r="M27" i="15"/>
  <c r="J26" i="15"/>
  <c r="J29" i="15"/>
  <c r="J60" i="15"/>
  <c r="L46" i="15"/>
  <c r="B2" i="15"/>
  <c r="AO9" i="1"/>
  <c r="B9" i="92"/>
  <c r="B6" i="92"/>
  <c r="B7" i="92"/>
  <c r="B10" i="92"/>
  <c r="B11" i="92"/>
  <c r="B12" i="92"/>
  <c r="B13" i="92"/>
  <c r="B2" i="92"/>
  <c r="A6" i="92"/>
  <c r="A7" i="92"/>
  <c r="A8" i="92"/>
  <c r="A9" i="92"/>
  <c r="A10" i="92"/>
  <c r="A11" i="92"/>
  <c r="A12" i="92"/>
  <c r="A13" i="92"/>
  <c r="E6" i="92"/>
  <c r="E7" i="92"/>
  <c r="E8" i="92"/>
  <c r="E9" i="92"/>
  <c r="E10" i="92"/>
  <c r="E11" i="92"/>
  <c r="E12" i="92"/>
  <c r="E13" i="92"/>
  <c r="E2" i="92"/>
  <c r="B3" i="92"/>
  <c r="E99" i="85"/>
  <c r="E95" i="85"/>
  <c r="D105" i="85"/>
  <c r="E105" i="85"/>
  <c r="F105" i="85"/>
  <c r="F107" i="85"/>
  <c r="G107" i="85"/>
  <c r="E118" i="85"/>
  <c r="F118" i="85"/>
  <c r="C48" i="85"/>
  <c r="B56" i="85"/>
  <c r="L24" i="6"/>
  <c r="M24" i="6"/>
  <c r="I24" i="6"/>
  <c r="C24" i="88"/>
  <c r="C32" i="88"/>
  <c r="H118" i="88"/>
  <c r="G118" i="85"/>
  <c r="G40" i="6"/>
  <c r="F40" i="6"/>
  <c r="G41" i="93"/>
  <c r="F38" i="93"/>
  <c r="E37" i="93"/>
  <c r="F36" i="93"/>
  <c r="F35" i="93"/>
  <c r="F34" i="93"/>
  <c r="F30" i="93"/>
  <c r="C48" i="93"/>
  <c r="G22" i="93"/>
  <c r="F21" i="93"/>
  <c r="C21" i="93"/>
  <c r="F20" i="93"/>
  <c r="B31" i="1"/>
  <c r="E19" i="93"/>
  <c r="C19" i="93"/>
  <c r="E10" i="93"/>
  <c r="E9" i="93"/>
  <c r="F7" i="93"/>
  <c r="G1" i="93"/>
  <c r="F27" i="93"/>
  <c r="E2" i="93"/>
  <c r="C29" i="93"/>
  <c r="D27" i="93"/>
  <c r="C30" i="93"/>
  <c r="C40" i="93"/>
  <c r="A8" i="70"/>
  <c r="A9" i="70"/>
  <c r="A10" i="70"/>
  <c r="A11" i="70"/>
  <c r="A12" i="70"/>
  <c r="A13" i="70"/>
  <c r="Q72" i="91"/>
  <c r="Q59" i="91"/>
  <c r="K59" i="91"/>
  <c r="P74" i="91"/>
  <c r="F59" i="91"/>
  <c r="Q58" i="91"/>
  <c r="Q51" i="91"/>
  <c r="D46" i="91"/>
  <c r="F62" i="91"/>
  <c r="F61" i="91"/>
  <c r="F60" i="91"/>
  <c r="F31" i="91"/>
  <c r="D23" i="91"/>
  <c r="M17" i="91"/>
  <c r="Q72" i="90"/>
  <c r="Q59" i="90"/>
  <c r="K59" i="90"/>
  <c r="P74" i="90"/>
  <c r="F59" i="90"/>
  <c r="Q58" i="90"/>
  <c r="Q51" i="90"/>
  <c r="J50" i="90"/>
  <c r="J51" i="90"/>
  <c r="M47" i="90"/>
  <c r="D46" i="90"/>
  <c r="F34" i="90"/>
  <c r="F62" i="90"/>
  <c r="F33" i="90"/>
  <c r="F61" i="90"/>
  <c r="F32" i="90"/>
  <c r="F60" i="90"/>
  <c r="F31" i="90"/>
  <c r="F28" i="90"/>
  <c r="C28" i="90"/>
  <c r="F23" i="90"/>
  <c r="D23" i="90"/>
  <c r="F21" i="90"/>
  <c r="M20" i="90"/>
  <c r="F20" i="90"/>
  <c r="M19" i="90"/>
  <c r="M18" i="90"/>
  <c r="F18" i="90"/>
  <c r="M17" i="90"/>
  <c r="F17" i="90"/>
  <c r="F15" i="90"/>
  <c r="G1" i="90"/>
  <c r="C36" i="93"/>
  <c r="D9" i="93"/>
  <c r="C9" i="93"/>
  <c r="C47" i="93"/>
  <c r="D45" i="93"/>
  <c r="D24" i="91"/>
  <c r="P61" i="91"/>
  <c r="D22" i="91"/>
  <c r="P61" i="90"/>
  <c r="D24" i="90"/>
  <c r="D22" i="90"/>
  <c r="C76" i="90"/>
  <c r="D8" i="1"/>
  <c r="L47" i="91"/>
  <c r="M24" i="90"/>
  <c r="F26" i="90"/>
  <c r="M28" i="90"/>
  <c r="F13" i="90"/>
  <c r="M26" i="90"/>
  <c r="F40" i="90"/>
  <c r="D7" i="1"/>
  <c r="L47" i="90"/>
  <c r="F38" i="90"/>
  <c r="F16" i="90"/>
  <c r="M9" i="90"/>
  <c r="F37" i="90"/>
  <c r="M6" i="90"/>
  <c r="C76" i="91"/>
  <c r="AG7" i="1"/>
  <c r="M27" i="90"/>
  <c r="M23" i="90"/>
  <c r="F8" i="90"/>
  <c r="F36" i="90"/>
  <c r="F9" i="90"/>
  <c r="J15" i="90"/>
  <c r="F42" i="90"/>
  <c r="M8" i="90"/>
  <c r="M22" i="90"/>
  <c r="F69" i="91"/>
  <c r="F51" i="91"/>
  <c r="F68" i="91"/>
  <c r="F64" i="91"/>
  <c r="F66" i="91"/>
  <c r="N59" i="91"/>
  <c r="L59" i="91"/>
  <c r="M59" i="91"/>
  <c r="Q71" i="91"/>
  <c r="C27" i="90"/>
  <c r="F64" i="90"/>
  <c r="F66" i="90"/>
  <c r="F51" i="90"/>
  <c r="F68" i="90"/>
  <c r="F65" i="90"/>
  <c r="N59" i="90"/>
  <c r="L59" i="90"/>
  <c r="M59" i="90"/>
  <c r="Q71" i="90"/>
  <c r="Q61" i="91"/>
  <c r="Q74" i="91"/>
  <c r="Q61" i="90"/>
  <c r="Q74" i="90"/>
  <c r="D89" i="9"/>
  <c r="C89" i="9"/>
  <c r="C87" i="9"/>
  <c r="C91" i="9"/>
  <c r="C94" i="9"/>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L4" i="88"/>
  <c r="K4" i="88"/>
  <c r="A2" i="88"/>
  <c r="H1" i="88"/>
  <c r="Q72" i="87"/>
  <c r="Q59" i="87"/>
  <c r="K59" i="87"/>
  <c r="P74" i="87"/>
  <c r="F59" i="87"/>
  <c r="Q58" i="87"/>
  <c r="Q51" i="87"/>
  <c r="D46" i="87"/>
  <c r="F62" i="87"/>
  <c r="F61" i="87"/>
  <c r="F60" i="87"/>
  <c r="F31" i="87"/>
  <c r="D24" i="87"/>
  <c r="M20" i="87"/>
  <c r="M19" i="87"/>
  <c r="M18" i="87"/>
  <c r="M17" i="87"/>
  <c r="D22" i="87"/>
  <c r="D23" i="87"/>
  <c r="C74" i="88"/>
  <c r="C92" i="88"/>
  <c r="C94" i="88"/>
  <c r="K120" i="88"/>
  <c r="D121" i="88"/>
  <c r="P61" i="87"/>
  <c r="H109" i="88"/>
  <c r="H112" i="88"/>
  <c r="G41" i="86"/>
  <c r="F36" i="86"/>
  <c r="G22" i="86"/>
  <c r="E19"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M79" i="85"/>
  <c r="L79" i="85"/>
  <c r="K79" i="85"/>
  <c r="J79" i="85"/>
  <c r="I79" i="85"/>
  <c r="H79" i="85"/>
  <c r="G79" i="85"/>
  <c r="F79" i="85"/>
  <c r="E79" i="85"/>
  <c r="D79" i="85"/>
  <c r="C79" i="85"/>
  <c r="H65" i="85"/>
  <c r="I65" i="85"/>
  <c r="C65" i="85"/>
  <c r="E65" i="85"/>
  <c r="H64" i="85"/>
  <c r="I64" i="85"/>
  <c r="C64" i="85"/>
  <c r="E64" i="85"/>
  <c r="H63" i="85"/>
  <c r="I63" i="85"/>
  <c r="C63" i="85"/>
  <c r="E63" i="85"/>
  <c r="H62" i="85"/>
  <c r="I62" i="85"/>
  <c r="C62" i="85"/>
  <c r="E62" i="85"/>
  <c r="H61" i="85"/>
  <c r="I61" i="85"/>
  <c r="C61" i="85"/>
  <c r="E61" i="85"/>
  <c r="H60" i="85"/>
  <c r="I60" i="85"/>
  <c r="C60" i="85"/>
  <c r="H59" i="85"/>
  <c r="I59" i="85"/>
  <c r="C59" i="85"/>
  <c r="H58" i="85"/>
  <c r="I58" i="85"/>
  <c r="C58" i="85"/>
  <c r="H57" i="85"/>
  <c r="I57" i="85"/>
  <c r="C57" i="85"/>
  <c r="E56" i="85"/>
  <c r="E66" i="85"/>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E2" i="86"/>
  <c r="D124" i="88"/>
  <c r="D125" i="88"/>
  <c r="H110" i="88"/>
  <c r="S15" i="85"/>
  <c r="W15" i="85"/>
  <c r="S17" i="85"/>
  <c r="W17" i="85"/>
  <c r="S19" i="85"/>
  <c r="W19" i="85"/>
  <c r="S21" i="85"/>
  <c r="W23" i="85"/>
  <c r="S9" i="85"/>
  <c r="W9" i="85"/>
  <c r="U10"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U7" i="85"/>
  <c r="W7" i="85"/>
  <c r="S7" i="85"/>
  <c r="F6" i="90"/>
  <c r="B2" i="74"/>
  <c r="D4" i="31"/>
  <c r="E4" i="31"/>
  <c r="F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4" i="82"/>
  <c r="E4" i="82"/>
  <c r="F4" i="82"/>
  <c r="G4" i="82"/>
  <c r="H4" i="82"/>
  <c r="I4" i="82"/>
  <c r="O524" i="82"/>
  <c r="M524" i="82"/>
  <c r="K524" i="82"/>
  <c r="C524" i="82"/>
  <c r="O523" i="82"/>
  <c r="M523" i="82"/>
  <c r="K523" i="82"/>
  <c r="C523" i="82"/>
  <c r="O522" i="82"/>
  <c r="M522" i="82"/>
  <c r="K522" i="82"/>
  <c r="C522" i="82"/>
  <c r="O521" i="82"/>
  <c r="M521" i="82"/>
  <c r="K521" i="82"/>
  <c r="C521" i="82"/>
  <c r="O520" i="82"/>
  <c r="M520" i="82"/>
  <c r="K520" i="82"/>
  <c r="C520" i="82"/>
  <c r="O519" i="82"/>
  <c r="M519" i="82"/>
  <c r="K519" i="82"/>
  <c r="C519" i="82"/>
  <c r="O518" i="82"/>
  <c r="M518" i="82"/>
  <c r="K518" i="82"/>
  <c r="C518" i="82"/>
  <c r="O517" i="82"/>
  <c r="M517" i="82"/>
  <c r="K517" i="82"/>
  <c r="C517" i="82"/>
  <c r="O516" i="82"/>
  <c r="M516" i="82"/>
  <c r="K516" i="82"/>
  <c r="C516" i="82"/>
  <c r="O515" i="82"/>
  <c r="M515" i="82"/>
  <c r="K515" i="82"/>
  <c r="C515" i="82"/>
  <c r="O514" i="82"/>
  <c r="M514" i="82"/>
  <c r="K514" i="82"/>
  <c r="C514" i="82"/>
  <c r="O513" i="82"/>
  <c r="M513" i="82"/>
  <c r="K513" i="82"/>
  <c r="C513" i="82"/>
  <c r="O512" i="82"/>
  <c r="M512" i="82"/>
  <c r="K512" i="82"/>
  <c r="C512" i="82"/>
  <c r="O511" i="82"/>
  <c r="M511" i="82"/>
  <c r="K511" i="82"/>
  <c r="C511" i="82"/>
  <c r="O510" i="82"/>
  <c r="M510" i="82"/>
  <c r="K510" i="82"/>
  <c r="C510" i="82"/>
  <c r="O509" i="82"/>
  <c r="M509" i="82"/>
  <c r="K509" i="82"/>
  <c r="C509" i="82"/>
  <c r="O508" i="82"/>
  <c r="M508" i="82"/>
  <c r="K508" i="82"/>
  <c r="C508" i="82"/>
  <c r="O507" i="82"/>
  <c r="M507" i="82"/>
  <c r="K507" i="82"/>
  <c r="C507" i="82"/>
  <c r="O506" i="82"/>
  <c r="M506" i="82"/>
  <c r="K506" i="82"/>
  <c r="C506" i="82"/>
  <c r="O505" i="82"/>
  <c r="M505" i="82"/>
  <c r="K505" i="82"/>
  <c r="C505" i="82"/>
  <c r="O504" i="82"/>
  <c r="M504" i="82"/>
  <c r="K504" i="82"/>
  <c r="C504" i="82"/>
  <c r="O503" i="82"/>
  <c r="M503" i="82"/>
  <c r="K503" i="82"/>
  <c r="C503" i="82"/>
  <c r="O502" i="82"/>
  <c r="M502" i="82"/>
  <c r="K502" i="82"/>
  <c r="C502" i="82"/>
  <c r="O501" i="82"/>
  <c r="M501" i="82"/>
  <c r="K501" i="82"/>
  <c r="C501" i="82"/>
  <c r="O500" i="82"/>
  <c r="M500" i="82"/>
  <c r="K500" i="82"/>
  <c r="C500" i="82"/>
  <c r="O499" i="82"/>
  <c r="M499" i="82"/>
  <c r="K499" i="82"/>
  <c r="C499" i="82"/>
  <c r="O498" i="82"/>
  <c r="M498" i="82"/>
  <c r="K498" i="82"/>
  <c r="C498" i="82"/>
  <c r="O497" i="82"/>
  <c r="M497" i="82"/>
  <c r="K497" i="82"/>
  <c r="C497" i="82"/>
  <c r="O496" i="82"/>
  <c r="M496" i="82"/>
  <c r="K496" i="82"/>
  <c r="C496" i="82"/>
  <c r="O495" i="82"/>
  <c r="M495" i="82"/>
  <c r="K495" i="82"/>
  <c r="C495" i="82"/>
  <c r="O494" i="82"/>
  <c r="M494" i="82"/>
  <c r="K494" i="82"/>
  <c r="C494" i="82"/>
  <c r="O493" i="82"/>
  <c r="M493" i="82"/>
  <c r="K493" i="82"/>
  <c r="C493" i="82"/>
  <c r="O492" i="82"/>
  <c r="M492" i="82"/>
  <c r="K492" i="82"/>
  <c r="C492" i="82"/>
  <c r="O491" i="82"/>
  <c r="M491" i="82"/>
  <c r="K491" i="82"/>
  <c r="C491" i="82"/>
  <c r="O490" i="82"/>
  <c r="M490" i="82"/>
  <c r="K490" i="82"/>
  <c r="C490" i="82"/>
  <c r="O489" i="82"/>
  <c r="M489" i="82"/>
  <c r="K489" i="82"/>
  <c r="C489" i="82"/>
  <c r="O488" i="82"/>
  <c r="M488" i="82"/>
  <c r="K488" i="82"/>
  <c r="C488" i="82"/>
  <c r="O487" i="82"/>
  <c r="M487" i="82"/>
  <c r="K487" i="82"/>
  <c r="C487" i="82"/>
  <c r="O486" i="82"/>
  <c r="M486" i="82"/>
  <c r="K486" i="82"/>
  <c r="C486" i="82"/>
  <c r="O485" i="82"/>
  <c r="M485" i="82"/>
  <c r="K485" i="82"/>
  <c r="C485" i="82"/>
  <c r="O484" i="82"/>
  <c r="M484" i="82"/>
  <c r="K484" i="82"/>
  <c r="C484" i="82"/>
  <c r="O483" i="82"/>
  <c r="M483" i="82"/>
  <c r="K483" i="82"/>
  <c r="C483" i="82"/>
  <c r="O482" i="82"/>
  <c r="M482" i="82"/>
  <c r="K482" i="82"/>
  <c r="C482" i="82"/>
  <c r="O481" i="82"/>
  <c r="M481" i="82"/>
  <c r="K481" i="82"/>
  <c r="C481" i="82"/>
  <c r="O480" i="82"/>
  <c r="M480" i="82"/>
  <c r="K480" i="82"/>
  <c r="C480" i="82"/>
  <c r="O479" i="82"/>
  <c r="M479" i="82"/>
  <c r="K479" i="82"/>
  <c r="C479" i="82"/>
  <c r="O478" i="82"/>
  <c r="M478" i="82"/>
  <c r="K478" i="82"/>
  <c r="C478" i="82"/>
  <c r="O477" i="82"/>
  <c r="M477" i="82"/>
  <c r="K477" i="82"/>
  <c r="C477" i="82"/>
  <c r="O476" i="82"/>
  <c r="M476" i="82"/>
  <c r="K476" i="82"/>
  <c r="C476" i="82"/>
  <c r="O475" i="82"/>
  <c r="M475" i="82"/>
  <c r="K475" i="82"/>
  <c r="C475" i="82"/>
  <c r="O474" i="82"/>
  <c r="M474" i="82"/>
  <c r="K474" i="82"/>
  <c r="C474" i="82"/>
  <c r="O473" i="82"/>
  <c r="M473" i="82"/>
  <c r="K473" i="82"/>
  <c r="C473" i="82"/>
  <c r="O472" i="82"/>
  <c r="M472" i="82"/>
  <c r="K472" i="82"/>
  <c r="C472" i="82"/>
  <c r="O471" i="82"/>
  <c r="M471" i="82"/>
  <c r="K471" i="82"/>
  <c r="C471" i="82"/>
  <c r="O470" i="82"/>
  <c r="M470" i="82"/>
  <c r="K470" i="82"/>
  <c r="C470" i="82"/>
  <c r="O469" i="82"/>
  <c r="M469" i="82"/>
  <c r="K469" i="82"/>
  <c r="C469" i="82"/>
  <c r="O468" i="82"/>
  <c r="M468" i="82"/>
  <c r="K468" i="82"/>
  <c r="C468" i="82"/>
  <c r="O467" i="82"/>
  <c r="M467" i="82"/>
  <c r="K467" i="82"/>
  <c r="C467" i="82"/>
  <c r="O466" i="82"/>
  <c r="M466" i="82"/>
  <c r="K466" i="82"/>
  <c r="C466" i="82"/>
  <c r="O465" i="82"/>
  <c r="M465" i="82"/>
  <c r="K465" i="82"/>
  <c r="C465" i="82"/>
  <c r="O464" i="82"/>
  <c r="M464" i="82"/>
  <c r="K464" i="82"/>
  <c r="C464" i="82"/>
  <c r="O463" i="82"/>
  <c r="M463" i="82"/>
  <c r="K463" i="82"/>
  <c r="C463" i="82"/>
  <c r="O462" i="82"/>
  <c r="M462" i="82"/>
  <c r="K462" i="82"/>
  <c r="C462" i="82"/>
  <c r="O461" i="82"/>
  <c r="M461" i="82"/>
  <c r="K461" i="82"/>
  <c r="C461" i="82"/>
  <c r="O460" i="82"/>
  <c r="M460" i="82"/>
  <c r="K460" i="82"/>
  <c r="C460" i="82"/>
  <c r="O459" i="82"/>
  <c r="M459" i="82"/>
  <c r="K459" i="82"/>
  <c r="C459" i="82"/>
  <c r="O458" i="82"/>
  <c r="M458" i="82"/>
  <c r="K458" i="82"/>
  <c r="C458" i="82"/>
  <c r="O457" i="82"/>
  <c r="M457" i="82"/>
  <c r="K457" i="82"/>
  <c r="C457" i="82"/>
  <c r="O456" i="82"/>
  <c r="M456" i="82"/>
  <c r="K456" i="82"/>
  <c r="C456" i="82"/>
  <c r="O455" i="82"/>
  <c r="M455" i="82"/>
  <c r="K455" i="82"/>
  <c r="C455" i="82"/>
  <c r="O454" i="82"/>
  <c r="M454" i="82"/>
  <c r="K454" i="82"/>
  <c r="C454" i="82"/>
  <c r="O453" i="82"/>
  <c r="M453" i="82"/>
  <c r="K453" i="82"/>
  <c r="C453" i="82"/>
  <c r="O452" i="82"/>
  <c r="M452" i="82"/>
  <c r="K452" i="82"/>
  <c r="C452" i="82"/>
  <c r="O451" i="82"/>
  <c r="M451" i="82"/>
  <c r="K451" i="82"/>
  <c r="C451" i="82"/>
  <c r="O450" i="82"/>
  <c r="M450" i="82"/>
  <c r="K450" i="82"/>
  <c r="C450" i="82"/>
  <c r="O449" i="82"/>
  <c r="M449" i="82"/>
  <c r="K449" i="82"/>
  <c r="C449" i="82"/>
  <c r="O448" i="82"/>
  <c r="M448" i="82"/>
  <c r="K448" i="82"/>
  <c r="C448" i="82"/>
  <c r="O447" i="82"/>
  <c r="M447" i="82"/>
  <c r="K447" i="82"/>
  <c r="C447" i="82"/>
  <c r="O446" i="82"/>
  <c r="M446" i="82"/>
  <c r="K446" i="82"/>
  <c r="C446" i="82"/>
  <c r="O445" i="82"/>
  <c r="M445" i="82"/>
  <c r="K445" i="82"/>
  <c r="C445" i="82"/>
  <c r="O444" i="82"/>
  <c r="M444" i="82"/>
  <c r="K444" i="82"/>
  <c r="C444" i="82"/>
  <c r="O443" i="82"/>
  <c r="M443" i="82"/>
  <c r="K443" i="82"/>
  <c r="C443" i="82"/>
  <c r="O442" i="82"/>
  <c r="M442" i="82"/>
  <c r="K442" i="82"/>
  <c r="C442" i="82"/>
  <c r="O441" i="82"/>
  <c r="M441" i="82"/>
  <c r="K441" i="82"/>
  <c r="C441" i="82"/>
  <c r="O440" i="82"/>
  <c r="M440" i="82"/>
  <c r="K440" i="82"/>
  <c r="C440" i="82"/>
  <c r="O439" i="82"/>
  <c r="M439" i="82"/>
  <c r="K439" i="82"/>
  <c r="C439" i="82"/>
  <c r="O438" i="82"/>
  <c r="M438" i="82"/>
  <c r="K438" i="82"/>
  <c r="C438" i="82"/>
  <c r="O437" i="82"/>
  <c r="M437" i="82"/>
  <c r="K437" i="82"/>
  <c r="C437" i="82"/>
  <c r="O436" i="82"/>
  <c r="M436" i="82"/>
  <c r="K436" i="82"/>
  <c r="C436" i="82"/>
  <c r="O435" i="82"/>
  <c r="M435" i="82"/>
  <c r="K435" i="82"/>
  <c r="C435" i="82"/>
  <c r="O434" i="82"/>
  <c r="M434" i="82"/>
  <c r="K434" i="82"/>
  <c r="C434" i="82"/>
  <c r="O433" i="82"/>
  <c r="M433" i="82"/>
  <c r="K433" i="82"/>
  <c r="C433" i="82"/>
  <c r="O432" i="82"/>
  <c r="M432" i="82"/>
  <c r="K432" i="82"/>
  <c r="C432" i="82"/>
  <c r="O431" i="82"/>
  <c r="M431" i="82"/>
  <c r="K431" i="82"/>
  <c r="C431" i="82"/>
  <c r="O430" i="82"/>
  <c r="M430" i="82"/>
  <c r="K430" i="82"/>
  <c r="C430" i="82"/>
  <c r="O429" i="82"/>
  <c r="M429" i="82"/>
  <c r="K429" i="82"/>
  <c r="C429" i="82"/>
  <c r="O428" i="82"/>
  <c r="M428" i="82"/>
  <c r="K428" i="82"/>
  <c r="C428" i="82"/>
  <c r="O427" i="82"/>
  <c r="M427" i="82"/>
  <c r="K427" i="82"/>
  <c r="C427" i="82"/>
  <c r="O426" i="82"/>
  <c r="M426" i="82"/>
  <c r="K426" i="82"/>
  <c r="C426" i="82"/>
  <c r="O425" i="82"/>
  <c r="M425" i="82"/>
  <c r="K425" i="82"/>
  <c r="C425" i="82"/>
  <c r="O424" i="82"/>
  <c r="M424" i="82"/>
  <c r="K424" i="82"/>
  <c r="C424" i="82"/>
  <c r="O423" i="82"/>
  <c r="M423" i="82"/>
  <c r="K423" i="82"/>
  <c r="C423" i="82"/>
  <c r="O422" i="82"/>
  <c r="M422" i="82"/>
  <c r="K422" i="82"/>
  <c r="C422" i="82"/>
  <c r="O421" i="82"/>
  <c r="M421" i="82"/>
  <c r="K421" i="82"/>
  <c r="C421" i="82"/>
  <c r="O420" i="82"/>
  <c r="M420" i="82"/>
  <c r="K420" i="82"/>
  <c r="C420" i="82"/>
  <c r="O419" i="82"/>
  <c r="M419" i="82"/>
  <c r="K419" i="82"/>
  <c r="C419" i="82"/>
  <c r="O418" i="82"/>
  <c r="M418" i="82"/>
  <c r="K418" i="82"/>
  <c r="C418" i="82"/>
  <c r="O417" i="82"/>
  <c r="M417" i="82"/>
  <c r="K417" i="82"/>
  <c r="C417" i="82"/>
  <c r="O416" i="82"/>
  <c r="M416" i="82"/>
  <c r="K416" i="82"/>
  <c r="C416" i="82"/>
  <c r="O415" i="82"/>
  <c r="M415" i="82"/>
  <c r="K415" i="82"/>
  <c r="C415" i="82"/>
  <c r="O414" i="82"/>
  <c r="M414" i="82"/>
  <c r="K414" i="82"/>
  <c r="C414" i="82"/>
  <c r="O413" i="82"/>
  <c r="M413" i="82"/>
  <c r="K413" i="82"/>
  <c r="C413" i="82"/>
  <c r="O412" i="82"/>
  <c r="M412" i="82"/>
  <c r="K412" i="82"/>
  <c r="C412" i="82"/>
  <c r="O411" i="82"/>
  <c r="M411" i="82"/>
  <c r="K411" i="82"/>
  <c r="C411" i="82"/>
  <c r="O410" i="82"/>
  <c r="M410" i="82"/>
  <c r="K410" i="82"/>
  <c r="C410" i="82"/>
  <c r="O409" i="82"/>
  <c r="M409" i="82"/>
  <c r="K409" i="82"/>
  <c r="C409" i="82"/>
  <c r="O408" i="82"/>
  <c r="M408" i="82"/>
  <c r="K408" i="82"/>
  <c r="C408" i="82"/>
  <c r="O407" i="82"/>
  <c r="M407" i="82"/>
  <c r="K407" i="82"/>
  <c r="C407" i="82"/>
  <c r="O406" i="82"/>
  <c r="M406" i="82"/>
  <c r="K406" i="82"/>
  <c r="C406" i="82"/>
  <c r="O405" i="82"/>
  <c r="M405" i="82"/>
  <c r="K405" i="82"/>
  <c r="C405" i="82"/>
  <c r="O404" i="82"/>
  <c r="M404" i="82"/>
  <c r="K404" i="82"/>
  <c r="C404" i="82"/>
  <c r="O403" i="82"/>
  <c r="M403" i="82"/>
  <c r="K403" i="82"/>
  <c r="C403" i="82"/>
  <c r="O402" i="82"/>
  <c r="M402" i="82"/>
  <c r="K402" i="82"/>
  <c r="C402" i="82"/>
  <c r="O401" i="82"/>
  <c r="M401" i="82"/>
  <c r="K401" i="82"/>
  <c r="C401" i="82"/>
  <c r="O400" i="82"/>
  <c r="M400" i="82"/>
  <c r="K400" i="82"/>
  <c r="C400" i="82"/>
  <c r="O399" i="82"/>
  <c r="M399" i="82"/>
  <c r="K399" i="82"/>
  <c r="C399" i="82"/>
  <c r="O398" i="82"/>
  <c r="M398" i="82"/>
  <c r="K398" i="82"/>
  <c r="C398" i="82"/>
  <c r="O397" i="82"/>
  <c r="M397" i="82"/>
  <c r="K397" i="82"/>
  <c r="C397" i="82"/>
  <c r="O396" i="82"/>
  <c r="M396" i="82"/>
  <c r="K396" i="82"/>
  <c r="C396" i="82"/>
  <c r="O395" i="82"/>
  <c r="M395" i="82"/>
  <c r="K395" i="82"/>
  <c r="C395" i="82"/>
  <c r="O394" i="82"/>
  <c r="M394" i="82"/>
  <c r="K394" i="82"/>
  <c r="C394" i="82"/>
  <c r="O393" i="82"/>
  <c r="M393" i="82"/>
  <c r="K393" i="82"/>
  <c r="C393" i="82"/>
  <c r="O392" i="82"/>
  <c r="M392" i="82"/>
  <c r="K392" i="82"/>
  <c r="C392" i="82"/>
  <c r="O391" i="82"/>
  <c r="M391" i="82"/>
  <c r="K391" i="82"/>
  <c r="C391" i="82"/>
  <c r="O390" i="82"/>
  <c r="M390" i="82"/>
  <c r="K390" i="82"/>
  <c r="C390" i="82"/>
  <c r="O389" i="82"/>
  <c r="M389" i="82"/>
  <c r="K389" i="82"/>
  <c r="C389" i="82"/>
  <c r="O388" i="82"/>
  <c r="M388" i="82"/>
  <c r="K388" i="82"/>
  <c r="C388" i="82"/>
  <c r="O387" i="82"/>
  <c r="M387" i="82"/>
  <c r="K387" i="82"/>
  <c r="C387" i="82"/>
  <c r="O386" i="82"/>
  <c r="M386" i="82"/>
  <c r="K386" i="82"/>
  <c r="C386" i="82"/>
  <c r="O385" i="82"/>
  <c r="M385" i="82"/>
  <c r="K385" i="82"/>
  <c r="C385" i="82"/>
  <c r="O384" i="82"/>
  <c r="M384" i="82"/>
  <c r="K384" i="82"/>
  <c r="C384" i="82"/>
  <c r="O383" i="82"/>
  <c r="M383" i="82"/>
  <c r="K383" i="82"/>
  <c r="C383" i="82"/>
  <c r="O382" i="82"/>
  <c r="M382" i="82"/>
  <c r="K382" i="82"/>
  <c r="C382" i="82"/>
  <c r="O381" i="82"/>
  <c r="M381" i="82"/>
  <c r="K381" i="82"/>
  <c r="C381" i="82"/>
  <c r="O380" i="82"/>
  <c r="M380" i="82"/>
  <c r="K380" i="82"/>
  <c r="C380" i="82"/>
  <c r="O379" i="82"/>
  <c r="M379" i="82"/>
  <c r="K379" i="82"/>
  <c r="C379" i="82"/>
  <c r="O378" i="82"/>
  <c r="M378" i="82"/>
  <c r="K378" i="82"/>
  <c r="C378" i="82"/>
  <c r="O377" i="82"/>
  <c r="M377" i="82"/>
  <c r="K377" i="82"/>
  <c r="C377" i="82"/>
  <c r="O376" i="82"/>
  <c r="M376" i="82"/>
  <c r="K376" i="82"/>
  <c r="C376" i="82"/>
  <c r="O375" i="82"/>
  <c r="M375" i="82"/>
  <c r="K375" i="82"/>
  <c r="C375" i="82"/>
  <c r="O374" i="82"/>
  <c r="M374" i="82"/>
  <c r="K374" i="82"/>
  <c r="C374" i="82"/>
  <c r="O373" i="82"/>
  <c r="M373" i="82"/>
  <c r="K373" i="82"/>
  <c r="C373" i="82"/>
  <c r="O372" i="82"/>
  <c r="M372" i="82"/>
  <c r="K372" i="82"/>
  <c r="C372" i="82"/>
  <c r="O371" i="82"/>
  <c r="M371" i="82"/>
  <c r="K371" i="82"/>
  <c r="C371" i="82"/>
  <c r="O370" i="82"/>
  <c r="M370" i="82"/>
  <c r="K370" i="82"/>
  <c r="C370" i="82"/>
  <c r="O369" i="82"/>
  <c r="M369" i="82"/>
  <c r="K369" i="82"/>
  <c r="C369" i="82"/>
  <c r="O368" i="82"/>
  <c r="M368" i="82"/>
  <c r="K368" i="82"/>
  <c r="C368" i="82"/>
  <c r="O367" i="82"/>
  <c r="M367" i="82"/>
  <c r="K367" i="82"/>
  <c r="C367" i="82"/>
  <c r="O366" i="82"/>
  <c r="M366" i="82"/>
  <c r="K366" i="82"/>
  <c r="C366" i="82"/>
  <c r="O365" i="82"/>
  <c r="M365" i="82"/>
  <c r="K365" i="82"/>
  <c r="C365" i="82"/>
  <c r="O364" i="82"/>
  <c r="M364" i="82"/>
  <c r="K364" i="82"/>
  <c r="C364" i="82"/>
  <c r="O363" i="82"/>
  <c r="M363" i="82"/>
  <c r="K363" i="82"/>
  <c r="C363" i="82"/>
  <c r="O362" i="82"/>
  <c r="M362" i="82"/>
  <c r="K362" i="82"/>
  <c r="C362" i="82"/>
  <c r="O361" i="82"/>
  <c r="M361" i="82"/>
  <c r="K361" i="82"/>
  <c r="C361" i="82"/>
  <c r="O360" i="82"/>
  <c r="M360" i="82"/>
  <c r="K360" i="82"/>
  <c r="C360" i="82"/>
  <c r="O359" i="82"/>
  <c r="M359" i="82"/>
  <c r="K359" i="82"/>
  <c r="C359" i="82"/>
  <c r="O358" i="82"/>
  <c r="M358" i="82"/>
  <c r="K358" i="82"/>
  <c r="C358" i="82"/>
  <c r="O357" i="82"/>
  <c r="M357" i="82"/>
  <c r="K357" i="82"/>
  <c r="C357" i="82"/>
  <c r="O356" i="82"/>
  <c r="M356" i="82"/>
  <c r="K356" i="82"/>
  <c r="C356" i="82"/>
  <c r="O355" i="82"/>
  <c r="M355" i="82"/>
  <c r="K355" i="82"/>
  <c r="C355" i="82"/>
  <c r="O354" i="82"/>
  <c r="M354" i="82"/>
  <c r="K354" i="82"/>
  <c r="C354" i="82"/>
  <c r="O353" i="82"/>
  <c r="M353" i="82"/>
  <c r="K353" i="82"/>
  <c r="C353" i="82"/>
  <c r="O352" i="82"/>
  <c r="M352" i="82"/>
  <c r="K352" i="82"/>
  <c r="C352" i="82"/>
  <c r="O351" i="82"/>
  <c r="M351" i="82"/>
  <c r="K351" i="82"/>
  <c r="C351" i="82"/>
  <c r="O350" i="82"/>
  <c r="M350" i="82"/>
  <c r="K350" i="82"/>
  <c r="C350" i="82"/>
  <c r="O349" i="82"/>
  <c r="M349" i="82"/>
  <c r="K349" i="82"/>
  <c r="C349" i="82"/>
  <c r="O348" i="82"/>
  <c r="M348" i="82"/>
  <c r="K348" i="82"/>
  <c r="C348" i="82"/>
  <c r="O347" i="82"/>
  <c r="M347" i="82"/>
  <c r="K347" i="82"/>
  <c r="C347" i="82"/>
  <c r="O346" i="82"/>
  <c r="M346" i="82"/>
  <c r="K346" i="82"/>
  <c r="C346" i="82"/>
  <c r="O345" i="82"/>
  <c r="M345" i="82"/>
  <c r="K345" i="82"/>
  <c r="C345" i="82"/>
  <c r="O344" i="82"/>
  <c r="M344" i="82"/>
  <c r="K344" i="82"/>
  <c r="C344" i="82"/>
  <c r="O343" i="82"/>
  <c r="M343" i="82"/>
  <c r="K343" i="82"/>
  <c r="C343" i="82"/>
  <c r="O342" i="82"/>
  <c r="M342" i="82"/>
  <c r="K342" i="82"/>
  <c r="C342" i="82"/>
  <c r="O341" i="82"/>
  <c r="M341" i="82"/>
  <c r="K341" i="82"/>
  <c r="C341" i="82"/>
  <c r="O340" i="82"/>
  <c r="M340" i="82"/>
  <c r="K340" i="82"/>
  <c r="C340" i="82"/>
  <c r="O339" i="82"/>
  <c r="M339" i="82"/>
  <c r="K339" i="82"/>
  <c r="C339" i="82"/>
  <c r="O338" i="82"/>
  <c r="M338" i="82"/>
  <c r="K338" i="82"/>
  <c r="C338" i="82"/>
  <c r="O337" i="82"/>
  <c r="M337" i="82"/>
  <c r="K337" i="82"/>
  <c r="C337" i="82"/>
  <c r="O336" i="82"/>
  <c r="M336" i="82"/>
  <c r="K336" i="82"/>
  <c r="C336" i="82"/>
  <c r="O335" i="82"/>
  <c r="M335" i="82"/>
  <c r="K335" i="82"/>
  <c r="C335" i="82"/>
  <c r="O334" i="82"/>
  <c r="M334" i="82"/>
  <c r="K334" i="82"/>
  <c r="C334" i="82"/>
  <c r="O333" i="82"/>
  <c r="M333" i="82"/>
  <c r="K333" i="82"/>
  <c r="C333" i="82"/>
  <c r="O332" i="82"/>
  <c r="M332" i="82"/>
  <c r="K332" i="82"/>
  <c r="C332" i="82"/>
  <c r="O331" i="82"/>
  <c r="M331" i="82"/>
  <c r="K331" i="82"/>
  <c r="C331" i="82"/>
  <c r="O330" i="82"/>
  <c r="M330" i="82"/>
  <c r="K330" i="82"/>
  <c r="C330" i="82"/>
  <c r="O329" i="82"/>
  <c r="M329" i="82"/>
  <c r="K329" i="82"/>
  <c r="C329" i="82"/>
  <c r="O328" i="82"/>
  <c r="M328" i="82"/>
  <c r="K328" i="82"/>
  <c r="C328" i="82"/>
  <c r="O327" i="82"/>
  <c r="M327" i="82"/>
  <c r="K327" i="82"/>
  <c r="C327" i="82"/>
  <c r="O326" i="82"/>
  <c r="M326" i="82"/>
  <c r="K326" i="82"/>
  <c r="C326" i="82"/>
  <c r="O325" i="82"/>
  <c r="M325" i="82"/>
  <c r="K325" i="82"/>
  <c r="C325" i="82"/>
  <c r="O324" i="82"/>
  <c r="M324" i="82"/>
  <c r="K324" i="82"/>
  <c r="C324" i="82"/>
  <c r="O323" i="82"/>
  <c r="M323" i="82"/>
  <c r="K323" i="82"/>
  <c r="C323" i="82"/>
  <c r="O322" i="82"/>
  <c r="M322" i="82"/>
  <c r="K322" i="82"/>
  <c r="C322" i="82"/>
  <c r="O321" i="82"/>
  <c r="M321" i="82"/>
  <c r="K321" i="82"/>
  <c r="C321" i="82"/>
  <c r="O320" i="82"/>
  <c r="M320" i="82"/>
  <c r="K320" i="82"/>
  <c r="C320" i="82"/>
  <c r="O319" i="82"/>
  <c r="M319" i="82"/>
  <c r="K319" i="82"/>
  <c r="C319" i="82"/>
  <c r="O318" i="82"/>
  <c r="M318" i="82"/>
  <c r="K318" i="82"/>
  <c r="C318" i="82"/>
  <c r="O317" i="82"/>
  <c r="M317" i="82"/>
  <c r="K317" i="82"/>
  <c r="C317" i="82"/>
  <c r="O316" i="82"/>
  <c r="M316" i="82"/>
  <c r="K316" i="82"/>
  <c r="C316" i="82"/>
  <c r="O315" i="82"/>
  <c r="M315" i="82"/>
  <c r="K315" i="82"/>
  <c r="C315" i="82"/>
  <c r="O314" i="82"/>
  <c r="M314" i="82"/>
  <c r="K314" i="82"/>
  <c r="C314" i="82"/>
  <c r="O313" i="82"/>
  <c r="M313" i="82"/>
  <c r="K313" i="82"/>
  <c r="C313" i="82"/>
  <c r="O312" i="82"/>
  <c r="M312" i="82"/>
  <c r="K312" i="82"/>
  <c r="C312" i="82"/>
  <c r="O311" i="82"/>
  <c r="M311" i="82"/>
  <c r="K311" i="82"/>
  <c r="C311" i="82"/>
  <c r="O310" i="82"/>
  <c r="M310" i="82"/>
  <c r="K310" i="82"/>
  <c r="C310" i="82"/>
  <c r="O309" i="82"/>
  <c r="M309" i="82"/>
  <c r="K309" i="82"/>
  <c r="C309" i="82"/>
  <c r="O308" i="82"/>
  <c r="M308" i="82"/>
  <c r="K308" i="82"/>
  <c r="C308" i="82"/>
  <c r="O307" i="82"/>
  <c r="M307" i="82"/>
  <c r="K307" i="82"/>
  <c r="C307" i="82"/>
  <c r="O306" i="82"/>
  <c r="M306" i="82"/>
  <c r="K306" i="82"/>
  <c r="C306" i="82"/>
  <c r="O305" i="82"/>
  <c r="M305" i="82"/>
  <c r="K305" i="82"/>
  <c r="C305" i="82"/>
  <c r="O304" i="82"/>
  <c r="M304" i="82"/>
  <c r="K304" i="82"/>
  <c r="C304" i="82"/>
  <c r="O303" i="82"/>
  <c r="M303" i="82"/>
  <c r="K303" i="82"/>
  <c r="C303" i="82"/>
  <c r="O302" i="82"/>
  <c r="M302" i="82"/>
  <c r="K302" i="82"/>
  <c r="C302" i="82"/>
  <c r="O301" i="82"/>
  <c r="M301" i="82"/>
  <c r="K301" i="82"/>
  <c r="C301" i="82"/>
  <c r="O300" i="82"/>
  <c r="M300" i="82"/>
  <c r="K300" i="82"/>
  <c r="C300" i="82"/>
  <c r="O299" i="82"/>
  <c r="M299" i="82"/>
  <c r="K299" i="82"/>
  <c r="C299" i="82"/>
  <c r="O298" i="82"/>
  <c r="M298" i="82"/>
  <c r="K298" i="82"/>
  <c r="C298" i="82"/>
  <c r="O297" i="82"/>
  <c r="M297" i="82"/>
  <c r="K297" i="82"/>
  <c r="C297" i="82"/>
  <c r="O296" i="82"/>
  <c r="M296" i="82"/>
  <c r="K296" i="82"/>
  <c r="C296" i="82"/>
  <c r="O295" i="82"/>
  <c r="M295" i="82"/>
  <c r="K295" i="82"/>
  <c r="C295" i="82"/>
  <c r="O294" i="82"/>
  <c r="M294" i="82"/>
  <c r="K294" i="82"/>
  <c r="C294" i="82"/>
  <c r="O293" i="82"/>
  <c r="M293" i="82"/>
  <c r="K293" i="82"/>
  <c r="C293" i="82"/>
  <c r="O292" i="82"/>
  <c r="M292" i="82"/>
  <c r="K292" i="82"/>
  <c r="C292" i="82"/>
  <c r="O291" i="82"/>
  <c r="M291" i="82"/>
  <c r="K291" i="82"/>
  <c r="C291" i="82"/>
  <c r="O290" i="82"/>
  <c r="M290" i="82"/>
  <c r="K290" i="82"/>
  <c r="C290" i="82"/>
  <c r="O289" i="82"/>
  <c r="M289" i="82"/>
  <c r="K289" i="82"/>
  <c r="C289" i="82"/>
  <c r="O288" i="82"/>
  <c r="M288" i="82"/>
  <c r="K288" i="82"/>
  <c r="C288" i="82"/>
  <c r="O287" i="82"/>
  <c r="M287" i="82"/>
  <c r="K287" i="82"/>
  <c r="C287" i="82"/>
  <c r="O286" i="82"/>
  <c r="M286" i="82"/>
  <c r="K286" i="82"/>
  <c r="C286" i="82"/>
  <c r="O285" i="82"/>
  <c r="M285" i="82"/>
  <c r="K285" i="82"/>
  <c r="C285" i="82"/>
  <c r="O284" i="82"/>
  <c r="M284" i="82"/>
  <c r="K284" i="82"/>
  <c r="C284" i="82"/>
  <c r="O283" i="82"/>
  <c r="M283" i="82"/>
  <c r="K283" i="82"/>
  <c r="C283" i="82"/>
  <c r="O282" i="82"/>
  <c r="M282" i="82"/>
  <c r="K282" i="82"/>
  <c r="C282" i="82"/>
  <c r="O281" i="82"/>
  <c r="M281" i="82"/>
  <c r="K281" i="82"/>
  <c r="C281" i="82"/>
  <c r="O280" i="82"/>
  <c r="M280" i="82"/>
  <c r="K280" i="82"/>
  <c r="C280" i="82"/>
  <c r="O279" i="82"/>
  <c r="M279" i="82"/>
  <c r="K279" i="82"/>
  <c r="C279" i="82"/>
  <c r="O278" i="82"/>
  <c r="M278" i="82"/>
  <c r="K278" i="82"/>
  <c r="C278" i="82"/>
  <c r="O277" i="82"/>
  <c r="M277" i="82"/>
  <c r="K277" i="82"/>
  <c r="C277" i="82"/>
  <c r="O276" i="82"/>
  <c r="M276" i="82"/>
  <c r="K276" i="82"/>
  <c r="C276" i="82"/>
  <c r="O275" i="82"/>
  <c r="M275" i="82"/>
  <c r="K275" i="82"/>
  <c r="C275" i="82"/>
  <c r="O274" i="82"/>
  <c r="M274" i="82"/>
  <c r="K274" i="82"/>
  <c r="C274" i="82"/>
  <c r="O273" i="82"/>
  <c r="M273" i="82"/>
  <c r="K273" i="82"/>
  <c r="C273" i="82"/>
  <c r="O272" i="82"/>
  <c r="M272" i="82"/>
  <c r="K272" i="82"/>
  <c r="C272" i="82"/>
  <c r="O271" i="82"/>
  <c r="M271" i="82"/>
  <c r="K271" i="82"/>
  <c r="C271" i="82"/>
  <c r="O270" i="82"/>
  <c r="M270" i="82"/>
  <c r="K270" i="82"/>
  <c r="C270" i="82"/>
  <c r="O269" i="82"/>
  <c r="M269" i="82"/>
  <c r="K269" i="82"/>
  <c r="C269" i="82"/>
  <c r="O268" i="82"/>
  <c r="M268" i="82"/>
  <c r="K268" i="82"/>
  <c r="C268" i="82"/>
  <c r="O267" i="82"/>
  <c r="M267" i="82"/>
  <c r="K267" i="82"/>
  <c r="C267" i="82"/>
  <c r="O266" i="82"/>
  <c r="M266" i="82"/>
  <c r="K266" i="82"/>
  <c r="C266" i="82"/>
  <c r="O265" i="82"/>
  <c r="M265" i="82"/>
  <c r="K265" i="82"/>
  <c r="C265" i="82"/>
  <c r="O264" i="82"/>
  <c r="M264" i="82"/>
  <c r="K264" i="82"/>
  <c r="C264" i="82"/>
  <c r="O263" i="82"/>
  <c r="M263" i="82"/>
  <c r="K263" i="82"/>
  <c r="C263" i="82"/>
  <c r="O262" i="82"/>
  <c r="M262" i="82"/>
  <c r="K262" i="82"/>
  <c r="C262" i="82"/>
  <c r="O261" i="82"/>
  <c r="M261" i="82"/>
  <c r="K261" i="82"/>
  <c r="C261" i="82"/>
  <c r="O260" i="82"/>
  <c r="M260" i="82"/>
  <c r="K260" i="82"/>
  <c r="C260" i="82"/>
  <c r="O259" i="82"/>
  <c r="M259" i="82"/>
  <c r="K259" i="82"/>
  <c r="C259" i="82"/>
  <c r="O258" i="82"/>
  <c r="M258" i="82"/>
  <c r="K258" i="82"/>
  <c r="C258" i="82"/>
  <c r="O257" i="82"/>
  <c r="M257" i="82"/>
  <c r="K257" i="82"/>
  <c r="C257" i="82"/>
  <c r="O256" i="82"/>
  <c r="M256" i="82"/>
  <c r="K256" i="82"/>
  <c r="C256" i="82"/>
  <c r="O255" i="82"/>
  <c r="M255" i="82"/>
  <c r="K255" i="82"/>
  <c r="C255" i="82"/>
  <c r="O254" i="82"/>
  <c r="M254" i="82"/>
  <c r="K254" i="82"/>
  <c r="C254" i="82"/>
  <c r="O253" i="82"/>
  <c r="M253" i="82"/>
  <c r="K253" i="82"/>
  <c r="C253" i="82"/>
  <c r="O252" i="82"/>
  <c r="M252" i="82"/>
  <c r="K252" i="82"/>
  <c r="C252" i="82"/>
  <c r="O251" i="82"/>
  <c r="M251" i="82"/>
  <c r="K251" i="82"/>
  <c r="C251" i="82"/>
  <c r="O250" i="82"/>
  <c r="M250" i="82"/>
  <c r="K250" i="82"/>
  <c r="C250" i="82"/>
  <c r="O249" i="82"/>
  <c r="M249" i="82"/>
  <c r="K249" i="82"/>
  <c r="C249" i="82"/>
  <c r="O248" i="82"/>
  <c r="M248" i="82"/>
  <c r="K248" i="82"/>
  <c r="C248" i="82"/>
  <c r="O247" i="82"/>
  <c r="M247" i="82"/>
  <c r="K247" i="82"/>
  <c r="C247" i="82"/>
  <c r="O246" i="82"/>
  <c r="M246" i="82"/>
  <c r="K246" i="82"/>
  <c r="C246" i="82"/>
  <c r="O245" i="82"/>
  <c r="M245" i="82"/>
  <c r="K245" i="82"/>
  <c r="C245" i="82"/>
  <c r="O244" i="82"/>
  <c r="M244" i="82"/>
  <c r="K244" i="82"/>
  <c r="C244" i="82"/>
  <c r="O243" i="82"/>
  <c r="M243" i="82"/>
  <c r="K243" i="82"/>
  <c r="C243" i="82"/>
  <c r="O242" i="82"/>
  <c r="M242" i="82"/>
  <c r="K242" i="82"/>
  <c r="C242" i="82"/>
  <c r="O241" i="82"/>
  <c r="M241" i="82"/>
  <c r="K241" i="82"/>
  <c r="C241" i="82"/>
  <c r="O240" i="82"/>
  <c r="M240" i="82"/>
  <c r="K240" i="82"/>
  <c r="C240" i="82"/>
  <c r="O239" i="82"/>
  <c r="M239" i="82"/>
  <c r="K239" i="82"/>
  <c r="C239" i="82"/>
  <c r="O238" i="82"/>
  <c r="M238" i="82"/>
  <c r="K238" i="82"/>
  <c r="C238" i="82"/>
  <c r="O237" i="82"/>
  <c r="M237" i="82"/>
  <c r="K237" i="82"/>
  <c r="C237" i="82"/>
  <c r="O236" i="82"/>
  <c r="M236" i="82"/>
  <c r="K236" i="82"/>
  <c r="C236" i="82"/>
  <c r="O235" i="82"/>
  <c r="M235" i="82"/>
  <c r="K235" i="82"/>
  <c r="C235" i="82"/>
  <c r="O234" i="82"/>
  <c r="M234" i="82"/>
  <c r="K234" i="82"/>
  <c r="C234" i="82"/>
  <c r="O233" i="82"/>
  <c r="M233" i="82"/>
  <c r="K233" i="82"/>
  <c r="C233" i="82"/>
  <c r="O232" i="82"/>
  <c r="M232" i="82"/>
  <c r="K232" i="82"/>
  <c r="C232" i="82"/>
  <c r="O231" i="82"/>
  <c r="M231" i="82"/>
  <c r="K231" i="82"/>
  <c r="C231" i="82"/>
  <c r="O230" i="82"/>
  <c r="M230" i="82"/>
  <c r="K230" i="82"/>
  <c r="C230" i="82"/>
  <c r="O229" i="82"/>
  <c r="M229" i="82"/>
  <c r="K229" i="82"/>
  <c r="C229" i="82"/>
  <c r="O228" i="82"/>
  <c r="M228" i="82"/>
  <c r="K228" i="82"/>
  <c r="C228" i="82"/>
  <c r="O227" i="82"/>
  <c r="M227" i="82"/>
  <c r="K227" i="82"/>
  <c r="C227" i="82"/>
  <c r="O226" i="82"/>
  <c r="M226" i="82"/>
  <c r="K226" i="82"/>
  <c r="C226" i="82"/>
  <c r="O225" i="82"/>
  <c r="M225" i="82"/>
  <c r="K225" i="82"/>
  <c r="C225" i="82"/>
  <c r="O224" i="82"/>
  <c r="M224" i="82"/>
  <c r="K224" i="82"/>
  <c r="C224" i="82"/>
  <c r="O223" i="82"/>
  <c r="M223" i="82"/>
  <c r="K223" i="82"/>
  <c r="C223" i="82"/>
  <c r="O222" i="82"/>
  <c r="M222" i="82"/>
  <c r="K222" i="82"/>
  <c r="C222" i="82"/>
  <c r="O221" i="82"/>
  <c r="M221" i="82"/>
  <c r="K221" i="82"/>
  <c r="C221" i="82"/>
  <c r="O220" i="82"/>
  <c r="M220" i="82"/>
  <c r="K220" i="82"/>
  <c r="C220" i="82"/>
  <c r="O219" i="82"/>
  <c r="M219" i="82"/>
  <c r="K219" i="82"/>
  <c r="C219" i="82"/>
  <c r="O218" i="82"/>
  <c r="M218" i="82"/>
  <c r="K218" i="82"/>
  <c r="C218" i="82"/>
  <c r="O217" i="82"/>
  <c r="M217" i="82"/>
  <c r="K217" i="82"/>
  <c r="C217" i="82"/>
  <c r="O216" i="82"/>
  <c r="M216" i="82"/>
  <c r="K216" i="82"/>
  <c r="C216" i="82"/>
  <c r="O215" i="82"/>
  <c r="M215" i="82"/>
  <c r="K215" i="82"/>
  <c r="C215" i="82"/>
  <c r="O214" i="82"/>
  <c r="M214" i="82"/>
  <c r="K214" i="82"/>
  <c r="C214" i="82"/>
  <c r="O213" i="82"/>
  <c r="M213" i="82"/>
  <c r="K213" i="82"/>
  <c r="C213" i="82"/>
  <c r="O212" i="82"/>
  <c r="M212" i="82"/>
  <c r="K212" i="82"/>
  <c r="C212" i="82"/>
  <c r="O211" i="82"/>
  <c r="M211" i="82"/>
  <c r="K211" i="82"/>
  <c r="C211" i="82"/>
  <c r="O210" i="82"/>
  <c r="M210" i="82"/>
  <c r="K210" i="82"/>
  <c r="C210" i="82"/>
  <c r="O209" i="82"/>
  <c r="M209" i="82"/>
  <c r="K209" i="82"/>
  <c r="C209" i="82"/>
  <c r="O208" i="82"/>
  <c r="M208" i="82"/>
  <c r="K208" i="82"/>
  <c r="C208" i="82"/>
  <c r="O207" i="82"/>
  <c r="M207" i="82"/>
  <c r="K207" i="82"/>
  <c r="C207" i="82"/>
  <c r="O206" i="82"/>
  <c r="M206" i="82"/>
  <c r="K206" i="82"/>
  <c r="C206" i="82"/>
  <c r="O205" i="82"/>
  <c r="M205" i="82"/>
  <c r="K205" i="82"/>
  <c r="C205" i="82"/>
  <c r="O204" i="82"/>
  <c r="M204" i="82"/>
  <c r="K204" i="82"/>
  <c r="C204" i="82"/>
  <c r="O203" i="82"/>
  <c r="M203" i="82"/>
  <c r="K203" i="82"/>
  <c r="C203" i="82"/>
  <c r="O202" i="82"/>
  <c r="M202" i="82"/>
  <c r="K202" i="82"/>
  <c r="C202" i="82"/>
  <c r="O201" i="82"/>
  <c r="M201" i="82"/>
  <c r="K201" i="82"/>
  <c r="C201" i="82"/>
  <c r="O200" i="82"/>
  <c r="M200" i="82"/>
  <c r="K200" i="82"/>
  <c r="C200" i="82"/>
  <c r="O199" i="82"/>
  <c r="M199" i="82"/>
  <c r="K199" i="82"/>
  <c r="C199" i="82"/>
  <c r="O198" i="82"/>
  <c r="M198" i="82"/>
  <c r="K198" i="82"/>
  <c r="C198" i="82"/>
  <c r="O197" i="82"/>
  <c r="M197" i="82"/>
  <c r="K197" i="82"/>
  <c r="C197" i="82"/>
  <c r="O196" i="82"/>
  <c r="M196" i="82"/>
  <c r="K196" i="82"/>
  <c r="C196" i="82"/>
  <c r="O195" i="82"/>
  <c r="M195" i="82"/>
  <c r="K195" i="82"/>
  <c r="C195" i="82"/>
  <c r="O194" i="82"/>
  <c r="M194" i="82"/>
  <c r="K194" i="82"/>
  <c r="C194" i="82"/>
  <c r="O193" i="82"/>
  <c r="M193" i="82"/>
  <c r="K193" i="82"/>
  <c r="C193" i="82"/>
  <c r="O192" i="82"/>
  <c r="M192" i="82"/>
  <c r="K192" i="82"/>
  <c r="C192" i="82"/>
  <c r="O191" i="82"/>
  <c r="M191" i="82"/>
  <c r="K191" i="82"/>
  <c r="C191" i="82"/>
  <c r="O190" i="82"/>
  <c r="M190" i="82"/>
  <c r="K190" i="82"/>
  <c r="C190" i="82"/>
  <c r="O189" i="82"/>
  <c r="M189" i="82"/>
  <c r="K189" i="82"/>
  <c r="C189" i="82"/>
  <c r="O188" i="82"/>
  <c r="M188" i="82"/>
  <c r="K188" i="82"/>
  <c r="C188" i="82"/>
  <c r="O187" i="82"/>
  <c r="M187" i="82"/>
  <c r="K187" i="82"/>
  <c r="C187" i="82"/>
  <c r="O186" i="82"/>
  <c r="M186" i="82"/>
  <c r="K186" i="82"/>
  <c r="C186" i="82"/>
  <c r="O185" i="82"/>
  <c r="M185" i="82"/>
  <c r="K185" i="82"/>
  <c r="C185" i="82"/>
  <c r="O184" i="82"/>
  <c r="M184" i="82"/>
  <c r="K184" i="82"/>
  <c r="C184" i="82"/>
  <c r="O183" i="82"/>
  <c r="M183" i="82"/>
  <c r="K183" i="82"/>
  <c r="C183" i="82"/>
  <c r="O182" i="82"/>
  <c r="M182" i="82"/>
  <c r="K182" i="82"/>
  <c r="C182" i="82"/>
  <c r="O181" i="82"/>
  <c r="M181" i="82"/>
  <c r="K181" i="82"/>
  <c r="C181" i="82"/>
  <c r="O180" i="82"/>
  <c r="M180" i="82"/>
  <c r="K180" i="82"/>
  <c r="C180" i="82"/>
  <c r="O179" i="82"/>
  <c r="M179" i="82"/>
  <c r="K179" i="82"/>
  <c r="C179" i="82"/>
  <c r="O178" i="82"/>
  <c r="M178" i="82"/>
  <c r="K178" i="82"/>
  <c r="C178" i="82"/>
  <c r="O177" i="82"/>
  <c r="M177" i="82"/>
  <c r="K177" i="82"/>
  <c r="C177" i="82"/>
  <c r="O176" i="82"/>
  <c r="M176" i="82"/>
  <c r="K176" i="82"/>
  <c r="C176" i="82"/>
  <c r="O175" i="82"/>
  <c r="M175" i="82"/>
  <c r="K175" i="82"/>
  <c r="C175" i="82"/>
  <c r="O174" i="82"/>
  <c r="M174" i="82"/>
  <c r="K174" i="82"/>
  <c r="C174" i="82"/>
  <c r="O173" i="82"/>
  <c r="M173" i="82"/>
  <c r="K173" i="82"/>
  <c r="C173" i="82"/>
  <c r="O172" i="82"/>
  <c r="M172" i="82"/>
  <c r="K172" i="82"/>
  <c r="C172" i="82"/>
  <c r="O171" i="82"/>
  <c r="M171" i="82"/>
  <c r="K171" i="82"/>
  <c r="C171" i="82"/>
  <c r="O170" i="82"/>
  <c r="M170" i="82"/>
  <c r="K170" i="82"/>
  <c r="C170" i="82"/>
  <c r="O169" i="82"/>
  <c r="M169" i="82"/>
  <c r="K169" i="82"/>
  <c r="C169" i="82"/>
  <c r="O168" i="82"/>
  <c r="M168" i="82"/>
  <c r="K168" i="82"/>
  <c r="C168" i="82"/>
  <c r="O167" i="82"/>
  <c r="M167" i="82"/>
  <c r="K167" i="82"/>
  <c r="C167" i="82"/>
  <c r="O166" i="82"/>
  <c r="M166" i="82"/>
  <c r="K166" i="82"/>
  <c r="C166" i="82"/>
  <c r="O165" i="82"/>
  <c r="M165" i="82"/>
  <c r="K165" i="82"/>
  <c r="C165" i="82"/>
  <c r="O164" i="82"/>
  <c r="M164" i="82"/>
  <c r="K164" i="82"/>
  <c r="C164" i="82"/>
  <c r="O163" i="82"/>
  <c r="M163" i="82"/>
  <c r="K163" i="82"/>
  <c r="C163" i="82"/>
  <c r="O162" i="82"/>
  <c r="M162" i="82"/>
  <c r="K162" i="82"/>
  <c r="C162" i="82"/>
  <c r="O161" i="82"/>
  <c r="M161" i="82"/>
  <c r="K161" i="82"/>
  <c r="C161" i="82"/>
  <c r="O160" i="82"/>
  <c r="M160" i="82"/>
  <c r="K160" i="82"/>
  <c r="C160" i="82"/>
  <c r="O159" i="82"/>
  <c r="M159" i="82"/>
  <c r="K159" i="82"/>
  <c r="C159" i="82"/>
  <c r="O158" i="82"/>
  <c r="M158" i="82"/>
  <c r="K158" i="82"/>
  <c r="C158" i="82"/>
  <c r="O157" i="82"/>
  <c r="M157" i="82"/>
  <c r="K157" i="82"/>
  <c r="C157" i="82"/>
  <c r="O156" i="82"/>
  <c r="M156" i="82"/>
  <c r="K156" i="82"/>
  <c r="C156" i="82"/>
  <c r="O155" i="82"/>
  <c r="M155" i="82"/>
  <c r="K155" i="82"/>
  <c r="C155" i="82"/>
  <c r="O154" i="82"/>
  <c r="M154" i="82"/>
  <c r="K154" i="82"/>
  <c r="C154" i="82"/>
  <c r="O153" i="82"/>
  <c r="M153" i="82"/>
  <c r="K153" i="82"/>
  <c r="C153" i="82"/>
  <c r="O152" i="82"/>
  <c r="M152" i="82"/>
  <c r="K152" i="82"/>
  <c r="C152" i="82"/>
  <c r="O151" i="82"/>
  <c r="M151" i="82"/>
  <c r="K151" i="82"/>
  <c r="C151" i="82"/>
  <c r="O150" i="82"/>
  <c r="M150" i="82"/>
  <c r="K150" i="82"/>
  <c r="C150" i="82"/>
  <c r="O149" i="82"/>
  <c r="M149" i="82"/>
  <c r="K149" i="82"/>
  <c r="C149" i="82"/>
  <c r="O148" i="82"/>
  <c r="M148" i="82"/>
  <c r="K148" i="82"/>
  <c r="C148" i="82"/>
  <c r="O147" i="82"/>
  <c r="M147" i="82"/>
  <c r="K147" i="82"/>
  <c r="C147" i="82"/>
  <c r="O146" i="82"/>
  <c r="M146" i="82"/>
  <c r="K146" i="82"/>
  <c r="C146" i="82"/>
  <c r="O145" i="82"/>
  <c r="M145" i="82"/>
  <c r="K145" i="82"/>
  <c r="C145" i="82"/>
  <c r="O144" i="82"/>
  <c r="M144" i="82"/>
  <c r="K144" i="82"/>
  <c r="C144" i="82"/>
  <c r="O143" i="82"/>
  <c r="M143" i="82"/>
  <c r="K143" i="82"/>
  <c r="C143" i="82"/>
  <c r="O142" i="82"/>
  <c r="M142" i="82"/>
  <c r="K142" i="82"/>
  <c r="C142" i="82"/>
  <c r="O141" i="82"/>
  <c r="M141" i="82"/>
  <c r="K141" i="82"/>
  <c r="C141" i="82"/>
  <c r="O140" i="82"/>
  <c r="M140" i="82"/>
  <c r="K140" i="82"/>
  <c r="C140" i="82"/>
  <c r="O139" i="82"/>
  <c r="M139" i="82"/>
  <c r="K139" i="82"/>
  <c r="C139" i="82"/>
  <c r="O138" i="82"/>
  <c r="M138" i="82"/>
  <c r="K138" i="82"/>
  <c r="C138" i="82"/>
  <c r="O137" i="82"/>
  <c r="M137" i="82"/>
  <c r="K137" i="82"/>
  <c r="C137" i="82"/>
  <c r="O136" i="82"/>
  <c r="M136" i="82"/>
  <c r="K136" i="82"/>
  <c r="C136" i="82"/>
  <c r="O135" i="82"/>
  <c r="M135" i="82"/>
  <c r="K135" i="82"/>
  <c r="C135" i="82"/>
  <c r="O134" i="82"/>
  <c r="M134" i="82"/>
  <c r="K134" i="82"/>
  <c r="C134" i="82"/>
  <c r="O133" i="82"/>
  <c r="M133" i="82"/>
  <c r="K133" i="82"/>
  <c r="C133" i="82"/>
  <c r="O132" i="82"/>
  <c r="M132" i="82"/>
  <c r="K132" i="82"/>
  <c r="C132" i="82"/>
  <c r="O131" i="82"/>
  <c r="M131" i="82"/>
  <c r="K131" i="82"/>
  <c r="C131" i="82"/>
  <c r="O130" i="82"/>
  <c r="M130" i="82"/>
  <c r="K130" i="82"/>
  <c r="C130" i="82"/>
  <c r="O129" i="82"/>
  <c r="M129" i="82"/>
  <c r="K129" i="82"/>
  <c r="C129" i="82"/>
  <c r="O128" i="82"/>
  <c r="M128" i="82"/>
  <c r="K128" i="82"/>
  <c r="C128" i="82"/>
  <c r="O127" i="82"/>
  <c r="M127" i="82"/>
  <c r="K127" i="82"/>
  <c r="C127" i="82"/>
  <c r="O126" i="82"/>
  <c r="M126" i="82"/>
  <c r="K126" i="82"/>
  <c r="C126" i="82"/>
  <c r="O125" i="82"/>
  <c r="M125" i="82"/>
  <c r="K125" i="82"/>
  <c r="C125" i="82"/>
  <c r="O124" i="82"/>
  <c r="M124" i="82"/>
  <c r="K124" i="82"/>
  <c r="C124" i="82"/>
  <c r="O123" i="82"/>
  <c r="M123" i="82"/>
  <c r="K123" i="82"/>
  <c r="C123" i="82"/>
  <c r="P23" i="82"/>
  <c r="N23" i="82"/>
  <c r="L23" i="82"/>
  <c r="J23"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J2" i="82"/>
  <c r="F2" i="82"/>
  <c r="S2" i="82"/>
  <c r="R2" i="82"/>
  <c r="Q2" i="82"/>
  <c r="P2" i="82"/>
  <c r="O2" i="82"/>
  <c r="N2" i="82"/>
  <c r="M2" i="82"/>
  <c r="L2" i="82"/>
  <c r="K2" i="82"/>
  <c r="H2" i="82"/>
  <c r="D2" i="82"/>
  <c r="E89" i="33"/>
  <c r="F89" i="33"/>
  <c r="G89" i="33"/>
  <c r="E3" i="31"/>
  <c r="C3" i="31"/>
  <c r="F20" i="82"/>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F23"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L4" i="80"/>
  <c r="K4" i="80"/>
  <c r="H1" i="80"/>
  <c r="Q72" i="79"/>
  <c r="Q59" i="79"/>
  <c r="K59" i="79"/>
  <c r="P74" i="79"/>
  <c r="F59" i="79"/>
  <c r="Q58" i="79"/>
  <c r="Q51" i="79"/>
  <c r="D46" i="79"/>
  <c r="F61" i="79"/>
  <c r="F60" i="79"/>
  <c r="F31" i="79"/>
  <c r="D23" i="79"/>
  <c r="M19" i="79"/>
  <c r="M18" i="79"/>
  <c r="M17"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L4" i="78"/>
  <c r="K4" i="78"/>
  <c r="H1" i="78"/>
  <c r="Q72" i="77"/>
  <c r="Q59" i="77"/>
  <c r="K59" i="77"/>
  <c r="P74" i="77"/>
  <c r="F59" i="77"/>
  <c r="Q58" i="77"/>
  <c r="Q51" i="77"/>
  <c r="D46" i="77"/>
  <c r="F61" i="77"/>
  <c r="F60" i="77"/>
  <c r="F31" i="77"/>
  <c r="M19" i="77"/>
  <c r="M18" i="77"/>
  <c r="M17" i="77"/>
  <c r="F65" i="91"/>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c r="C76" i="9"/>
  <c r="I107" i="40"/>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U18" i="35"/>
  <c r="W18" i="35"/>
  <c r="F77" i="37"/>
  <c r="H21" i="37"/>
  <c r="F21" i="37"/>
  <c r="U21" i="34"/>
  <c r="S21" i="33"/>
  <c r="E83" i="21"/>
  <c r="S21" i="21"/>
  <c r="H1" i="69"/>
  <c r="AC25" i="40"/>
  <c r="W25" i="40"/>
  <c r="AB25" i="40"/>
  <c r="U25" i="40"/>
  <c r="AC18" i="36"/>
  <c r="W18" i="36"/>
  <c r="AB21" i="37"/>
  <c r="U21" i="37"/>
  <c r="AA21" i="37"/>
  <c r="S21" i="37"/>
  <c r="U21" i="33"/>
  <c r="G77" i="37"/>
  <c r="J21" i="37"/>
  <c r="W21" i="34"/>
  <c r="F83" i="21"/>
  <c r="H21" i="21"/>
  <c r="F38" i="69"/>
  <c r="E37" i="69"/>
  <c r="F36" i="69"/>
  <c r="F35" i="69"/>
  <c r="F21" i="69"/>
  <c r="C21" i="69"/>
  <c r="F20" i="69"/>
  <c r="E10" i="69"/>
  <c r="E9" i="69"/>
  <c r="C7" i="69"/>
  <c r="AC21" i="37"/>
  <c r="W21" i="37"/>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C51" i="10"/>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9" i="1"/>
  <c r="AG10" i="1"/>
  <c r="AG11" i="1"/>
  <c r="AG12" i="1"/>
  <c r="AG13" i="1"/>
  <c r="D12" i="31"/>
  <c r="E12" i="31"/>
  <c r="F12" i="31"/>
  <c r="G12" i="31"/>
  <c r="H12" i="31"/>
  <c r="I12" i="31"/>
  <c r="J12" i="31"/>
  <c r="K12" i="31"/>
  <c r="L12" i="31"/>
  <c r="M12" i="31"/>
  <c r="N12" i="31"/>
  <c r="O12" i="31"/>
  <c r="P12" i="31"/>
  <c r="Q12" i="31"/>
  <c r="R12" i="31"/>
  <c r="S12" i="31"/>
  <c r="F15" i="4"/>
  <c r="F12" i="1"/>
  <c r="D12" i="1"/>
  <c r="G12" i="1"/>
  <c r="F13" i="1"/>
  <c r="D6" i="1"/>
  <c r="D9" i="1"/>
  <c r="D10" i="1"/>
  <c r="D11" i="1"/>
  <c r="D13"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F7" i="1"/>
  <c r="F19" i="4"/>
  <c r="F2" i="52"/>
  <c r="B50" i="72"/>
  <c r="D2" i="52"/>
  <c r="B46" i="72"/>
  <c r="B8" i="53"/>
  <c r="B23" i="72"/>
  <c r="L4" i="9"/>
  <c r="B17" i="72"/>
  <c r="B15" i="72"/>
  <c r="A3" i="51"/>
  <c r="C8" i="11"/>
  <c r="B2" i="49"/>
  <c r="E17" i="49"/>
  <c r="B40" i="48"/>
  <c r="B3" i="72"/>
  <c r="I2" i="43"/>
  <c r="N1" i="43"/>
  <c r="F35" i="4"/>
  <c r="H34" i="43"/>
  <c r="H35" i="43"/>
  <c r="H36" i="43"/>
  <c r="H37" i="43"/>
  <c r="H38" i="43"/>
  <c r="H39" i="43"/>
  <c r="H33" i="43"/>
  <c r="J20" i="43"/>
  <c r="C18" i="43"/>
  <c r="F15" i="43"/>
  <c r="E15" i="43"/>
  <c r="D15" i="43"/>
  <c r="C15" i="43"/>
  <c r="C10" i="43"/>
  <c r="C11" i="43"/>
  <c r="C9" i="43"/>
  <c r="A7" i="43"/>
  <c r="F61" i="15"/>
  <c r="D78" i="9"/>
  <c r="M18" i="78"/>
  <c r="B118" i="78"/>
  <c r="B15" i="74"/>
  <c r="D24" i="15"/>
  <c r="O13" i="1"/>
  <c r="P13" i="1"/>
  <c r="M18" i="88"/>
  <c r="B118" i="88"/>
  <c r="B16" i="74"/>
  <c r="F35" i="11"/>
  <c r="F36" i="11"/>
  <c r="F38" i="11"/>
  <c r="E37" i="11"/>
  <c r="F20" i="11"/>
  <c r="F21" i="11"/>
  <c r="C21" i="11"/>
  <c r="F7" i="11"/>
  <c r="C7" i="11"/>
  <c r="F12" i="12"/>
  <c r="F13" i="12"/>
  <c r="F15" i="12"/>
  <c r="E14" i="12"/>
  <c r="BC11" i="3"/>
  <c r="BD11" i="3"/>
  <c r="BB11" i="3"/>
  <c r="E19" i="12"/>
  <c r="E20" i="12"/>
  <c r="E17" i="12"/>
  <c r="F22" i="12"/>
  <c r="F23" i="12"/>
  <c r="I55" i="9"/>
  <c r="F55" i="9"/>
  <c r="O53" i="9"/>
  <c r="J55" i="9"/>
  <c r="T4" i="1"/>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34" i="37"/>
  <c r="D101" i="37"/>
  <c r="F34" i="37"/>
  <c r="D99" i="37"/>
  <c r="E99" i="37"/>
  <c r="F99" i="37"/>
  <c r="G99" i="37"/>
  <c r="H99" i="37"/>
  <c r="I99" i="37"/>
  <c r="J99" i="37"/>
  <c r="K99" i="37"/>
  <c r="L99" i="37"/>
  <c r="M99" i="37"/>
  <c r="W42" i="34"/>
  <c r="W38" i="34"/>
  <c r="D114" i="34"/>
  <c r="S38" i="34"/>
  <c r="W41" i="33"/>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C15" i="34"/>
  <c r="H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F82" i="34"/>
  <c r="G82" i="34"/>
  <c r="E80" i="34"/>
  <c r="F80" i="34"/>
  <c r="G80"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E91" i="33"/>
  <c r="F91" i="33"/>
  <c r="G91" i="33"/>
  <c r="H91" i="33"/>
  <c r="I91" i="33"/>
  <c r="J91" i="33"/>
  <c r="K91" i="33"/>
  <c r="L91" i="33"/>
  <c r="M91" i="33"/>
  <c r="C23" i="33"/>
  <c r="E23" i="33"/>
  <c r="G23" i="33"/>
  <c r="I23" i="33"/>
  <c r="C19" i="33"/>
  <c r="E19" i="33"/>
  <c r="G19" i="33"/>
  <c r="I19" i="33"/>
  <c r="C17" i="33"/>
  <c r="E17" i="33"/>
  <c r="G17" i="33"/>
  <c r="I17" i="33"/>
  <c r="C15" i="33"/>
  <c r="E15" i="33"/>
  <c r="G15" i="33"/>
  <c r="I15" i="33"/>
  <c r="C15" i="21"/>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F87" i="33"/>
  <c r="G87" i="33"/>
  <c r="H87" i="33"/>
  <c r="I87" i="33"/>
  <c r="J87" i="33"/>
  <c r="K87" i="33"/>
  <c r="L87" i="33"/>
  <c r="M87" i="33"/>
  <c r="E85" i="33"/>
  <c r="F85" i="33"/>
  <c r="G85"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W22" i="35"/>
  <c r="S31" i="35"/>
  <c r="U34" i="35"/>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11" i="21"/>
  <c r="U11" i="21"/>
  <c r="J11" i="21"/>
  <c r="W11" i="21"/>
  <c r="H37" i="40"/>
  <c r="U37" i="40"/>
  <c r="H36" i="40"/>
  <c r="AB36" i="40"/>
  <c r="F35" i="40"/>
  <c r="AA35" i="40"/>
  <c r="H23" i="40"/>
  <c r="AB23" i="40"/>
  <c r="H17" i="40"/>
  <c r="U17" i="40"/>
  <c r="J15" i="40"/>
  <c r="W15" i="40"/>
  <c r="J11" i="40"/>
  <c r="W11" i="40"/>
  <c r="AB12" i="36"/>
  <c r="W32" i="40"/>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F35" i="37"/>
  <c r="S35" i="37"/>
  <c r="E101" i="37"/>
  <c r="F101" i="37"/>
  <c r="G101" i="37"/>
  <c r="H101" i="37"/>
  <c r="I101" i="37"/>
  <c r="J101" i="37"/>
  <c r="K101" i="37"/>
  <c r="L101" i="37"/>
  <c r="M101" i="37"/>
  <c r="J34" i="37"/>
  <c r="W34" i="37"/>
  <c r="S10" i="37"/>
  <c r="AA39" i="37"/>
  <c r="AB34" i="37"/>
  <c r="J33" i="37"/>
  <c r="AC33" i="37"/>
  <c r="U42" i="34"/>
  <c r="U40" i="34"/>
  <c r="E114" i="34"/>
  <c r="F114" i="34"/>
  <c r="G114" i="34"/>
  <c r="H114" i="34"/>
  <c r="I114" i="34"/>
  <c r="J114" i="34"/>
  <c r="K114" i="34"/>
  <c r="L114" i="34"/>
  <c r="M114" i="34"/>
  <c r="U36" i="34"/>
  <c r="U23" i="34"/>
  <c r="W23" i="34"/>
  <c r="U17" i="34"/>
  <c r="S9" i="34"/>
  <c r="W8" i="34"/>
  <c r="W28" i="34"/>
  <c r="E113"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W36" i="34"/>
  <c r="W17" i="34"/>
  <c r="S15" i="34"/>
  <c r="F113" i="33"/>
  <c r="G113" i="33"/>
  <c r="H113" i="33"/>
  <c r="I113" i="33"/>
  <c r="J113" i="33"/>
  <c r="K113" i="33"/>
  <c r="L113" i="33"/>
  <c r="M113" i="33"/>
  <c r="F28" i="40"/>
  <c r="AA28" i="40"/>
  <c r="S42" i="34"/>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U31" i="33"/>
  <c r="W29" i="33"/>
  <c r="U13" i="33"/>
  <c r="AC28" i="21"/>
  <c r="S44" i="34"/>
  <c r="F17" i="21"/>
  <c r="AA17" i="21"/>
  <c r="H17" i="21"/>
  <c r="AB17" i="21"/>
  <c r="F15" i="21"/>
  <c r="S15" i="21"/>
  <c r="AB11" i="21"/>
  <c r="S21" i="40"/>
  <c r="AA12" i="21"/>
  <c r="H25" i="21"/>
  <c r="U25" i="21"/>
  <c r="F25" i="21"/>
  <c r="S25" i="21"/>
  <c r="J25" i="21"/>
  <c r="AC25" i="21"/>
  <c r="E125" i="33"/>
  <c r="F125" i="33"/>
  <c r="G125" i="33"/>
  <c r="H17" i="37"/>
  <c r="U17" i="37"/>
  <c r="AB27" i="37"/>
  <c r="E123"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U14" i="40"/>
  <c r="AC32" i="36"/>
  <c r="AC33" i="36"/>
  <c r="U35" i="35"/>
  <c r="W23" i="35"/>
  <c r="W14" i="37"/>
  <c r="AB28" i="37"/>
  <c r="U33" i="37"/>
  <c r="U39" i="37"/>
  <c r="W26" i="37"/>
  <c r="AC8" i="37"/>
  <c r="U26" i="37"/>
  <c r="W47" i="34"/>
  <c r="W44" i="33"/>
  <c r="U11" i="33"/>
  <c r="U19" i="21"/>
  <c r="W44" i="21"/>
  <c r="U26" i="21"/>
  <c r="AC46" i="21"/>
  <c r="U12" i="21"/>
  <c r="AB38" i="21"/>
  <c r="W15" i="34"/>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6"/>
  <c r="W35" i="40"/>
  <c r="A118" i="9"/>
  <c r="A4" i="52"/>
  <c r="B41" i="72"/>
  <c r="A12" i="52"/>
  <c r="B56" i="72"/>
  <c r="G4" i="4"/>
  <c r="I4" i="4"/>
  <c r="K5" i="4"/>
  <c r="B47" i="48"/>
  <c r="A2" i="9"/>
  <c r="U36" i="40"/>
  <c r="F36" i="43"/>
  <c r="F81" i="43"/>
  <c r="H83" i="43"/>
  <c r="H113" i="43"/>
  <c r="F48" i="43"/>
  <c r="H52" i="43"/>
  <c r="F70" i="43"/>
  <c r="H73" i="43"/>
  <c r="M11" i="43"/>
  <c r="D17" i="43"/>
  <c r="F39" i="43"/>
  <c r="I17" i="43"/>
  <c r="F35" i="43"/>
  <c r="J17" i="43"/>
  <c r="G6" i="1"/>
  <c r="U43" i="21"/>
  <c r="U35" i="21"/>
  <c r="AC35" i="21"/>
  <c r="U10" i="21"/>
  <c r="F48" i="9"/>
  <c r="O52" i="9"/>
  <c r="W37" i="37"/>
  <c r="W44" i="34"/>
  <c r="S15" i="37"/>
  <c r="U13" i="37"/>
  <c r="U12" i="40"/>
  <c r="AA12" i="40"/>
  <c r="W37" i="33"/>
  <c r="W34" i="33"/>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S10" i="33"/>
  <c r="S34" i="33"/>
  <c r="U34" i="33"/>
  <c r="S35" i="33"/>
  <c r="S39" i="34"/>
  <c r="W39" i="34"/>
  <c r="S40" i="34"/>
  <c r="H75" i="43"/>
  <c r="H27" i="36"/>
  <c r="U27" i="36"/>
  <c r="F27" i="36"/>
  <c r="AA27" i="36"/>
  <c r="U33" i="34"/>
  <c r="F32" i="37"/>
  <c r="AA32" i="37"/>
  <c r="G96" i="37"/>
  <c r="H96" i="37"/>
  <c r="I96" i="37"/>
  <c r="J96" i="37"/>
  <c r="K96" i="37"/>
  <c r="L96" i="37"/>
  <c r="M96" i="37"/>
  <c r="F20" i="36"/>
  <c r="AA20" i="36"/>
  <c r="H86" i="43"/>
  <c r="H82" i="43"/>
  <c r="H87" i="43"/>
  <c r="D93" i="9"/>
  <c r="W26" i="33"/>
  <c r="AB34" i="36"/>
  <c r="U34" i="36"/>
  <c r="AB33" i="36"/>
  <c r="U33" i="36"/>
  <c r="AC39" i="40"/>
  <c r="W39" i="40"/>
  <c r="W12" i="33"/>
  <c r="AA32" i="36"/>
  <c r="S32" i="36"/>
  <c r="U30" i="33"/>
  <c r="W28" i="37"/>
  <c r="F39" i="40"/>
  <c r="S12" i="1"/>
  <c r="AR12" i="1"/>
  <c r="R12" i="1"/>
  <c r="B12" i="1"/>
  <c r="E12" i="1"/>
  <c r="B10" i="1"/>
  <c r="E10" i="1"/>
  <c r="S13" i="1"/>
  <c r="AR13" i="1"/>
  <c r="R13" i="1"/>
  <c r="J51" i="67"/>
  <c r="C77" i="9"/>
  <c r="H100" i="4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36"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U43" i="34"/>
  <c r="U39" i="34"/>
  <c r="S43" i="34"/>
  <c r="U28" i="34"/>
  <c r="S17" i="34"/>
  <c r="S23" i="34"/>
  <c r="S13" i="34"/>
  <c r="W42" i="33"/>
  <c r="W38" i="33"/>
  <c r="F121" i="33"/>
  <c r="G121" i="33"/>
  <c r="H121" i="33"/>
  <c r="I121" i="33"/>
  <c r="J121" i="33"/>
  <c r="K121" i="33"/>
  <c r="L121" i="33"/>
  <c r="M121" i="33"/>
  <c r="W35" i="33"/>
  <c r="S37" i="33"/>
  <c r="S39" i="33"/>
  <c r="W32" i="33"/>
  <c r="S46" i="33"/>
  <c r="W43" i="33"/>
  <c r="S43" i="33"/>
  <c r="S25" i="33"/>
  <c r="U23" i="33"/>
  <c r="S19" i="33"/>
  <c r="W19" i="33"/>
  <c r="S15" i="33"/>
  <c r="W15" i="33"/>
  <c r="U9" i="33"/>
  <c r="I66" i="33"/>
  <c r="W10"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J59" i="9"/>
  <c r="J61" i="9"/>
  <c r="A24" i="51"/>
  <c r="B18" i="72"/>
  <c r="U29" i="34"/>
  <c r="E5" i="6"/>
  <c r="D9" i="11"/>
  <c r="C9" i="11"/>
  <c r="E32" i="6"/>
  <c r="L19"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21"/>
  <c r="C58" i="21"/>
  <c r="C7" i="40"/>
  <c r="C63" i="40"/>
  <c r="C65" i="40"/>
  <c r="M47" i="9"/>
  <c r="G19" i="43"/>
  <c r="O19" i="43"/>
  <c r="C19" i="43"/>
  <c r="C46" i="36"/>
  <c r="C52" i="37"/>
  <c r="A4" i="51"/>
  <c r="B6" i="72"/>
  <c r="C4" i="12"/>
  <c r="H55" i="43"/>
  <c r="H56" i="43"/>
  <c r="H72" i="43"/>
  <c r="L20" i="6"/>
  <c r="B6" i="1"/>
  <c r="E6" i="1"/>
  <c r="O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33" i="34"/>
  <c r="W29" i="34"/>
  <c r="W46" i="34"/>
  <c r="S32" i="34"/>
  <c r="U30" i="34"/>
  <c r="U38" i="34"/>
  <c r="W40" i="34"/>
  <c r="S19" i="34"/>
  <c r="S36" i="34"/>
  <c r="S8" i="34"/>
  <c r="U9" i="34"/>
  <c r="S46" i="34"/>
  <c r="U32" i="34"/>
  <c r="U14" i="34"/>
  <c r="W43" i="34"/>
  <c r="W35" i="34"/>
  <c r="U12" i="34"/>
  <c r="W46" i="33"/>
  <c r="U39" i="33"/>
  <c r="U38" i="33"/>
  <c r="U44" i="33"/>
  <c r="S30" i="33"/>
  <c r="W14" i="33"/>
  <c r="W30" i="33"/>
  <c r="S31" i="33"/>
  <c r="W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60" i="15"/>
  <c r="D19" i="12"/>
  <c r="C19" i="12"/>
  <c r="AA39" i="40"/>
  <c r="S39" i="40"/>
  <c r="S12" i="33"/>
  <c r="D68" i="9"/>
  <c r="U9" i="35"/>
  <c r="AC17" i="37"/>
  <c r="S17" i="37"/>
  <c r="J19" i="37"/>
  <c r="G75" i="37"/>
  <c r="S19" i="37"/>
  <c r="AA19" i="37"/>
  <c r="AA23" i="37"/>
  <c r="J23" i="37"/>
  <c r="G79" i="37"/>
  <c r="J10" i="37"/>
  <c r="I60" i="37"/>
  <c r="G63" i="37"/>
  <c r="H11" i="37"/>
  <c r="AB10" i="37"/>
  <c r="U10" i="37"/>
  <c r="W23" i="33"/>
  <c r="S17" i="33"/>
  <c r="W17" i="33"/>
  <c r="U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c r="F34" i="68"/>
  <c r="H109" i="9"/>
  <c r="H110" i="9"/>
  <c r="D18" i="53"/>
  <c r="B35" i="72"/>
  <c r="D124" i="9"/>
  <c r="H14" i="74"/>
  <c r="B7" i="74"/>
  <c r="D16" i="53"/>
  <c r="B34" i="72"/>
  <c r="D10" i="52"/>
  <c r="D17" i="53"/>
  <c r="B36" i="72"/>
  <c r="D125" i="9"/>
  <c r="D11" i="52"/>
  <c r="W7" i="33"/>
  <c r="H112" i="9"/>
  <c r="D21" i="53"/>
  <c r="B39" i="72"/>
  <c r="H111" i="9"/>
  <c r="D126" i="9"/>
  <c r="D19" i="53"/>
  <c r="B38" i="72"/>
  <c r="D59" i="9"/>
  <c r="M55" i="9"/>
  <c r="D20" i="53"/>
  <c r="B40" i="72"/>
  <c r="AD3" i="71"/>
  <c r="D63" i="40"/>
  <c r="D65" i="40"/>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M24" i="67"/>
  <c r="B8" i="76"/>
  <c r="D7" i="73"/>
  <c r="M23" i="77"/>
  <c r="F6" i="73"/>
  <c r="F5" i="73"/>
  <c r="B7" i="76"/>
  <c r="C76" i="67"/>
  <c r="F40" i="67"/>
  <c r="J15" i="77"/>
  <c r="F8" i="67"/>
  <c r="L47" i="15"/>
  <c r="L47" i="67"/>
  <c r="E11" i="76"/>
  <c r="F42" i="67"/>
  <c r="D2" i="36"/>
  <c r="F9" i="67"/>
  <c r="L48" i="67"/>
  <c r="E13" i="76"/>
  <c r="E2" i="68"/>
  <c r="AE7" i="1"/>
  <c r="F41" i="67"/>
  <c r="D4" i="73"/>
  <c r="E9" i="76"/>
  <c r="B12" i="76"/>
  <c r="M8" i="67"/>
  <c r="M24" i="77"/>
  <c r="F37" i="67"/>
  <c r="M28" i="67"/>
  <c r="M6" i="67"/>
  <c r="F7" i="73"/>
  <c r="D2" i="34"/>
  <c r="L48" i="90"/>
  <c r="M28" i="77"/>
  <c r="D2" i="35"/>
  <c r="D9" i="68"/>
  <c r="AO12" i="1"/>
  <c r="B10" i="76"/>
  <c r="E7" i="76"/>
  <c r="F3" i="73"/>
  <c r="R7" i="1"/>
  <c r="M21" i="67"/>
  <c r="M27" i="67"/>
  <c r="B13" i="76"/>
  <c r="C76" i="15"/>
  <c r="AO13" i="1"/>
  <c r="M29" i="77"/>
  <c r="E12" i="76"/>
  <c r="E2" i="69"/>
  <c r="F6" i="67"/>
  <c r="E10" i="76"/>
  <c r="M26" i="67"/>
  <c r="M29" i="67"/>
  <c r="F7" i="67"/>
  <c r="F36" i="67"/>
  <c r="C76" i="77"/>
  <c r="F26" i="67"/>
  <c r="B11" i="76"/>
  <c r="L47" i="77"/>
  <c r="M26" i="77"/>
  <c r="D2" i="21"/>
  <c r="F43" i="67"/>
  <c r="M23" i="67"/>
  <c r="B9" i="76"/>
  <c r="F13" i="67"/>
  <c r="F20" i="31"/>
  <c r="M22" i="77"/>
  <c r="F38" i="67"/>
  <c r="J15" i="67"/>
  <c r="F35" i="67"/>
  <c r="F16" i="67"/>
  <c r="E8" i="76"/>
  <c r="M22" i="67"/>
  <c r="M9" i="67"/>
  <c r="D2" i="37"/>
  <c r="D2" i="33"/>
  <c r="D3" i="73"/>
  <c r="S35" i="34"/>
  <c r="L57" i="90"/>
  <c r="I54" i="90"/>
  <c r="J60" i="90"/>
  <c r="Q48" i="90"/>
  <c r="J57" i="90"/>
  <c r="J55" i="90"/>
  <c r="J58" i="90"/>
  <c r="Q50" i="90"/>
  <c r="L56" i="90"/>
  <c r="L60" i="90"/>
  <c r="J53" i="90"/>
  <c r="J59" i="90"/>
  <c r="L58" i="90"/>
  <c r="L57" i="91"/>
  <c r="Q48" i="91"/>
  <c r="L60" i="91"/>
  <c r="L58" i="91"/>
  <c r="L56" i="91"/>
  <c r="J57" i="91"/>
  <c r="J55" i="91"/>
  <c r="J58" i="91"/>
  <c r="Q50" i="91"/>
  <c r="I54" i="91"/>
  <c r="J59" i="91"/>
  <c r="G7" i="1"/>
  <c r="B13" i="70"/>
  <c r="B12" i="70"/>
  <c r="G11" i="1"/>
  <c r="G9" i="1"/>
  <c r="G10" i="1"/>
  <c r="F65" i="77"/>
  <c r="F66" i="77"/>
  <c r="F68" i="77"/>
  <c r="F51" i="77"/>
  <c r="Q71" i="77"/>
  <c r="F64" i="77"/>
  <c r="G8" i="1"/>
  <c r="W19" i="34"/>
  <c r="H87" i="35"/>
  <c r="I87" i="35"/>
  <c r="J87" i="35"/>
  <c r="K87" i="35"/>
  <c r="L87" i="35"/>
  <c r="M87" i="35"/>
  <c r="S29" i="35"/>
  <c r="U28" i="35"/>
  <c r="W28" i="35"/>
  <c r="F70" i="35"/>
  <c r="G70" i="35"/>
  <c r="W20" i="35"/>
  <c r="S18" i="35"/>
  <c r="S16" i="35"/>
  <c r="F66" i="35"/>
  <c r="G66" i="35"/>
  <c r="W16" i="35"/>
  <c r="F64" i="35"/>
  <c r="G64" i="35"/>
  <c r="S9" i="35"/>
  <c r="D1" i="66"/>
  <c r="E10" i="66"/>
  <c r="B8" i="1"/>
  <c r="E8" i="1"/>
  <c r="C5" i="11"/>
  <c r="S26" i="33"/>
  <c r="W21" i="33"/>
  <c r="M20" i="79"/>
  <c r="M20" i="77"/>
  <c r="F62" i="79"/>
  <c r="F62" i="77"/>
  <c r="I20" i="43"/>
  <c r="L27" i="6"/>
  <c r="H5" i="3"/>
  <c r="E11" i="6"/>
  <c r="E56" i="40"/>
  <c r="D9" i="69"/>
  <c r="C9" i="69"/>
  <c r="M18" i="80"/>
  <c r="B118" i="80"/>
  <c r="B17" i="74"/>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J67" i="43"/>
  <c r="J61" i="43"/>
  <c r="D62" i="43"/>
  <c r="E59" i="43"/>
  <c r="B57" i="43"/>
  <c r="C24" i="43"/>
  <c r="C40" i="11"/>
  <c r="C40" i="68"/>
  <c r="C40" i="69"/>
  <c r="I67" i="34"/>
  <c r="W9" i="34"/>
  <c r="W41" i="34"/>
  <c r="G88" i="34"/>
  <c r="H88" i="34"/>
  <c r="I88" i="34"/>
  <c r="J88" i="34"/>
  <c r="K88" i="34"/>
  <c r="L88" i="34"/>
  <c r="M88" i="34"/>
  <c r="F90" i="34"/>
  <c r="G90" i="34"/>
  <c r="H90" i="34"/>
  <c r="I90" i="34"/>
  <c r="J90" i="34"/>
  <c r="K90" i="34"/>
  <c r="L90" i="34"/>
  <c r="M90" i="34"/>
  <c r="S27" i="34"/>
  <c r="U25" i="34"/>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S21" i="34"/>
  <c r="U15" i="34"/>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W36" i="33"/>
  <c r="U35" i="33"/>
  <c r="U41" i="33"/>
  <c r="S42" i="33"/>
  <c r="S38" i="33"/>
  <c r="AQ13" i="1"/>
  <c r="AQ12" i="1"/>
  <c r="T13" i="1"/>
  <c r="T12" i="1"/>
  <c r="E13" i="6"/>
  <c r="F71" i="77"/>
  <c r="BL5" i="3"/>
  <c r="O6" i="1"/>
  <c r="S32" i="33"/>
  <c r="S41" i="33"/>
  <c r="W39" i="33"/>
  <c r="U32" i="33"/>
  <c r="S28" i="33"/>
  <c r="S45" i="33"/>
  <c r="S23" i="33"/>
  <c r="U19" i="33"/>
  <c r="B4" i="49"/>
  <c r="U17" i="33"/>
  <c r="S9" i="33"/>
  <c r="L58" i="77"/>
  <c r="E63" i="40"/>
  <c r="M47" i="78"/>
  <c r="M47" i="80"/>
  <c r="L56" i="77"/>
  <c r="C13" i="12"/>
  <c r="C77" i="80"/>
  <c r="C77" i="78"/>
  <c r="C74" i="80"/>
  <c r="C74" i="78"/>
  <c r="A118" i="78"/>
  <c r="A2" i="78"/>
  <c r="A118" i="80"/>
  <c r="A2" i="80"/>
  <c r="E10" i="49"/>
  <c r="B15" i="49"/>
  <c r="C9" i="68"/>
  <c r="E10" i="43"/>
  <c r="E8" i="43"/>
  <c r="E9" i="43"/>
  <c r="E11" i="43"/>
  <c r="W8" i="33"/>
  <c r="G17" i="43"/>
  <c r="C16" i="43"/>
  <c r="C5" i="43"/>
  <c r="C24" i="12"/>
  <c r="C74" i="9"/>
  <c r="M18" i="67"/>
  <c r="F30" i="68"/>
  <c r="C92" i="9"/>
  <c r="C31" i="12"/>
  <c r="F54" i="9"/>
  <c r="F30" i="69"/>
  <c r="C30" i="69"/>
  <c r="F32" i="67"/>
  <c r="F60" i="67"/>
  <c r="F52" i="9"/>
  <c r="F28" i="67"/>
  <c r="C28" i="67"/>
  <c r="F30" i="11"/>
  <c r="P61" i="15"/>
  <c r="B11" i="49"/>
  <c r="C36" i="69"/>
  <c r="B10" i="49"/>
  <c r="E15" i="49"/>
  <c r="B8" i="49"/>
  <c r="E11" i="49"/>
  <c r="E30" i="6"/>
  <c r="E12" i="6"/>
  <c r="E57" i="40"/>
  <c r="E237" i="3"/>
  <c r="O14" i="1"/>
  <c r="P14" i="1"/>
  <c r="P6" i="1"/>
  <c r="O12" i="1"/>
  <c r="P12" i="1"/>
  <c r="O9" i="1"/>
  <c r="P9" i="1"/>
  <c r="O8" i="1"/>
  <c r="P11" i="1"/>
  <c r="D5" i="43"/>
  <c r="H50" i="43"/>
  <c r="B22" i="49"/>
  <c r="B16" i="49"/>
  <c r="E21" i="49"/>
  <c r="E8" i="49"/>
  <c r="E22" i="49"/>
  <c r="E14" i="49"/>
  <c r="B7" i="49"/>
  <c r="I14" i="74"/>
  <c r="B8" i="74"/>
  <c r="D127" i="9"/>
  <c r="D13" i="52"/>
  <c r="D12" i="52"/>
  <c r="E9" i="49"/>
  <c r="E13" i="49"/>
  <c r="B14" i="49"/>
  <c r="E4" i="49"/>
  <c r="B5" i="49"/>
  <c r="E5" i="49"/>
  <c r="E6" i="49"/>
  <c r="E16" i="49"/>
  <c r="B9" i="49"/>
  <c r="B13" i="49"/>
  <c r="E4" i="4"/>
  <c r="B5" i="62"/>
  <c r="B73" i="72"/>
  <c r="B6" i="49"/>
  <c r="E7" i="49"/>
  <c r="D58" i="21"/>
  <c r="E58" i="21"/>
  <c r="F58" i="21"/>
  <c r="G58" i="21"/>
  <c r="H58" i="21"/>
  <c r="I58" i="21"/>
  <c r="J58" i="21"/>
  <c r="K58" i="21"/>
  <c r="L58" i="21"/>
  <c r="M58" i="21"/>
  <c r="N58" i="21"/>
  <c r="O58" i="21"/>
  <c r="J7" i="21"/>
  <c r="U7" i="33"/>
  <c r="D46" i="36"/>
  <c r="S7" i="33"/>
  <c r="D52" i="37"/>
  <c r="C48" i="69"/>
  <c r="F65" i="15"/>
  <c r="F65" i="67"/>
  <c r="N59" i="15"/>
  <c r="M59" i="15"/>
  <c r="L59" i="15"/>
  <c r="L58" i="15"/>
  <c r="M59" i="67"/>
  <c r="L58" i="67"/>
  <c r="N59" i="67"/>
  <c r="L59" i="67"/>
  <c r="E20" i="43"/>
  <c r="F66" i="67"/>
  <c r="F69" i="67"/>
  <c r="F51" i="67"/>
  <c r="F71" i="67"/>
  <c r="L56" i="15"/>
  <c r="J57" i="15"/>
  <c r="J55" i="15"/>
  <c r="J58" i="15"/>
  <c r="Q50" i="15"/>
  <c r="I54" i="15"/>
  <c r="J53" i="67"/>
  <c r="I54" i="67"/>
  <c r="J57" i="67"/>
  <c r="J55" i="67"/>
  <c r="J58" i="67"/>
  <c r="Q50" i="67"/>
  <c r="L56" i="67"/>
  <c r="F66" i="15"/>
  <c r="Q71" i="67"/>
  <c r="M7" i="67"/>
  <c r="F50" i="67"/>
  <c r="Q71" i="15"/>
  <c r="F64" i="15"/>
  <c r="C34" i="67"/>
  <c r="F63" i="67"/>
  <c r="C62" i="67"/>
  <c r="J20" i="67"/>
  <c r="F70" i="67"/>
  <c r="F68" i="67"/>
  <c r="F51" i="15"/>
  <c r="C6" i="67"/>
  <c r="F64" i="67"/>
  <c r="F68" i="15"/>
  <c r="C27" i="67"/>
  <c r="F59" i="15"/>
  <c r="F59" i="67"/>
  <c r="M17" i="15"/>
  <c r="M17" i="67"/>
  <c r="F43" i="90"/>
  <c r="M29" i="87"/>
  <c r="M28" i="87"/>
  <c r="F27" i="68"/>
  <c r="J15" i="87"/>
  <c r="M23" i="87"/>
  <c r="M24" i="87"/>
  <c r="S7" i="1"/>
  <c r="C14" i="67"/>
  <c r="L47" i="79"/>
  <c r="J15" i="79"/>
  <c r="M28" i="79"/>
  <c r="M27" i="79"/>
  <c r="M23" i="79"/>
  <c r="M22" i="79"/>
  <c r="C16" i="67"/>
  <c r="M26" i="79"/>
  <c r="M26" i="87"/>
  <c r="C36" i="68"/>
  <c r="M29" i="91"/>
  <c r="C76" i="87"/>
  <c r="M22" i="87"/>
  <c r="M29" i="15"/>
  <c r="M29" i="90"/>
  <c r="M24" i="79"/>
  <c r="C16" i="90"/>
  <c r="C76" i="79"/>
  <c r="C17" i="67"/>
  <c r="L47" i="87"/>
  <c r="M29" i="79"/>
  <c r="H112" i="34"/>
  <c r="I112" i="34"/>
  <c r="J112" i="34"/>
  <c r="K112" i="34"/>
  <c r="L112" i="34"/>
  <c r="M112" i="34"/>
  <c r="W37" i="34"/>
  <c r="S37" i="34"/>
  <c r="Q57" i="91"/>
  <c r="Q66" i="91"/>
  <c r="Q52" i="91"/>
  <c r="L46" i="90"/>
  <c r="Q57" i="90"/>
  <c r="Q66" i="90"/>
  <c r="Q73" i="91"/>
  <c r="Q60" i="91"/>
  <c r="Q73" i="90"/>
  <c r="Q60" i="90"/>
  <c r="Q52" i="90"/>
  <c r="F1" i="90"/>
  <c r="F71" i="90"/>
  <c r="F71" i="91"/>
  <c r="O7" i="1"/>
  <c r="P7" i="1"/>
  <c r="O10" i="1"/>
  <c r="P10" i="1"/>
  <c r="F11" i="90"/>
  <c r="M11" i="90"/>
  <c r="G3" i="43"/>
  <c r="N104" i="46"/>
  <c r="Q71" i="87"/>
  <c r="F68" i="87"/>
  <c r="F66" i="87"/>
  <c r="L59" i="87"/>
  <c r="N59" i="87"/>
  <c r="M59" i="87"/>
  <c r="L58" i="87"/>
  <c r="Q60" i="87"/>
  <c r="F65" i="87"/>
  <c r="F51" i="87"/>
  <c r="F64" i="87"/>
  <c r="Q48" i="87"/>
  <c r="L60" i="87"/>
  <c r="Q66" i="87"/>
  <c r="J59" i="87"/>
  <c r="L57" i="87"/>
  <c r="Q52" i="87"/>
  <c r="I54" i="87"/>
  <c r="L56" i="87"/>
  <c r="J57" i="87"/>
  <c r="J55" i="87"/>
  <c r="J58" i="87"/>
  <c r="Q50" i="87"/>
  <c r="F66" i="79"/>
  <c r="L58" i="79"/>
  <c r="Q60" i="79"/>
  <c r="F68" i="79"/>
  <c r="F64" i="79"/>
  <c r="Q71" i="79"/>
  <c r="F65" i="79"/>
  <c r="F51" i="79"/>
  <c r="H16" i="1"/>
  <c r="Q16" i="1"/>
  <c r="F27" i="69"/>
  <c r="C29" i="69"/>
  <c r="D27" i="69"/>
  <c r="G16" i="1"/>
  <c r="F10" i="40"/>
  <c r="E387" i="3"/>
  <c r="F71" i="87"/>
  <c r="H101" i="43"/>
  <c r="C101" i="43"/>
  <c r="N101" i="43"/>
  <c r="Z7" i="43"/>
  <c r="I101" i="43"/>
  <c r="AI11" i="43"/>
  <c r="AI13" i="43"/>
  <c r="E101" i="43"/>
  <c r="W29" i="35"/>
  <c r="U29" i="35"/>
  <c r="S20" i="35"/>
  <c r="W14" i="35"/>
  <c r="S14" i="35"/>
  <c r="S26" i="35"/>
  <c r="W26" i="35"/>
  <c r="U26" i="35"/>
  <c r="X6" i="3"/>
  <c r="U25" i="33"/>
  <c r="E514" i="3"/>
  <c r="E10" i="6"/>
  <c r="E165" i="3"/>
  <c r="M6" i="3"/>
  <c r="C4" i="4"/>
  <c r="B4" i="62"/>
  <c r="B71" i="72"/>
  <c r="E51" i="40"/>
  <c r="C34" i="69"/>
  <c r="C38" i="69"/>
  <c r="E15" i="6"/>
  <c r="E60" i="40"/>
  <c r="E14" i="6"/>
  <c r="E227" i="3"/>
  <c r="E311" i="3"/>
  <c r="E570" i="3"/>
  <c r="AB6" i="3"/>
  <c r="E335" i="3"/>
  <c r="E583" i="3"/>
  <c r="E336" i="3"/>
  <c r="E205" i="3"/>
  <c r="E128" i="3"/>
  <c r="E358" i="3"/>
  <c r="E559" i="3"/>
  <c r="E551" i="3"/>
  <c r="V6" i="3"/>
  <c r="E407" i="3"/>
  <c r="E320" i="3"/>
  <c r="E230" i="3"/>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F71" i="15"/>
  <c r="E569" i="3"/>
  <c r="E239" i="3"/>
  <c r="E282" i="3"/>
  <c r="E366" i="3"/>
  <c r="E503" i="3"/>
  <c r="E183" i="3"/>
  <c r="E261" i="3"/>
  <c r="F71" i="79"/>
  <c r="E431" i="3"/>
  <c r="E579" i="3"/>
  <c r="E509" i="3"/>
  <c r="AJ6" i="3"/>
  <c r="E322" i="3"/>
  <c r="E268" i="3"/>
  <c r="E526" i="3"/>
  <c r="E217" i="3"/>
  <c r="E302" i="3"/>
  <c r="E17" i="3"/>
  <c r="E213" i="3"/>
  <c r="E565" i="3"/>
  <c r="E304" i="3"/>
  <c r="E69" i="3"/>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166" i="82"/>
  <c r="Q164" i="82"/>
  <c r="Q162" i="82"/>
  <c r="Q160" i="82"/>
  <c r="Q158" i="82"/>
  <c r="Q156" i="82"/>
  <c r="Q154" i="82"/>
  <c r="Q152" i="82"/>
  <c r="Q150" i="82"/>
  <c r="Q148" i="82"/>
  <c r="Q146" i="82"/>
  <c r="Q144" i="82"/>
  <c r="Q142" i="82"/>
  <c r="Q140" i="82"/>
  <c r="Q138" i="82"/>
  <c r="Q136" i="82"/>
  <c r="Q134" i="82"/>
  <c r="Q132" i="82"/>
  <c r="Q130" i="82"/>
  <c r="Q128" i="82"/>
  <c r="Q126" i="82"/>
  <c r="Q12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U10" i="34"/>
  <c r="W10" i="34"/>
  <c r="S10" i="34"/>
  <c r="W25" i="34"/>
  <c r="S25" i="34"/>
  <c r="W27" i="34"/>
  <c r="U27" i="34"/>
  <c r="W25" i="33"/>
  <c r="U36" i="33"/>
  <c r="S36" i="33"/>
  <c r="W27" i="33"/>
  <c r="U27" i="33"/>
  <c r="S27" i="33"/>
  <c r="E58" i="40"/>
  <c r="F50" i="77"/>
  <c r="C49" i="77"/>
  <c r="J18" i="77"/>
  <c r="N59" i="79"/>
  <c r="J57" i="79"/>
  <c r="J55" i="79"/>
  <c r="J58" i="79"/>
  <c r="Q50" i="79"/>
  <c r="I54" i="79"/>
  <c r="J59" i="79"/>
  <c r="L59" i="79"/>
  <c r="M59" i="79"/>
  <c r="Q48" i="79"/>
  <c r="Q60" i="77"/>
  <c r="Q73" i="77"/>
  <c r="L60" i="79"/>
  <c r="L56" i="79"/>
  <c r="F7" i="21"/>
  <c r="J59" i="77"/>
  <c r="N59" i="77"/>
  <c r="L59" i="77"/>
  <c r="Q48" i="77"/>
  <c r="J57" i="77"/>
  <c r="J55" i="77"/>
  <c r="J58" i="77"/>
  <c r="Q50" i="77"/>
  <c r="I54" i="77"/>
  <c r="M59" i="77"/>
  <c r="E65" i="40"/>
  <c r="F63" i="40"/>
  <c r="L57" i="77"/>
  <c r="L60" i="77"/>
  <c r="L57" i="79"/>
  <c r="C29" i="68"/>
  <c r="D27" i="68"/>
  <c r="C30" i="68"/>
  <c r="C48" i="68"/>
  <c r="C30" i="11"/>
  <c r="C48" i="11"/>
  <c r="F28" i="12"/>
  <c r="C29" i="12"/>
  <c r="D28" i="12"/>
  <c r="C47" i="68"/>
  <c r="D45" i="68"/>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H6" i="3"/>
  <c r="I109" i="43"/>
  <c r="I102" i="43"/>
  <c r="I106" i="43"/>
  <c r="I103" i="43"/>
  <c r="I104" i="43"/>
  <c r="I107" i="43"/>
  <c r="I105" i="43"/>
  <c r="E104" i="43"/>
  <c r="E107" i="43"/>
  <c r="E105" i="43"/>
  <c r="E102" i="43"/>
  <c r="E106" i="43"/>
  <c r="E103" i="43"/>
  <c r="E109" i="43"/>
  <c r="H10" i="40"/>
  <c r="AB10" i="40"/>
  <c r="H102" i="43"/>
  <c r="H103" i="43"/>
  <c r="H104" i="43"/>
  <c r="H109" i="43"/>
  <c r="H107" i="43"/>
  <c r="H106" i="43"/>
  <c r="H105" i="43"/>
  <c r="P8" i="1"/>
  <c r="P16" i="1"/>
  <c r="C11" i="12"/>
  <c r="C104" i="43"/>
  <c r="C107" i="43"/>
  <c r="C103" i="43"/>
  <c r="C106" i="43"/>
  <c r="C105" i="43"/>
  <c r="C102" i="43"/>
  <c r="D101" i="43"/>
  <c r="D102" i="43"/>
  <c r="F101" i="43"/>
  <c r="F102" i="43"/>
  <c r="G101" i="43"/>
  <c r="G102" i="43"/>
  <c r="J101" i="43"/>
  <c r="J102" i="43"/>
  <c r="K101" i="43"/>
  <c r="K102" i="43"/>
  <c r="L101" i="43"/>
  <c r="L102" i="43"/>
  <c r="M101" i="43"/>
  <c r="M102" i="43"/>
  <c r="N102" i="43"/>
  <c r="D103" i="43"/>
  <c r="F103" i="43"/>
  <c r="G103" i="43"/>
  <c r="J103" i="43"/>
  <c r="K103" i="43"/>
  <c r="L103" i="43"/>
  <c r="M103" i="43"/>
  <c r="N103" i="43"/>
  <c r="D104" i="43"/>
  <c r="F104" i="43"/>
  <c r="G104" i="43"/>
  <c r="J104" i="43"/>
  <c r="K104" i="43"/>
  <c r="L104" i="43"/>
  <c r="M104" i="43"/>
  <c r="N104" i="43"/>
  <c r="D105" i="43"/>
  <c r="F105" i="43"/>
  <c r="G105" i="43"/>
  <c r="J105" i="43"/>
  <c r="K105" i="43"/>
  <c r="L105" i="43"/>
  <c r="M105" i="43"/>
  <c r="N105" i="43"/>
  <c r="D106" i="43"/>
  <c r="F106" i="43"/>
  <c r="G106" i="43"/>
  <c r="J106" i="43"/>
  <c r="K106" i="43"/>
  <c r="L106" i="43"/>
  <c r="M106" i="43"/>
  <c r="N106" i="43"/>
  <c r="D107" i="43"/>
  <c r="F107" i="43"/>
  <c r="G107" i="43"/>
  <c r="J107" i="43"/>
  <c r="K107" i="43"/>
  <c r="L107" i="43"/>
  <c r="M107" i="43"/>
  <c r="N107" i="43"/>
  <c r="C23" i="43"/>
  <c r="C109" i="43"/>
  <c r="N109" i="43"/>
  <c r="J10" i="40"/>
  <c r="E46" i="36"/>
  <c r="W7" i="21"/>
  <c r="AC7" i="21"/>
  <c r="V48" i="21"/>
  <c r="I48" i="21"/>
  <c r="AA10" i="40"/>
  <c r="S10" i="40"/>
  <c r="E52" i="37"/>
  <c r="S7" i="21"/>
  <c r="AA7" i="21"/>
  <c r="R48" i="21"/>
  <c r="H7" i="21"/>
  <c r="C18" i="67"/>
  <c r="C15" i="67"/>
  <c r="F22" i="93"/>
  <c r="Q52" i="67"/>
  <c r="F1" i="67"/>
  <c r="Q52" i="15"/>
  <c r="M28" i="43"/>
  <c r="O28" i="43"/>
  <c r="P28" i="43"/>
  <c r="N28" i="43"/>
  <c r="G20" i="43"/>
  <c r="Q61" i="67"/>
  <c r="Q74" i="67"/>
  <c r="Q60" i="67"/>
  <c r="Q73" i="67"/>
  <c r="Q74" i="15"/>
  <c r="Q61" i="15"/>
  <c r="J6" i="67"/>
  <c r="C32" i="67"/>
  <c r="C49" i="67"/>
  <c r="F11" i="67"/>
  <c r="M11" i="67"/>
  <c r="J10" i="67"/>
  <c r="Q60" i="15"/>
  <c r="Q73" i="15"/>
  <c r="F7" i="90"/>
  <c r="U37" i="34"/>
  <c r="AD11" i="43"/>
  <c r="AD13" i="43"/>
  <c r="AA11" i="43"/>
  <c r="AA13" i="43"/>
  <c r="AF11" i="43"/>
  <c r="AF13" i="43"/>
  <c r="AC11" i="43"/>
  <c r="AC13" i="43"/>
  <c r="K109" i="43"/>
  <c r="B113" i="43"/>
  <c r="F50" i="91"/>
  <c r="C49" i="91"/>
  <c r="M7" i="90"/>
  <c r="J6" i="90"/>
  <c r="J10" i="90"/>
  <c r="J5" i="90"/>
  <c r="C6" i="90"/>
  <c r="C10" i="90"/>
  <c r="C5" i="90"/>
  <c r="F50" i="90"/>
  <c r="C49" i="90"/>
  <c r="F50" i="93"/>
  <c r="L16" i="1"/>
  <c r="C24" i="93"/>
  <c r="C26" i="93"/>
  <c r="D22" i="93"/>
  <c r="C44" i="93"/>
  <c r="D41" i="93"/>
  <c r="F24" i="90"/>
  <c r="C53" i="91"/>
  <c r="C24" i="90"/>
  <c r="C53" i="90"/>
  <c r="C48" i="90"/>
  <c r="Q73" i="79"/>
  <c r="Q57" i="87"/>
  <c r="Q73" i="87"/>
  <c r="D117" i="43"/>
  <c r="E117" i="43"/>
  <c r="F117" i="43"/>
  <c r="G117" i="43"/>
  <c r="H117" i="43"/>
  <c r="B118" i="43"/>
  <c r="C118" i="43"/>
  <c r="C34" i="11"/>
  <c r="I115" i="43"/>
  <c r="J115" i="43"/>
  <c r="K115" i="43"/>
  <c r="L115" i="43"/>
  <c r="M115" i="43"/>
  <c r="F27" i="11"/>
  <c r="C47" i="69"/>
  <c r="D45" i="69"/>
  <c r="H22" i="43"/>
  <c r="AH11" i="43"/>
  <c r="AH13" i="43"/>
  <c r="AE11" i="43"/>
  <c r="AE13" i="43"/>
  <c r="AJ11" i="43"/>
  <c r="AJ13" i="43"/>
  <c r="AG11" i="43"/>
  <c r="AG13" i="43"/>
  <c r="Z11" i="43"/>
  <c r="Z13" i="43"/>
  <c r="Y11" i="43"/>
  <c r="Y13" i="43"/>
  <c r="F22" i="43"/>
  <c r="E22" i="43"/>
  <c r="AB11" i="43"/>
  <c r="AB13" i="43"/>
  <c r="G22" i="43"/>
  <c r="D115" i="43"/>
  <c r="E115" i="43"/>
  <c r="F115" i="43"/>
  <c r="G115" i="43"/>
  <c r="H115" i="43"/>
  <c r="D118" i="43"/>
  <c r="E118" i="43"/>
  <c r="F118" i="43"/>
  <c r="I116" i="43"/>
  <c r="J116" i="43"/>
  <c r="K116" i="43"/>
  <c r="L116" i="43"/>
  <c r="M116" i="43"/>
  <c r="I117" i="43"/>
  <c r="J117" i="43"/>
  <c r="K117" i="43"/>
  <c r="L117" i="43"/>
  <c r="M117" i="43"/>
  <c r="B116" i="43"/>
  <c r="C116" i="43"/>
  <c r="D116" i="43"/>
  <c r="E116" i="43"/>
  <c r="F116" i="43"/>
  <c r="G116" i="43"/>
  <c r="H116" i="43"/>
  <c r="Q74" i="87"/>
  <c r="Q61" i="87"/>
  <c r="J24" i="87"/>
  <c r="F50" i="87"/>
  <c r="C49" i="87"/>
  <c r="C53" i="87"/>
  <c r="C48" i="87"/>
  <c r="C35" i="69"/>
  <c r="K4" i="4"/>
  <c r="B46" i="48"/>
  <c r="B4" i="72"/>
  <c r="E59" i="40"/>
  <c r="E16" i="6"/>
  <c r="U10" i="40"/>
  <c r="F50" i="79"/>
  <c r="C49" i="79"/>
  <c r="J18" i="79"/>
  <c r="F50" i="15"/>
  <c r="C49" i="15"/>
  <c r="S4" i="43"/>
  <c r="S2" i="43"/>
  <c r="S5" i="43"/>
  <c r="S6" i="43"/>
  <c r="S7" i="43"/>
  <c r="S3" i="43"/>
  <c r="Q66" i="77"/>
  <c r="Q57" i="77"/>
  <c r="G63" i="40"/>
  <c r="F65" i="40"/>
  <c r="Q61" i="77"/>
  <c r="Q74" i="77"/>
  <c r="Q57" i="79"/>
  <c r="Q66" i="79"/>
  <c r="Q52" i="77"/>
  <c r="Q52" i="79"/>
  <c r="Q61" i="79"/>
  <c r="Q74" i="79"/>
  <c r="C53" i="79"/>
  <c r="E41" i="43"/>
  <c r="C41" i="43"/>
  <c r="C20" i="43"/>
  <c r="C53" i="77"/>
  <c r="C48" i="77"/>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87" i="3"/>
  <c r="AY83"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c r="D14" i="12"/>
  <c r="M18" i="9"/>
  <c r="B118" i="9"/>
  <c r="B14" i="74"/>
  <c r="D3" i="33"/>
  <c r="D19" i="11"/>
  <c r="C19" i="11"/>
  <c r="C17" i="4"/>
  <c r="B4" i="52"/>
  <c r="B43" i="72"/>
  <c r="D3" i="37"/>
  <c r="C38" i="11"/>
  <c r="C35" i="11"/>
  <c r="C15" i="12"/>
  <c r="C12" i="12"/>
  <c r="F50" i="11"/>
  <c r="F50" i="68"/>
  <c r="F50" i="69"/>
  <c r="W10" i="40"/>
  <c r="AC10" i="40"/>
  <c r="E48" i="21"/>
  <c r="R49" i="21"/>
  <c r="F46" i="36"/>
  <c r="G46" i="36"/>
  <c r="H46" i="36"/>
  <c r="I46" i="36"/>
  <c r="J46" i="36"/>
  <c r="K46" i="36"/>
  <c r="L46" i="36"/>
  <c r="M46" i="36"/>
  <c r="N46" i="36"/>
  <c r="O46" i="36"/>
  <c r="AB7" i="21"/>
  <c r="T48" i="21"/>
  <c r="G48" i="21"/>
  <c r="U7" i="21"/>
  <c r="F52" i="37"/>
  <c r="I52" i="21"/>
  <c r="J52" i="21"/>
  <c r="I53" i="21"/>
  <c r="J53" i="21"/>
  <c r="F7" i="36"/>
  <c r="C19" i="67"/>
  <c r="C20" i="67"/>
  <c r="C26" i="67"/>
  <c r="C53" i="15"/>
  <c r="J18" i="67"/>
  <c r="J5" i="67"/>
  <c r="C10" i="67"/>
  <c r="C5" i="67"/>
  <c r="C53" i="67"/>
  <c r="C48" i="67"/>
  <c r="F22" i="68"/>
  <c r="F24" i="67"/>
  <c r="C24" i="67"/>
  <c r="F25" i="12"/>
  <c r="C26" i="12"/>
  <c r="D25" i="12"/>
  <c r="F22" i="69"/>
  <c r="F22" i="11"/>
  <c r="F41" i="90"/>
  <c r="B115" i="43"/>
  <c r="C115" i="43"/>
  <c r="B117" i="43"/>
  <c r="C117" i="43"/>
  <c r="G118" i="43"/>
  <c r="H118" i="43"/>
  <c r="I118" i="43"/>
  <c r="J118" i="43"/>
  <c r="K118" i="43"/>
  <c r="L118" i="43"/>
  <c r="M118" i="43"/>
  <c r="C48" i="91"/>
  <c r="C66" i="91"/>
  <c r="J24" i="90"/>
  <c r="J26" i="90"/>
  <c r="J18" i="90"/>
  <c r="J19" i="90"/>
  <c r="C33" i="90"/>
  <c r="C32" i="90"/>
  <c r="F69" i="90"/>
  <c r="J29" i="90"/>
  <c r="C66" i="90"/>
  <c r="C60" i="90"/>
  <c r="C38" i="90"/>
  <c r="C47" i="11"/>
  <c r="D45" i="11"/>
  <c r="C29" i="11"/>
  <c r="D27" i="11"/>
  <c r="M109" i="43"/>
  <c r="D22" i="43"/>
  <c r="D113" i="43"/>
  <c r="J22" i="43"/>
  <c r="C21" i="43"/>
  <c r="C29" i="43"/>
  <c r="G109" i="43"/>
  <c r="U11" i="85"/>
  <c r="G47" i="85"/>
  <c r="J109" i="43"/>
  <c r="D109" i="43"/>
  <c r="L109" i="43"/>
  <c r="F109" i="43"/>
  <c r="W11" i="85"/>
  <c r="I47" i="85"/>
  <c r="S11" i="85"/>
  <c r="J19" i="87"/>
  <c r="J18" i="87"/>
  <c r="C66" i="87"/>
  <c r="C60" i="87"/>
  <c r="K20" i="6"/>
  <c r="K26" i="6"/>
  <c r="M26" i="6"/>
  <c r="I26" i="6"/>
  <c r="S26" i="6"/>
  <c r="E31" i="6"/>
  <c r="K25" i="6"/>
  <c r="M25" i="6"/>
  <c r="I25" i="6"/>
  <c r="S25" i="6"/>
  <c r="C48" i="79"/>
  <c r="C60" i="79"/>
  <c r="AG6" i="1"/>
  <c r="C48" i="15"/>
  <c r="C66" i="15"/>
  <c r="J24" i="79"/>
  <c r="J24" i="77"/>
  <c r="J7" i="36"/>
  <c r="G65" i="40"/>
  <c r="H63" i="40"/>
  <c r="C34" i="43"/>
  <c r="T16" i="43"/>
  <c r="V16" i="43"/>
  <c r="T4" i="43"/>
  <c r="V4" i="43"/>
  <c r="T12" i="43"/>
  <c r="V12" i="43"/>
  <c r="T15" i="43"/>
  <c r="V15" i="43"/>
  <c r="C35" i="43"/>
  <c r="T5" i="43"/>
  <c r="V5" i="43"/>
  <c r="T7" i="43"/>
  <c r="V7" i="43"/>
  <c r="T8" i="43"/>
  <c r="V8" i="43"/>
  <c r="T11" i="43"/>
  <c r="V11" i="43"/>
  <c r="T9" i="43"/>
  <c r="V9" i="43"/>
  <c r="T14" i="43"/>
  <c r="V14" i="43"/>
  <c r="C37" i="43"/>
  <c r="T6" i="43"/>
  <c r="V6" i="43"/>
  <c r="T13" i="43"/>
  <c r="V13" i="43"/>
  <c r="T3" i="43"/>
  <c r="V3" i="43"/>
  <c r="C33" i="43"/>
  <c r="C36" i="43"/>
  <c r="T10" i="43"/>
  <c r="V10" i="43"/>
  <c r="T2" i="43"/>
  <c r="V2" i="43"/>
  <c r="C39" i="43"/>
  <c r="C38" i="43"/>
  <c r="C66" i="77"/>
  <c r="C60" i="77"/>
  <c r="C33" i="11"/>
  <c r="C39" i="11"/>
  <c r="C46" i="11"/>
  <c r="C45" i="11"/>
  <c r="C20" i="11"/>
  <c r="C28" i="11"/>
  <c r="C27" i="11"/>
  <c r="D17" i="12"/>
  <c r="C17" i="12"/>
  <c r="C14" i="12"/>
  <c r="C16" i="12"/>
  <c r="D10" i="11"/>
  <c r="C10" i="11"/>
  <c r="D20" i="12"/>
  <c r="C20" i="12"/>
  <c r="C18" i="12"/>
  <c r="D10" i="69"/>
  <c r="D25" i="6"/>
  <c r="D15" i="6"/>
  <c r="D20" i="6"/>
  <c r="D5" i="6"/>
  <c r="D12" i="6"/>
  <c r="D11" i="6"/>
  <c r="D13" i="6"/>
  <c r="D28" i="6"/>
  <c r="E61" i="40"/>
  <c r="M19" i="9"/>
  <c r="C118" i="9"/>
  <c r="C14" i="74"/>
  <c r="D26" i="6"/>
  <c r="C18" i="4"/>
  <c r="D8" i="6"/>
  <c r="D14" i="6"/>
  <c r="D6" i="6"/>
  <c r="D9" i="6"/>
  <c r="D10" i="6"/>
  <c r="D29" i="6"/>
  <c r="C7" i="74"/>
  <c r="C8" i="74"/>
  <c r="S7" i="36"/>
  <c r="AA7" i="36"/>
  <c r="R36" i="36"/>
  <c r="S7" i="34"/>
  <c r="H7" i="36"/>
  <c r="E52" i="21"/>
  <c r="F52" i="21"/>
  <c r="E53" i="21"/>
  <c r="F53" i="21"/>
  <c r="U7" i="34"/>
  <c r="G52" i="37"/>
  <c r="G53" i="21"/>
  <c r="H53" i="21"/>
  <c r="G52" i="21"/>
  <c r="H52" i="21"/>
  <c r="AC7" i="36"/>
  <c r="V36" i="36"/>
  <c r="I36" i="36"/>
  <c r="W7" i="36"/>
  <c r="C48" i="21"/>
  <c r="C49" i="21"/>
  <c r="B2" i="21"/>
  <c r="B3" i="21"/>
  <c r="W7" i="34"/>
  <c r="C66" i="67"/>
  <c r="C60" i="67"/>
  <c r="C38" i="67"/>
  <c r="C23" i="67"/>
  <c r="C29" i="67"/>
  <c r="J26" i="67"/>
  <c r="J29" i="67"/>
  <c r="J24" i="67"/>
  <c r="C44" i="11"/>
  <c r="D41" i="11"/>
  <c r="C26" i="11"/>
  <c r="D22" i="11"/>
  <c r="C23" i="11"/>
  <c r="C24" i="11"/>
  <c r="C44" i="69"/>
  <c r="D41" i="69"/>
  <c r="C26" i="69"/>
  <c r="D22" i="69"/>
  <c r="C44" i="68"/>
  <c r="D41" i="68"/>
  <c r="C26" i="68"/>
  <c r="D22" i="68"/>
  <c r="M27" i="77"/>
  <c r="M27" i="87"/>
  <c r="C60" i="91"/>
  <c r="F69" i="15"/>
  <c r="E47" i="85"/>
  <c r="I51" i="85"/>
  <c r="J51" i="85"/>
  <c r="I52" i="85"/>
  <c r="J52" i="85"/>
  <c r="G52" i="85"/>
  <c r="H52" i="85"/>
  <c r="G51" i="85"/>
  <c r="H51" i="85"/>
  <c r="S24" i="6"/>
  <c r="H25" i="6"/>
  <c r="R25" i="6"/>
  <c r="F69" i="87"/>
  <c r="M19" i="88"/>
  <c r="C118" i="88"/>
  <c r="C16" i="74"/>
  <c r="C60" i="15"/>
  <c r="H26" i="6"/>
  <c r="R26" i="6"/>
  <c r="L18" i="88"/>
  <c r="M19" i="6"/>
  <c r="K27" i="6"/>
  <c r="M20" i="6"/>
  <c r="I20" i="6"/>
  <c r="C66" i="79"/>
  <c r="S33" i="33"/>
  <c r="G48" i="33"/>
  <c r="G52" i="33"/>
  <c r="H52" i="33"/>
  <c r="U33" i="33"/>
  <c r="I48" i="33"/>
  <c r="W33" i="33"/>
  <c r="C25" i="11"/>
  <c r="C22" i="11"/>
  <c r="C31" i="11"/>
  <c r="F69" i="79"/>
  <c r="M19" i="78"/>
  <c r="C118" i="78"/>
  <c r="C15" i="74"/>
  <c r="M19" i="80"/>
  <c r="C118" i="80"/>
  <c r="C17" i="74"/>
  <c r="F69" i="77"/>
  <c r="H65" i="40"/>
  <c r="I63" i="40"/>
  <c r="E39" i="43"/>
  <c r="G39" i="43"/>
  <c r="I39" i="43"/>
  <c r="G33" i="43"/>
  <c r="I33" i="43"/>
  <c r="E33" i="43"/>
  <c r="E37" i="43"/>
  <c r="G37" i="43"/>
  <c r="I37" i="43"/>
  <c r="E35" i="43"/>
  <c r="G35" i="43"/>
  <c r="I35" i="43"/>
  <c r="G38" i="43"/>
  <c r="I38" i="43"/>
  <c r="E38" i="43"/>
  <c r="E36" i="43"/>
  <c r="G36" i="43"/>
  <c r="I36" i="43"/>
  <c r="C30" i="43"/>
  <c r="E30" i="43"/>
  <c r="E29" i="43"/>
  <c r="E34" i="43"/>
  <c r="G34" i="43"/>
  <c r="I34" i="43"/>
  <c r="S34" i="34"/>
  <c r="U34" i="34"/>
  <c r="W34" i="34"/>
  <c r="C42" i="11"/>
  <c r="D16" i="6"/>
  <c r="D30" i="6"/>
  <c r="C43" i="11"/>
  <c r="C21" i="12"/>
  <c r="C22" i="12"/>
  <c r="C30" i="12"/>
  <c r="C28" i="12"/>
  <c r="A7" i="51"/>
  <c r="B7" i="72"/>
  <c r="C4" i="52"/>
  <c r="B45" i="72"/>
  <c r="A10" i="51"/>
  <c r="B9" i="72"/>
  <c r="D27" i="6"/>
  <c r="C10" i="69"/>
  <c r="C8" i="69"/>
  <c r="C5" i="69"/>
  <c r="C23" i="69"/>
  <c r="D19" i="69"/>
  <c r="D7" i="74"/>
  <c r="D8" i="74"/>
  <c r="I40" i="36"/>
  <c r="J40" i="36"/>
  <c r="H52" i="37"/>
  <c r="AB7" i="36"/>
  <c r="T36" i="36"/>
  <c r="G36" i="36"/>
  <c r="U7" i="36"/>
  <c r="R37" i="36"/>
  <c r="E36" i="36"/>
  <c r="I41" i="36"/>
  <c r="J41" i="36"/>
  <c r="J19" i="67"/>
  <c r="J17" i="67"/>
  <c r="C33" i="67"/>
  <c r="C31" i="67"/>
  <c r="C13" i="67"/>
  <c r="C57" i="67"/>
  <c r="C36" i="67"/>
  <c r="J14" i="67"/>
  <c r="Q49" i="67"/>
  <c r="J59" i="67"/>
  <c r="J60" i="67"/>
  <c r="J59" i="15"/>
  <c r="D10" i="68"/>
  <c r="C17" i="90"/>
  <c r="D10" i="93"/>
  <c r="D19" i="93"/>
  <c r="D37" i="93"/>
  <c r="C37" i="93"/>
  <c r="C10" i="93"/>
  <c r="C8" i="93"/>
  <c r="E9" i="70"/>
  <c r="E51" i="85"/>
  <c r="F51" i="85"/>
  <c r="E52" i="85"/>
  <c r="F52" i="85"/>
  <c r="AQ11" i="1"/>
  <c r="AR11" i="1"/>
  <c r="AQ10" i="1"/>
  <c r="AR10" i="1"/>
  <c r="S23" i="6"/>
  <c r="AR9" i="1"/>
  <c r="AQ9" i="1"/>
  <c r="S22" i="6"/>
  <c r="D19" i="68"/>
  <c r="D37" i="68"/>
  <c r="C37" i="68"/>
  <c r="C10" i="68"/>
  <c r="C8" i="68"/>
  <c r="L18" i="78"/>
  <c r="S20" i="6"/>
  <c r="H20" i="6"/>
  <c r="M27" i="6"/>
  <c r="I19" i="6"/>
  <c r="E8" i="70"/>
  <c r="AR8" i="1"/>
  <c r="AQ8" i="1"/>
  <c r="E7" i="70"/>
  <c r="T7" i="1"/>
  <c r="AQ7" i="1"/>
  <c r="AR7" i="1"/>
  <c r="E6" i="70"/>
  <c r="E2" i="70"/>
  <c r="AQ6" i="1"/>
  <c r="AR6" i="1"/>
  <c r="S16" i="1"/>
  <c r="L18" i="80"/>
  <c r="S21" i="6"/>
  <c r="L19" i="88"/>
  <c r="I52" i="33"/>
  <c r="J52" i="33"/>
  <c r="G53" i="33"/>
  <c r="H53" i="33"/>
  <c r="E48" i="33"/>
  <c r="C41" i="11"/>
  <c r="C49" i="11"/>
  <c r="C51" i="11"/>
  <c r="C52" i="11"/>
  <c r="B2" i="11"/>
  <c r="B3" i="11"/>
  <c r="J63" i="40"/>
  <c r="I65" i="40"/>
  <c r="C26" i="43"/>
  <c r="B2" i="43"/>
  <c r="C27" i="43"/>
  <c r="D31" i="6"/>
  <c r="I6" i="6"/>
  <c r="I7" i="6"/>
  <c r="C19" i="69"/>
  <c r="D37" i="69"/>
  <c r="C37" i="69"/>
  <c r="C33" i="69"/>
  <c r="C27" i="12"/>
  <c r="C25" i="12"/>
  <c r="C32" i="12"/>
  <c r="B2" i="12"/>
  <c r="B3" i="12"/>
  <c r="C19" i="68"/>
  <c r="C37" i="36"/>
  <c r="B2" i="36"/>
  <c r="B3" i="36"/>
  <c r="C36" i="36"/>
  <c r="I52" i="37"/>
  <c r="E40" i="36"/>
  <c r="F40" i="36"/>
  <c r="E41" i="36"/>
  <c r="F41" i="36"/>
  <c r="G40" i="36"/>
  <c r="H40" i="36"/>
  <c r="G41" i="36"/>
  <c r="H41" i="36"/>
  <c r="Q70" i="67"/>
  <c r="C56" i="67"/>
  <c r="C65" i="67"/>
  <c r="C37" i="67"/>
  <c r="C30" i="67"/>
  <c r="C39" i="67"/>
  <c r="C75" i="67"/>
  <c r="Q48" i="15"/>
  <c r="Q48" i="67"/>
  <c r="L51" i="67"/>
  <c r="L57" i="67"/>
  <c r="L60" i="67"/>
  <c r="L46" i="67"/>
  <c r="J13" i="67"/>
  <c r="J23" i="67"/>
  <c r="J22" i="67"/>
  <c r="C61" i="67"/>
  <c r="C59" i="67"/>
  <c r="C64" i="67"/>
  <c r="C34" i="93"/>
  <c r="C34" i="68"/>
  <c r="C14" i="90"/>
  <c r="E6" i="76"/>
  <c r="B6" i="76"/>
  <c r="C15" i="90"/>
  <c r="C18" i="90"/>
  <c r="C38" i="93"/>
  <c r="C35" i="93"/>
  <c r="B60" i="85"/>
  <c r="F60" i="85"/>
  <c r="B65" i="85"/>
  <c r="F65" i="85"/>
  <c r="C6" i="93"/>
  <c r="C7" i="93"/>
  <c r="B58" i="85"/>
  <c r="F58" i="85"/>
  <c r="B63" i="85"/>
  <c r="F63" i="85"/>
  <c r="B59" i="85"/>
  <c r="F59" i="85"/>
  <c r="B64" i="85"/>
  <c r="F64" i="85"/>
  <c r="B57" i="85"/>
  <c r="F57" i="85"/>
  <c r="B61" i="85"/>
  <c r="F61" i="85"/>
  <c r="B62" i="85"/>
  <c r="F62" i="85"/>
  <c r="C38" i="68"/>
  <c r="C35" i="68"/>
  <c r="L19" i="80"/>
  <c r="T16" i="1"/>
  <c r="L18" i="9"/>
  <c r="S19" i="6"/>
  <c r="S27" i="6"/>
  <c r="I27" i="6"/>
  <c r="R20" i="6"/>
  <c r="L19" i="78"/>
  <c r="E53" i="33"/>
  <c r="F53" i="33"/>
  <c r="E52" i="33"/>
  <c r="F52" i="33"/>
  <c r="I53" i="33"/>
  <c r="J53" i="33"/>
  <c r="C48" i="33"/>
  <c r="B2" i="33"/>
  <c r="I5" i="6"/>
  <c r="K63" i="40"/>
  <c r="J65" i="40"/>
  <c r="E2" i="76"/>
  <c r="B2" i="76"/>
  <c r="B3" i="43"/>
  <c r="C56" i="11"/>
  <c r="C57" i="11"/>
  <c r="C24" i="68"/>
  <c r="C20" i="69"/>
  <c r="C24" i="69"/>
  <c r="C39" i="69"/>
  <c r="C42" i="69"/>
  <c r="J16" i="67"/>
  <c r="J25" i="67"/>
  <c r="J52" i="37"/>
  <c r="C58" i="67"/>
  <c r="C67" i="67"/>
  <c r="C68" i="67"/>
  <c r="C71" i="67"/>
  <c r="C80" i="67"/>
  <c r="C79" i="67"/>
  <c r="C40" i="67"/>
  <c r="Q69" i="67"/>
  <c r="Q68" i="67"/>
  <c r="M21" i="79"/>
  <c r="F35" i="90"/>
  <c r="M21" i="90"/>
  <c r="C5" i="93"/>
  <c r="C33" i="93"/>
  <c r="C42" i="93"/>
  <c r="C19" i="90"/>
  <c r="C20" i="90"/>
  <c r="C26" i="90"/>
  <c r="C39" i="93"/>
  <c r="J20" i="90"/>
  <c r="J17" i="90"/>
  <c r="C34" i="90"/>
  <c r="C31" i="90"/>
  <c r="F63" i="90"/>
  <c r="C62" i="90"/>
  <c r="F56" i="85"/>
  <c r="F66" i="85"/>
  <c r="B2" i="85"/>
  <c r="B3" i="85"/>
  <c r="C6" i="68"/>
  <c r="C33" i="68"/>
  <c r="C42" i="68"/>
  <c r="H27" i="6"/>
  <c r="L19" i="9"/>
  <c r="L63" i="40"/>
  <c r="K65" i="40"/>
  <c r="F63" i="79"/>
  <c r="C62" i="79"/>
  <c r="J20" i="79"/>
  <c r="B3" i="76"/>
  <c r="C46" i="69"/>
  <c r="C45" i="69"/>
  <c r="C43" i="69"/>
  <c r="C41" i="69"/>
  <c r="C28" i="69"/>
  <c r="C27" i="69"/>
  <c r="C25" i="69"/>
  <c r="C22" i="69"/>
  <c r="C45" i="67"/>
  <c r="C46" i="67"/>
  <c r="K52" i="37"/>
  <c r="Q67" i="67"/>
  <c r="L57" i="15"/>
  <c r="L60" i="15"/>
  <c r="Q47" i="67"/>
  <c r="Q53" i="67"/>
  <c r="Q65" i="67"/>
  <c r="D2" i="67"/>
  <c r="Q56" i="67"/>
  <c r="C43" i="67"/>
  <c r="C83" i="67"/>
  <c r="C82" i="67"/>
  <c r="C20" i="93"/>
  <c r="C23" i="93"/>
  <c r="F44" i="91"/>
  <c r="C23" i="90"/>
  <c r="C29" i="90"/>
  <c r="C57" i="90"/>
  <c r="C46" i="93"/>
  <c r="C45" i="93"/>
  <c r="C43" i="93"/>
  <c r="C41" i="93"/>
  <c r="F63" i="91"/>
  <c r="C62" i="91"/>
  <c r="C7" i="68"/>
  <c r="C5" i="68"/>
  <c r="F63" i="15"/>
  <c r="C62" i="15"/>
  <c r="C57" i="87"/>
  <c r="C39" i="68"/>
  <c r="R27" i="6"/>
  <c r="S11" i="34"/>
  <c r="M63" i="40"/>
  <c r="L65" i="40"/>
  <c r="C49" i="69"/>
  <c r="C51" i="69"/>
  <c r="C31" i="69"/>
  <c r="L52" i="37"/>
  <c r="Q57" i="15"/>
  <c r="Q66" i="15"/>
  <c r="Q66" i="67"/>
  <c r="Q75" i="67"/>
  <c r="Q57" i="67"/>
  <c r="Q62" i="67"/>
  <c r="B2" i="67"/>
  <c r="B3" i="67"/>
  <c r="M21" i="87"/>
  <c r="M21" i="77"/>
  <c r="C13" i="90"/>
  <c r="C56" i="90"/>
  <c r="C65" i="90"/>
  <c r="C36" i="90"/>
  <c r="C57" i="91"/>
  <c r="C61" i="91"/>
  <c r="C59" i="91"/>
  <c r="C25" i="93"/>
  <c r="C22" i="93"/>
  <c r="C28" i="93"/>
  <c r="C27" i="93"/>
  <c r="J14" i="90"/>
  <c r="J22" i="90"/>
  <c r="Q49" i="91"/>
  <c r="Q49" i="90"/>
  <c r="C49" i="93"/>
  <c r="C51" i="93"/>
  <c r="C64" i="91"/>
  <c r="C61" i="90"/>
  <c r="C59" i="90"/>
  <c r="C64" i="90"/>
  <c r="C75" i="91"/>
  <c r="Q70" i="91"/>
  <c r="C56" i="91"/>
  <c r="C65" i="91"/>
  <c r="C23" i="68"/>
  <c r="C20" i="68"/>
  <c r="C25" i="68"/>
  <c r="C56" i="79"/>
  <c r="C65" i="79"/>
  <c r="J14" i="87"/>
  <c r="J13" i="87"/>
  <c r="J23" i="87"/>
  <c r="Q49" i="87"/>
  <c r="C75" i="87"/>
  <c r="J22" i="87"/>
  <c r="C64" i="87"/>
  <c r="C61" i="87"/>
  <c r="J20" i="87"/>
  <c r="J17" i="87"/>
  <c r="F63" i="87"/>
  <c r="C62" i="87"/>
  <c r="J19" i="79"/>
  <c r="J17" i="79"/>
  <c r="Q49" i="79"/>
  <c r="J14" i="79"/>
  <c r="J13" i="79"/>
  <c r="J23" i="79"/>
  <c r="C57" i="79"/>
  <c r="C43" i="68"/>
  <c r="C41" i="68"/>
  <c r="C46" i="68"/>
  <c r="C45" i="68"/>
  <c r="Q49" i="15"/>
  <c r="C57" i="15"/>
  <c r="J20" i="77"/>
  <c r="F63" i="77"/>
  <c r="C62" i="77"/>
  <c r="R16" i="1"/>
  <c r="J19" i="77"/>
  <c r="C57" i="77"/>
  <c r="Q49" i="77"/>
  <c r="J14" i="77"/>
  <c r="U11" i="34"/>
  <c r="G49" i="34"/>
  <c r="E49" i="34"/>
  <c r="E53" i="34"/>
  <c r="F53" i="34"/>
  <c r="W11" i="34"/>
  <c r="I49" i="34"/>
  <c r="C52" i="69"/>
  <c r="B2" i="69"/>
  <c r="B3" i="69"/>
  <c r="N63" i="40"/>
  <c r="M65" i="40"/>
  <c r="M52" i="37"/>
  <c r="N52" i="37"/>
  <c r="O52" i="37"/>
  <c r="C75" i="90"/>
  <c r="Q70" i="90"/>
  <c r="C37" i="90"/>
  <c r="C30" i="90"/>
  <c r="C39" i="90"/>
  <c r="Q69" i="90"/>
  <c r="C31" i="93"/>
  <c r="C52" i="93"/>
  <c r="B2" i="93"/>
  <c r="J13" i="90"/>
  <c r="J23" i="90"/>
  <c r="J16" i="90"/>
  <c r="J25" i="90"/>
  <c r="Q69" i="91"/>
  <c r="Q68" i="91"/>
  <c r="C58" i="91"/>
  <c r="C67" i="91"/>
  <c r="C68" i="91"/>
  <c r="C58" i="90"/>
  <c r="C67" i="90"/>
  <c r="C68" i="90"/>
  <c r="C28" i="68"/>
  <c r="C27" i="68"/>
  <c r="C22" i="68"/>
  <c r="Q70" i="79"/>
  <c r="C75" i="79"/>
  <c r="Q70" i="87"/>
  <c r="J16" i="87"/>
  <c r="J25" i="87"/>
  <c r="C56" i="87"/>
  <c r="C65" i="87"/>
  <c r="C59" i="87"/>
  <c r="J22" i="79"/>
  <c r="J16" i="79"/>
  <c r="J25" i="79"/>
  <c r="C64" i="79"/>
  <c r="C61" i="79"/>
  <c r="C59" i="79"/>
  <c r="C49" i="68"/>
  <c r="C51" i="68"/>
  <c r="C75" i="15"/>
  <c r="Q70" i="15"/>
  <c r="C56" i="15"/>
  <c r="C65" i="15"/>
  <c r="C61" i="15"/>
  <c r="C59" i="15"/>
  <c r="C64" i="15"/>
  <c r="J22" i="77"/>
  <c r="J13" i="77"/>
  <c r="J23" i="77"/>
  <c r="C56" i="77"/>
  <c r="C65" i="77"/>
  <c r="Q70" i="77"/>
  <c r="C75" i="77"/>
  <c r="C61" i="77"/>
  <c r="C59" i="77"/>
  <c r="C64" i="77"/>
  <c r="J17" i="77"/>
  <c r="I53" i="34"/>
  <c r="J53" i="34"/>
  <c r="I54" i="34"/>
  <c r="J54" i="34"/>
  <c r="E54" i="34"/>
  <c r="F54" i="34"/>
  <c r="G53" i="34"/>
  <c r="H53" i="34"/>
  <c r="G54" i="34"/>
  <c r="H54" i="34"/>
  <c r="C57" i="69"/>
  <c r="C56" i="69"/>
  <c r="O63" i="40"/>
  <c r="O65" i="40"/>
  <c r="N65" i="40"/>
  <c r="F7" i="37"/>
  <c r="H7" i="37"/>
  <c r="J7" i="37"/>
  <c r="L51" i="79"/>
  <c r="L51" i="91"/>
  <c r="L51" i="77"/>
  <c r="L51" i="87"/>
  <c r="B3" i="93"/>
  <c r="L51" i="15"/>
  <c r="C80" i="91"/>
  <c r="C79" i="91"/>
  <c r="C80" i="90"/>
  <c r="C79" i="90"/>
  <c r="C40" i="90"/>
  <c r="C43" i="90"/>
  <c r="Q68" i="90"/>
  <c r="Q67" i="91"/>
  <c r="Q47" i="91"/>
  <c r="Q53" i="91"/>
  <c r="C57" i="86"/>
  <c r="C56" i="86"/>
  <c r="C57" i="93"/>
  <c r="C56" i="93"/>
  <c r="C83" i="91"/>
  <c r="C82" i="91"/>
  <c r="B3" i="91"/>
  <c r="Q56" i="91"/>
  <c r="Q62" i="91"/>
  <c r="C43" i="91"/>
  <c r="Q65" i="91"/>
  <c r="Q75" i="91"/>
  <c r="C71" i="90"/>
  <c r="C71" i="91"/>
  <c r="C46" i="91"/>
  <c r="C31" i="68"/>
  <c r="C52" i="68"/>
  <c r="K54" i="84"/>
  <c r="Q47" i="79"/>
  <c r="Q53" i="79"/>
  <c r="Q67" i="79"/>
  <c r="Q69" i="79"/>
  <c r="Q68" i="79"/>
  <c r="C80" i="79"/>
  <c r="C79" i="79"/>
  <c r="C43" i="79"/>
  <c r="Q65" i="87"/>
  <c r="Q75" i="87"/>
  <c r="Q69" i="87"/>
  <c r="Q68" i="87"/>
  <c r="C80" i="87"/>
  <c r="C79" i="87"/>
  <c r="C58" i="87"/>
  <c r="C67" i="87"/>
  <c r="C68" i="87"/>
  <c r="C71" i="87"/>
  <c r="C83" i="79"/>
  <c r="C82" i="79"/>
  <c r="Q56" i="79"/>
  <c r="Q62" i="79"/>
  <c r="Q65" i="79"/>
  <c r="Q75" i="79"/>
  <c r="Q67" i="87"/>
  <c r="C58" i="79"/>
  <c r="C67" i="79"/>
  <c r="C68" i="79"/>
  <c r="J16" i="77"/>
  <c r="J25" i="77"/>
  <c r="C80" i="15"/>
  <c r="C79" i="15"/>
  <c r="Q67" i="15"/>
  <c r="C58" i="15"/>
  <c r="C67" i="15"/>
  <c r="C68" i="15"/>
  <c r="Q69" i="15"/>
  <c r="Q68" i="15"/>
  <c r="C58" i="77"/>
  <c r="C67" i="77"/>
  <c r="C68" i="77"/>
  <c r="C71" i="77"/>
  <c r="Q67" i="77"/>
  <c r="Q69" i="77"/>
  <c r="Q68" i="77"/>
  <c r="C80" i="77"/>
  <c r="C79" i="77"/>
  <c r="C49" i="34"/>
  <c r="F7" i="40"/>
  <c r="J7" i="40"/>
  <c r="H7" i="40"/>
  <c r="AC7" i="37"/>
  <c r="V42" i="37"/>
  <c r="I42" i="37"/>
  <c r="W7" i="37"/>
  <c r="W7" i="35"/>
  <c r="I38" i="35"/>
  <c r="AA7" i="37"/>
  <c r="R42" i="37"/>
  <c r="S7" i="37"/>
  <c r="U7" i="35"/>
  <c r="G38" i="35"/>
  <c r="S7" i="35"/>
  <c r="AB7" i="37"/>
  <c r="T42" i="37"/>
  <c r="G42" i="37"/>
  <c r="U7" i="37"/>
  <c r="L51" i="90"/>
  <c r="AO11" i="1"/>
  <c r="Q47" i="90"/>
  <c r="Q53" i="90"/>
  <c r="C46" i="90"/>
  <c r="Q67" i="90"/>
  <c r="B2" i="90"/>
  <c r="B3" i="90"/>
  <c r="Q56" i="90"/>
  <c r="Q62" i="90"/>
  <c r="C83" i="90"/>
  <c r="C82" i="90"/>
  <c r="Q65" i="90"/>
  <c r="Q75" i="90"/>
  <c r="B11" i="70"/>
  <c r="B2" i="68"/>
  <c r="C57" i="68"/>
  <c r="C56" i="68"/>
  <c r="B3" i="79"/>
  <c r="C83" i="87"/>
  <c r="C82" i="87"/>
  <c r="Q56" i="87"/>
  <c r="Q62" i="87"/>
  <c r="C46" i="87"/>
  <c r="C43" i="87"/>
  <c r="Q47" i="87"/>
  <c r="Q53" i="87"/>
  <c r="D21" i="80"/>
  <c r="D102" i="80"/>
  <c r="C71" i="79"/>
  <c r="C46" i="79"/>
  <c r="C71" i="15"/>
  <c r="C46" i="15"/>
  <c r="K16" i="84"/>
  <c r="C83" i="15"/>
  <c r="C82" i="15"/>
  <c r="Q56" i="15"/>
  <c r="Q62" i="15"/>
  <c r="C43" i="15"/>
  <c r="Q47" i="15"/>
  <c r="Q53" i="15"/>
  <c r="Q65" i="15"/>
  <c r="Q75" i="15"/>
  <c r="C46" i="77"/>
  <c r="K3" i="84"/>
  <c r="C83" i="77"/>
  <c r="C82" i="77"/>
  <c r="C43" i="77"/>
  <c r="Q65" i="77"/>
  <c r="Q75" i="77"/>
  <c r="Q47" i="77"/>
  <c r="Q53" i="77"/>
  <c r="Q56" i="77"/>
  <c r="Q62" i="77"/>
  <c r="W7" i="40"/>
  <c r="AC7" i="40"/>
  <c r="V42" i="40"/>
  <c r="I42" i="40"/>
  <c r="I46" i="40"/>
  <c r="J46" i="40"/>
  <c r="AB7" i="40"/>
  <c r="T42" i="40"/>
  <c r="G42" i="40"/>
  <c r="U7" i="40"/>
  <c r="S7" i="40"/>
  <c r="AA7" i="40"/>
  <c r="R42" i="40"/>
  <c r="G47" i="37"/>
  <c r="H47" i="37"/>
  <c r="G46" i="37"/>
  <c r="H46" i="37"/>
  <c r="R43" i="37"/>
  <c r="E42" i="37"/>
  <c r="I47" i="37"/>
  <c r="J47" i="37"/>
  <c r="I46" i="37"/>
  <c r="J46" i="37"/>
  <c r="E38" i="35"/>
  <c r="G43" i="35"/>
  <c r="H43" i="35"/>
  <c r="G42" i="35"/>
  <c r="H42" i="35"/>
  <c r="I42" i="35"/>
  <c r="J42" i="35"/>
  <c r="AO7" i="1"/>
  <c r="AO6" i="1"/>
  <c r="B3" i="86"/>
  <c r="D35" i="80"/>
  <c r="D20" i="80"/>
  <c r="AO10" i="1"/>
  <c r="D34" i="80"/>
  <c r="B3" i="68"/>
  <c r="C102" i="80"/>
  <c r="C21" i="80"/>
  <c r="D22" i="80"/>
  <c r="B8" i="70"/>
  <c r="B9" i="70"/>
  <c r="B10" i="70"/>
  <c r="C21" i="9"/>
  <c r="C102" i="9"/>
  <c r="D103" i="80"/>
  <c r="B3" i="87"/>
  <c r="D21" i="88"/>
  <c r="D102" i="88"/>
  <c r="B7" i="70"/>
  <c r="B3" i="15"/>
  <c r="B6" i="70"/>
  <c r="B3" i="77"/>
  <c r="J3" i="84"/>
  <c r="I3" i="84"/>
  <c r="E42" i="40"/>
  <c r="R43" i="40"/>
  <c r="G47" i="40"/>
  <c r="H47" i="40"/>
  <c r="G46" i="40"/>
  <c r="H46" i="40"/>
  <c r="E42" i="35"/>
  <c r="F42" i="35"/>
  <c r="E43" i="35"/>
  <c r="F43" i="35"/>
  <c r="C43" i="37"/>
  <c r="B2" i="37"/>
  <c r="B3" i="37"/>
  <c r="C42" i="37"/>
  <c r="I43" i="35"/>
  <c r="J43" i="35"/>
  <c r="C38" i="35"/>
  <c r="E46" i="37"/>
  <c r="F46" i="37"/>
  <c r="E47" i="37"/>
  <c r="F47" i="37"/>
  <c r="C20" i="80"/>
  <c r="D34" i="78"/>
  <c r="D34" i="9"/>
  <c r="D35" i="9"/>
  <c r="C20" i="9"/>
  <c r="D35" i="88"/>
  <c r="D34" i="88"/>
  <c r="D20" i="88"/>
  <c r="D35" i="78"/>
  <c r="G21" i="80"/>
  <c r="G20" i="80"/>
  <c r="J54" i="84"/>
  <c r="I54" i="84"/>
  <c r="C103" i="80"/>
  <c r="I55" i="84"/>
  <c r="H101" i="80"/>
  <c r="D45" i="80"/>
  <c r="C103" i="9"/>
  <c r="G54" i="84"/>
  <c r="E54" i="84"/>
  <c r="B2" i="70"/>
  <c r="J55" i="84"/>
  <c r="J56" i="84"/>
  <c r="I118" i="80"/>
  <c r="H102" i="80"/>
  <c r="C21" i="88"/>
  <c r="C102" i="88"/>
  <c r="D22" i="88"/>
  <c r="B3" i="35"/>
  <c r="D103" i="88"/>
  <c r="H54" i="84"/>
  <c r="G3" i="84"/>
  <c r="E3" i="84"/>
  <c r="I5" i="84"/>
  <c r="J5" i="84"/>
  <c r="I11" i="84"/>
  <c r="J11" i="84"/>
  <c r="I6" i="84"/>
  <c r="J6" i="84"/>
  <c r="I4" i="84"/>
  <c r="J4" i="84"/>
  <c r="I12" i="84"/>
  <c r="J12" i="84"/>
  <c r="I8" i="84"/>
  <c r="J8" i="84"/>
  <c r="I14" i="84"/>
  <c r="J14" i="84"/>
  <c r="I9" i="84"/>
  <c r="J9" i="84"/>
  <c r="I10" i="84"/>
  <c r="J10" i="84"/>
  <c r="I7" i="84"/>
  <c r="J7" i="84"/>
  <c r="I13" i="84"/>
  <c r="J13" i="84"/>
  <c r="C43" i="40"/>
  <c r="C42" i="40"/>
  <c r="I47" i="40"/>
  <c r="J47" i="40"/>
  <c r="E47" i="40"/>
  <c r="F47" i="40"/>
  <c r="E46" i="40"/>
  <c r="F46" i="40"/>
  <c r="C20" i="88"/>
  <c r="H107" i="80"/>
  <c r="D122" i="80"/>
  <c r="D123" i="80"/>
  <c r="H119" i="80"/>
  <c r="M48" i="80"/>
  <c r="C104" i="80"/>
  <c r="C35" i="80"/>
  <c r="F118" i="80"/>
  <c r="F119" i="80"/>
  <c r="C105" i="80"/>
  <c r="D16" i="74"/>
  <c r="D102" i="78"/>
  <c r="D21" i="78"/>
  <c r="D21" i="9"/>
  <c r="D102" i="9"/>
  <c r="D22" i="9"/>
  <c r="B3" i="70"/>
  <c r="C34" i="80"/>
  <c r="D118" i="80"/>
  <c r="D119" i="80"/>
  <c r="G21" i="88"/>
  <c r="C103" i="88"/>
  <c r="G20" i="88"/>
  <c r="H55" i="84"/>
  <c r="F54" i="84"/>
  <c r="G13" i="84"/>
  <c r="H13" i="84"/>
  <c r="F13" i="84"/>
  <c r="G7" i="84"/>
  <c r="H7" i="84"/>
  <c r="F7" i="84"/>
  <c r="G10" i="84"/>
  <c r="H10" i="84"/>
  <c r="F10" i="84"/>
  <c r="G9" i="84"/>
  <c r="H9" i="84"/>
  <c r="F9" i="84"/>
  <c r="G14" i="84"/>
  <c r="H14" i="84"/>
  <c r="F14" i="84"/>
  <c r="G8" i="84"/>
  <c r="H8" i="84"/>
  <c r="F8" i="84"/>
  <c r="G12" i="84"/>
  <c r="H12" i="84"/>
  <c r="F12" i="84"/>
  <c r="G4" i="84"/>
  <c r="H4" i="84"/>
  <c r="F4" i="84"/>
  <c r="G6" i="84"/>
  <c r="H6" i="84"/>
  <c r="F6" i="84"/>
  <c r="G11" i="84"/>
  <c r="H11" i="84"/>
  <c r="F11" i="84"/>
  <c r="G5" i="84"/>
  <c r="H5" i="84"/>
  <c r="F5" i="84"/>
  <c r="I15" i="84"/>
  <c r="J15" i="84"/>
  <c r="H3" i="84"/>
  <c r="F3" i="84"/>
  <c r="B55" i="40"/>
  <c r="F55" i="40"/>
  <c r="B56" i="40"/>
  <c r="F56" i="40"/>
  <c r="B58" i="40"/>
  <c r="F58" i="40"/>
  <c r="B60" i="40"/>
  <c r="F60" i="40"/>
  <c r="B54" i="40"/>
  <c r="F54" i="40"/>
  <c r="B52" i="40"/>
  <c r="F52" i="40"/>
  <c r="B57" i="40"/>
  <c r="F57" i="40"/>
  <c r="B53" i="40"/>
  <c r="F53" i="40"/>
  <c r="B51" i="40"/>
  <c r="F51" i="40"/>
  <c r="B59" i="40"/>
  <c r="F59" i="40"/>
  <c r="F61" i="40"/>
  <c r="B2" i="40"/>
  <c r="B3" i="40"/>
  <c r="C78" i="80"/>
  <c r="C73" i="80"/>
  <c r="D52" i="80"/>
  <c r="C93" i="80"/>
  <c r="C86" i="80"/>
  <c r="C85" i="80"/>
  <c r="C72" i="80"/>
  <c r="C64" i="80"/>
  <c r="C63" i="80"/>
  <c r="C67" i="80"/>
  <c r="C68" i="80"/>
  <c r="D54" i="80"/>
  <c r="D55" i="80"/>
  <c r="M53" i="80"/>
  <c r="D53" i="80"/>
  <c r="D20" i="78"/>
  <c r="D20" i="9"/>
  <c r="H108" i="80"/>
  <c r="M49" i="80"/>
  <c r="L65" i="80"/>
  <c r="M65" i="80"/>
  <c r="C35" i="88"/>
  <c r="F118" i="88"/>
  <c r="F119" i="88"/>
  <c r="E17" i="74"/>
  <c r="G118" i="80"/>
  <c r="E118" i="80"/>
  <c r="F17" i="74"/>
  <c r="D103" i="78"/>
  <c r="G20" i="9"/>
  <c r="D103" i="9"/>
  <c r="G21" i="9"/>
  <c r="C79" i="80"/>
  <c r="C80" i="80"/>
  <c r="E80" i="80"/>
  <c r="E81" i="80"/>
  <c r="C34" i="88"/>
  <c r="D118" i="88"/>
  <c r="D119" i="88"/>
  <c r="I118" i="88"/>
  <c r="C104" i="88"/>
  <c r="H119" i="88"/>
  <c r="H101" i="88"/>
  <c r="F55" i="84"/>
  <c r="F56" i="84"/>
  <c r="H56" i="84"/>
  <c r="G15" i="84"/>
  <c r="E5" i="84"/>
  <c r="E11" i="84"/>
  <c r="E6" i="84"/>
  <c r="E4" i="84"/>
  <c r="E12" i="84"/>
  <c r="E8" i="84"/>
  <c r="E14" i="84"/>
  <c r="E9" i="84"/>
  <c r="E10" i="84"/>
  <c r="E7" i="84"/>
  <c r="E13" i="84"/>
  <c r="H15" i="84"/>
  <c r="F15" i="84"/>
  <c r="C95" i="80"/>
  <c r="C96" i="80"/>
  <c r="E96" i="80"/>
  <c r="E97" i="80"/>
  <c r="L66" i="80"/>
  <c r="M66" i="80"/>
  <c r="L67" i="80"/>
  <c r="M67" i="80"/>
  <c r="L64" i="80"/>
  <c r="M64" i="80"/>
  <c r="L63" i="80"/>
  <c r="M63" i="80"/>
  <c r="L68" i="80"/>
  <c r="M68" i="80"/>
  <c r="G118" i="88"/>
  <c r="E118" i="88"/>
  <c r="C35" i="9"/>
  <c r="C105" i="88"/>
  <c r="H102" i="88"/>
  <c r="H107" i="88"/>
  <c r="D45" i="88"/>
  <c r="M48" i="88"/>
  <c r="E15" i="84"/>
  <c r="C97" i="80"/>
  <c r="D58" i="80"/>
  <c r="D56" i="80"/>
  <c r="M54" i="80"/>
  <c r="N57" i="80"/>
  <c r="C81" i="80"/>
  <c r="M69" i="80"/>
  <c r="N69" i="80"/>
  <c r="F118" i="9"/>
  <c r="C34" i="9"/>
  <c r="D118" i="9"/>
  <c r="H101" i="9"/>
  <c r="I118" i="9"/>
  <c r="H4" i="52"/>
  <c r="H119" i="9"/>
  <c r="H5" i="52"/>
  <c r="C104" i="9"/>
  <c r="D122" i="88"/>
  <c r="D123" i="88"/>
  <c r="H108" i="88"/>
  <c r="M49" i="88"/>
  <c r="C78" i="88"/>
  <c r="C73" i="88"/>
  <c r="D52" i="88"/>
  <c r="C93" i="88"/>
  <c r="C86" i="88"/>
  <c r="C85" i="88"/>
  <c r="C72" i="88"/>
  <c r="C64" i="88"/>
  <c r="C63" i="88"/>
  <c r="C67" i="88"/>
  <c r="C68" i="88"/>
  <c r="D54" i="88"/>
  <c r="D55" i="88"/>
  <c r="M53" i="88"/>
  <c r="D53" i="88"/>
  <c r="K15" i="84"/>
  <c r="N58" i="80"/>
  <c r="P57" i="80"/>
  <c r="N59" i="80"/>
  <c r="C79" i="88"/>
  <c r="D5" i="53"/>
  <c r="H107" i="9"/>
  <c r="D4" i="52"/>
  <c r="B47" i="72"/>
  <c r="D119" i="9"/>
  <c r="D5" i="52"/>
  <c r="B49" i="72"/>
  <c r="H102" i="9"/>
  <c r="D7" i="53"/>
  <c r="B21" i="72"/>
  <c r="I4" i="52"/>
  <c r="C105" i="9"/>
  <c r="E14" i="74"/>
  <c r="F14" i="74"/>
  <c r="F4" i="52"/>
  <c r="B51" i="72"/>
  <c r="G118" i="9"/>
  <c r="G4" i="52"/>
  <c r="B52" i="72"/>
  <c r="F119" i="9"/>
  <c r="F5" i="52"/>
  <c r="B53" i="72"/>
  <c r="C95" i="88"/>
  <c r="C96" i="88"/>
  <c r="E96" i="88"/>
  <c r="E97" i="88"/>
  <c r="C80" i="88"/>
  <c r="E80" i="88"/>
  <c r="E81" i="88"/>
  <c r="L66" i="88"/>
  <c r="M66" i="88"/>
  <c r="L65" i="88"/>
  <c r="M65" i="88"/>
  <c r="L64" i="88"/>
  <c r="M64" i="88"/>
  <c r="L68" i="88"/>
  <c r="M68" i="88"/>
  <c r="L67" i="88"/>
  <c r="M67" i="88"/>
  <c r="L63" i="88"/>
  <c r="M63" i="88"/>
  <c r="E16" i="74"/>
  <c r="F16" i="74"/>
  <c r="N61" i="80"/>
  <c r="N60" i="80"/>
  <c r="E118" i="9"/>
  <c r="E4" i="52"/>
  <c r="B48" i="72"/>
  <c r="D13" i="53"/>
  <c r="D122" i="9"/>
  <c r="H108" i="9"/>
  <c r="D15" i="53"/>
  <c r="B31" i="72"/>
  <c r="D6" i="53"/>
  <c r="B22" i="72"/>
  <c r="B20" i="72"/>
  <c r="M69" i="88"/>
  <c r="N69" i="88"/>
  <c r="C97" i="88"/>
  <c r="D58" i="88"/>
  <c r="D56" i="88"/>
  <c r="M54" i="88"/>
  <c r="N57" i="88"/>
  <c r="C81" i="88"/>
  <c r="G55" i="84"/>
  <c r="G56" i="84"/>
  <c r="I56" i="84"/>
  <c r="D14" i="53"/>
  <c r="B32" i="72"/>
  <c r="B30" i="72"/>
  <c r="D8" i="52"/>
  <c r="D123" i="9"/>
  <c r="D9" i="52"/>
  <c r="N58" i="88"/>
  <c r="P57" i="88"/>
  <c r="N59" i="88"/>
  <c r="E55" i="84"/>
  <c r="E56" i="84"/>
  <c r="N61" i="88"/>
  <c r="N60" i="88"/>
  <c r="K56" i="84"/>
  <c r="J16" i="84"/>
  <c r="I47" i="84"/>
  <c r="I28" i="84"/>
  <c r="I22" i="84"/>
  <c r="J42" i="84"/>
  <c r="J50" i="84"/>
  <c r="J33" i="84"/>
  <c r="J41" i="84"/>
  <c r="I20" i="84"/>
  <c r="J39" i="84"/>
  <c r="J27" i="84"/>
  <c r="I35" i="84"/>
  <c r="I38" i="84"/>
  <c r="I30" i="84"/>
  <c r="I45" i="84"/>
  <c r="I25" i="84"/>
  <c r="J32" i="84"/>
  <c r="I36" i="84"/>
  <c r="I24" i="84"/>
  <c r="J48" i="84"/>
  <c r="J44" i="84"/>
  <c r="I40" i="84"/>
  <c r="J51" i="84"/>
  <c r="J49" i="84"/>
  <c r="J18" i="84"/>
  <c r="J34" i="84"/>
  <c r="J26" i="84"/>
  <c r="J52" i="84"/>
  <c r="J21" i="84"/>
  <c r="J19" i="84"/>
  <c r="J29" i="84"/>
  <c r="J37" i="84"/>
  <c r="J46" i="84"/>
  <c r="J43" i="84"/>
  <c r="J31" i="84"/>
  <c r="J23" i="84"/>
  <c r="I17" i="84"/>
  <c r="I43" i="84"/>
  <c r="I21" i="84"/>
  <c r="I18" i="84"/>
  <c r="G18" i="84"/>
  <c r="H18" i="84"/>
  <c r="F18" i="84"/>
  <c r="J30" i="84"/>
  <c r="I23" i="84"/>
  <c r="I37" i="84"/>
  <c r="I29" i="84"/>
  <c r="I26" i="84"/>
  <c r="I51" i="84"/>
  <c r="J40" i="84"/>
  <c r="J24" i="84"/>
  <c r="J25" i="84"/>
  <c r="I39" i="84"/>
  <c r="J28" i="84"/>
  <c r="G23" i="84"/>
  <c r="H23" i="84"/>
  <c r="F23" i="84"/>
  <c r="G37" i="84"/>
  <c r="H37" i="84"/>
  <c r="F37" i="84"/>
  <c r="G29" i="84"/>
  <c r="H29" i="84"/>
  <c r="F29" i="84"/>
  <c r="G26" i="84"/>
  <c r="H26" i="84"/>
  <c r="F26" i="84"/>
  <c r="G51" i="84"/>
  <c r="H51" i="84"/>
  <c r="F51" i="84"/>
  <c r="G17" i="84"/>
  <c r="H17" i="84"/>
  <c r="G43" i="84"/>
  <c r="H43" i="84"/>
  <c r="F43" i="84"/>
  <c r="G21" i="84"/>
  <c r="H21" i="84"/>
  <c r="F21" i="84"/>
  <c r="G36" i="84"/>
  <c r="H36" i="84"/>
  <c r="G45" i="84"/>
  <c r="H45" i="84"/>
  <c r="G30" i="84"/>
  <c r="H30" i="84"/>
  <c r="F30" i="84"/>
  <c r="G35" i="84"/>
  <c r="H35" i="84"/>
  <c r="G39" i="84"/>
  <c r="H39" i="84"/>
  <c r="F39" i="84"/>
  <c r="G20" i="84"/>
  <c r="H20" i="84"/>
  <c r="G28" i="84"/>
  <c r="H28" i="84"/>
  <c r="F28" i="84"/>
  <c r="J17" i="84"/>
  <c r="I31" i="84"/>
  <c r="I46" i="84"/>
  <c r="I19" i="84"/>
  <c r="I52" i="84"/>
  <c r="I34" i="84"/>
  <c r="I49" i="84"/>
  <c r="G40" i="84"/>
  <c r="H40" i="84"/>
  <c r="F40" i="84"/>
  <c r="I44" i="84"/>
  <c r="I48" i="84"/>
  <c r="G24" i="84"/>
  <c r="H24" i="84"/>
  <c r="F24" i="84"/>
  <c r="G25" i="84"/>
  <c r="H25" i="84"/>
  <c r="F25" i="84"/>
  <c r="G38" i="84"/>
  <c r="H38" i="84"/>
  <c r="G22" i="84"/>
  <c r="H22" i="84"/>
  <c r="G47" i="84"/>
  <c r="H47" i="84"/>
  <c r="J36" i="84"/>
  <c r="I32" i="84"/>
  <c r="J45" i="84"/>
  <c r="J38" i="84"/>
  <c r="J35" i="84"/>
  <c r="I27" i="84"/>
  <c r="J20" i="84"/>
  <c r="I41" i="84"/>
  <c r="I33" i="84"/>
  <c r="I50" i="84"/>
  <c r="I42" i="84"/>
  <c r="J22" i="84"/>
  <c r="J47" i="84"/>
  <c r="I16" i="84"/>
  <c r="F20" i="84"/>
  <c r="F35" i="84"/>
  <c r="F45" i="84"/>
  <c r="F36" i="84"/>
  <c r="F17" i="84"/>
  <c r="E21" i="84"/>
  <c r="F47" i="84"/>
  <c r="E25" i="84"/>
  <c r="F38" i="84"/>
  <c r="F22" i="84"/>
  <c r="E38" i="84"/>
  <c r="E18" i="84"/>
  <c r="E17" i="84"/>
  <c r="E29" i="84"/>
  <c r="E28" i="84"/>
  <c r="E45" i="84"/>
  <c r="G16" i="84"/>
  <c r="I53" i="84"/>
  <c r="E16" i="84"/>
  <c r="G42" i="84"/>
  <c r="H42" i="84"/>
  <c r="F42" i="84"/>
  <c r="G33" i="84"/>
  <c r="H33" i="84"/>
  <c r="F33" i="84"/>
  <c r="E47" i="84"/>
  <c r="E22" i="84"/>
  <c r="E24" i="84"/>
  <c r="G44" i="84"/>
  <c r="H44" i="84"/>
  <c r="F44" i="84"/>
  <c r="E40" i="84"/>
  <c r="G49" i="84"/>
  <c r="H49" i="84"/>
  <c r="F49" i="84"/>
  <c r="G34" i="84"/>
  <c r="H34" i="84"/>
  <c r="F34" i="84"/>
  <c r="G52" i="84"/>
  <c r="H52" i="84"/>
  <c r="F52" i="84"/>
  <c r="G19" i="84"/>
  <c r="H19" i="84"/>
  <c r="F19" i="84"/>
  <c r="E20" i="84"/>
  <c r="E39" i="84"/>
  <c r="E35" i="84"/>
  <c r="E30" i="84"/>
  <c r="E43" i="84"/>
  <c r="E51" i="84"/>
  <c r="E26" i="84"/>
  <c r="G50" i="84"/>
  <c r="H50" i="84"/>
  <c r="F50" i="84"/>
  <c r="G41" i="84"/>
  <c r="H41" i="84"/>
  <c r="F41" i="84"/>
  <c r="G27" i="84"/>
  <c r="H27" i="84"/>
  <c r="F27" i="84"/>
  <c r="G32" i="84"/>
  <c r="H32" i="84"/>
  <c r="F32" i="84"/>
  <c r="G48" i="84"/>
  <c r="H48" i="84"/>
  <c r="F48" i="84"/>
  <c r="G46" i="84"/>
  <c r="H46" i="84"/>
  <c r="F46" i="84"/>
  <c r="G31" i="84"/>
  <c r="H31" i="84"/>
  <c r="F31" i="84"/>
  <c r="E36" i="84"/>
  <c r="E37" i="84"/>
  <c r="E23" i="84"/>
  <c r="E31" i="84"/>
  <c r="E46" i="84"/>
  <c r="E27" i="84"/>
  <c r="E19" i="84"/>
  <c r="E52" i="84"/>
  <c r="E34" i="84"/>
  <c r="E49" i="84"/>
  <c r="E44" i="84"/>
  <c r="E33" i="84"/>
  <c r="I57" i="84"/>
  <c r="I58" i="84"/>
  <c r="J53" i="84"/>
  <c r="E48" i="84"/>
  <c r="E32" i="84"/>
  <c r="E41" i="84"/>
  <c r="E50" i="84"/>
  <c r="E42" i="84"/>
  <c r="H16" i="84"/>
  <c r="F16" i="84"/>
  <c r="G53" i="84"/>
  <c r="C20" i="78"/>
  <c r="E53" i="84"/>
  <c r="E57" i="84"/>
  <c r="E58" i="84"/>
  <c r="D22" i="78"/>
  <c r="C21" i="78"/>
  <c r="C102" i="78"/>
  <c r="C103" i="78"/>
  <c r="G20" i="78"/>
  <c r="H53" i="84"/>
  <c r="F53" i="84"/>
  <c r="G57" i="84"/>
  <c r="G58" i="84"/>
  <c r="K53" i="84"/>
  <c r="G21" i="78"/>
  <c r="C35" i="78"/>
  <c r="F118" i="78"/>
  <c r="F119" i="78"/>
  <c r="G118" i="78"/>
  <c r="C34" i="78"/>
  <c r="D118" i="78"/>
  <c r="D119" i="78"/>
  <c r="C104" i="78"/>
  <c r="I118" i="78"/>
  <c r="H119" i="78"/>
  <c r="H101" i="78"/>
  <c r="M48" i="78"/>
  <c r="H107" i="78"/>
  <c r="D45" i="78"/>
  <c r="C105" i="78"/>
  <c r="E118" i="78"/>
  <c r="H102" i="78"/>
  <c r="E15" i="74"/>
  <c r="F15" i="74"/>
  <c r="B5" i="74"/>
  <c r="B6" i="74"/>
  <c r="D5" i="74"/>
  <c r="C5" i="74"/>
  <c r="C6" i="74"/>
  <c r="D45" i="9"/>
  <c r="D6" i="74"/>
  <c r="M48" i="9"/>
  <c r="M49" i="9"/>
  <c r="H108" i="78"/>
  <c r="D122" i="78"/>
  <c r="D123" i="78"/>
  <c r="M49" i="78"/>
  <c r="D53" i="78"/>
  <c r="D52" i="78"/>
  <c r="C78" i="78"/>
  <c r="C73" i="78"/>
  <c r="C93" i="78"/>
  <c r="C86" i="78"/>
  <c r="C64" i="78"/>
  <c r="C63" i="78"/>
  <c r="C67" i="78"/>
  <c r="C68" i="78"/>
  <c r="D54" i="78"/>
  <c r="C85" i="78"/>
  <c r="D55" i="78"/>
  <c r="M53" i="78"/>
  <c r="C72" i="78"/>
  <c r="C95" i="78"/>
  <c r="C79" i="78"/>
  <c r="C80" i="78"/>
  <c r="E80" i="78"/>
  <c r="E81" i="78"/>
  <c r="L64" i="9"/>
  <c r="M64" i="9"/>
  <c r="L67" i="9"/>
  <c r="M67" i="9"/>
  <c r="L68" i="9"/>
  <c r="M68" i="9"/>
  <c r="L65" i="9"/>
  <c r="M65" i="9"/>
  <c r="L66" i="9"/>
  <c r="M66" i="9"/>
  <c r="L63" i="9"/>
  <c r="M63" i="9"/>
  <c r="M69" i="9"/>
  <c r="N69" i="9"/>
  <c r="D52" i="9"/>
  <c r="C93" i="9"/>
  <c r="C86" i="9"/>
  <c r="C72" i="9"/>
  <c r="C78" i="9"/>
  <c r="C73" i="9"/>
  <c r="D55" i="9"/>
  <c r="M53" i="9"/>
  <c r="C64" i="9"/>
  <c r="C63" i="9"/>
  <c r="C67" i="9"/>
  <c r="C68" i="9"/>
  <c r="D54" i="9"/>
  <c r="C85" i="9"/>
  <c r="D53" i="9"/>
  <c r="D48" i="9"/>
  <c r="M52" i="9"/>
  <c r="C96" i="78"/>
  <c r="E96" i="78"/>
  <c r="E97" i="78"/>
  <c r="L68" i="78"/>
  <c r="M68" i="78"/>
  <c r="L66" i="78"/>
  <c r="M66" i="78"/>
  <c r="L67" i="78"/>
  <c r="M67" i="78"/>
  <c r="L65" i="78"/>
  <c r="M65" i="78"/>
  <c r="L64" i="78"/>
  <c r="M64" i="78"/>
  <c r="L63" i="78"/>
  <c r="M63" i="78"/>
  <c r="M69" i="78"/>
  <c r="N69" i="78"/>
  <c r="C97" i="78"/>
  <c r="D58" i="78"/>
  <c r="D56" i="78"/>
  <c r="M54" i="78"/>
  <c r="N57" i="78"/>
  <c r="P57" i="78"/>
  <c r="C81" i="78"/>
  <c r="C95" i="9"/>
  <c r="C96" i="9"/>
  <c r="E96" i="9"/>
  <c r="E97" i="9"/>
  <c r="C79" i="9"/>
  <c r="C80" i="9"/>
  <c r="E80" i="9"/>
  <c r="E81" i="9"/>
  <c r="C81" i="9"/>
  <c r="N59" i="78"/>
  <c r="N61" i="78"/>
  <c r="N58" i="78"/>
  <c r="C97" i="9"/>
  <c r="D58" i="9"/>
  <c r="D56" i="9"/>
  <c r="M54" i="9"/>
  <c r="N57" i="9"/>
  <c r="N58" i="9"/>
  <c r="N60" i="78"/>
  <c r="P57" i="9"/>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 xml:space="preserve">在建项目均选择“是”
</t>
        </r>
      </text>
    </comment>
    <comment ref="F59"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9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9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900-000005000000}">
      <text>
        <r>
          <rPr>
            <sz val="12"/>
            <color indexed="81"/>
            <rFont val="宋体"/>
            <family val="3"/>
            <charset val="134"/>
          </rPr>
          <t xml:space="preserve">名称在右侧单元格录入
</t>
        </r>
      </text>
    </comment>
    <comment ref="B16" authorId="0" shapeId="0" xr:uid="{00000000-0006-0000-09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9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900-000008000000}">
      <text>
        <r>
          <rPr>
            <sz val="12"/>
            <color indexed="81"/>
            <rFont val="宋体"/>
            <family val="3"/>
            <charset val="134"/>
          </rPr>
          <t xml:space="preserve">有相同面积依据时，仅在土地面积依据处录入。
</t>
        </r>
      </text>
    </comment>
    <comment ref="C28" authorId="1" shapeId="0" xr:uid="{00000000-0006-0000-0900-000009000000}">
      <text>
        <r>
          <rPr>
            <sz val="11"/>
            <color indexed="81"/>
            <rFont val="楷体_GB2312"/>
            <family val="3"/>
            <charset val="134"/>
          </rPr>
          <t>其他特殊项请在右侧录入</t>
        </r>
      </text>
    </comment>
    <comment ref="C30" authorId="1" shapeId="0" xr:uid="{00000000-0006-0000-09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900-00000B000000}">
      <text>
        <r>
          <rPr>
            <sz val="11"/>
            <color indexed="81"/>
            <rFont val="宋体"/>
            <family val="3"/>
            <charset val="134"/>
          </rPr>
          <t xml:space="preserve">工程停工、土地闲置、年久失修等
</t>
        </r>
      </text>
    </comment>
    <comment ref="E32" authorId="1" shapeId="0" xr:uid="{00000000-0006-0000-0900-00000C000000}">
      <text>
        <r>
          <rPr>
            <sz val="11"/>
            <color indexed="81"/>
            <rFont val="宋体"/>
            <family val="3"/>
            <charset val="134"/>
          </rPr>
          <t xml:space="preserve">工程停工、土地闲置、年久失修等
</t>
        </r>
      </text>
    </comment>
    <comment ref="E33" authorId="1" shapeId="0" xr:uid="{00000000-0006-0000-0900-00000D000000}">
      <text>
        <r>
          <rPr>
            <sz val="11"/>
            <color indexed="81"/>
            <rFont val="宋体"/>
            <family val="3"/>
            <charset val="134"/>
          </rPr>
          <t xml:space="preserve">工程停工、土地闲置、年久失修等
</t>
        </r>
      </text>
    </comment>
    <comment ref="K42"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4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400-000005000000}">
      <text>
        <r>
          <rPr>
            <sz val="11"/>
            <color indexed="81"/>
            <rFont val="宋体"/>
            <family val="3"/>
            <charset val="134"/>
          </rPr>
          <t>在建项目均选择“是”</t>
        </r>
      </text>
    </comment>
    <comment ref="F59"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400-000007000000}">
      <text>
        <r>
          <rPr>
            <sz val="10"/>
            <color indexed="81"/>
            <rFont val="宋体"/>
            <family val="3"/>
            <charset val="134"/>
          </rPr>
          <t xml:space="preserve">在建
</t>
        </r>
      </text>
    </comment>
    <comment ref="N59" authorId="1" shapeId="0" xr:uid="{00000000-0006-0000-2400-000008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3000000}">
      <text>
        <r>
          <rPr>
            <b/>
            <sz val="12"/>
            <color indexed="81"/>
            <rFont val="宋体"/>
            <family val="3"/>
            <charset val="134"/>
          </rPr>
          <t>所属项目品质或
物业管理</t>
        </r>
      </text>
    </comment>
    <comment ref="B90" authorId="0" shapeId="0" xr:uid="{00000000-0006-0000-2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3000000}">
      <text>
        <r>
          <rPr>
            <b/>
            <sz val="12"/>
            <color indexed="81"/>
            <rFont val="宋体"/>
            <family val="3"/>
            <charset val="134"/>
          </rPr>
          <t>所属项目品质或
物业管理</t>
        </r>
      </text>
    </comment>
    <comment ref="B86" authorId="0" shapeId="0" xr:uid="{00000000-0006-0000-2A00-000004000000}">
      <text>
        <r>
          <rPr>
            <b/>
            <sz val="12"/>
            <color indexed="81"/>
            <rFont val="宋体"/>
            <family val="3"/>
            <charset val="134"/>
          </rPr>
          <t>所属项目品质</t>
        </r>
      </text>
    </comment>
    <comment ref="B89"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B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B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C00-000005000000}">
      <text>
        <r>
          <rPr>
            <sz val="11"/>
            <color indexed="81"/>
            <rFont val="宋体"/>
            <family val="3"/>
            <charset val="134"/>
          </rPr>
          <t>在建项目均选择“是”</t>
        </r>
      </text>
    </comment>
    <comment ref="F59" authorId="0" shapeId="0" xr:uid="{00000000-0006-0000-2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C00-000007000000}">
      <text>
        <r>
          <rPr>
            <sz val="10"/>
            <color indexed="81"/>
            <rFont val="宋体"/>
            <family val="3"/>
            <charset val="134"/>
          </rPr>
          <t xml:space="preserve">在建
</t>
        </r>
      </text>
    </comment>
    <comment ref="N59" authorId="1" shapeId="0" xr:uid="{00000000-0006-0000-2C00-000008000000}">
      <text>
        <r>
          <rPr>
            <sz val="10"/>
            <color indexed="81"/>
            <rFont val="宋体"/>
            <family val="3"/>
            <charset val="134"/>
          </rPr>
          <t xml:space="preserve">土地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E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E00-000002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100-000002000000}">
      <text>
        <r>
          <rPr>
            <sz val="11"/>
            <color indexed="81"/>
            <rFont val="宋体"/>
            <family val="3"/>
            <charset val="134"/>
          </rPr>
          <t xml:space="preserve">录入层数，将对应的结果录入至左侧相应层的楼层修正系数单元格中
</t>
        </r>
      </text>
    </comment>
    <comment ref="D17" authorId="2" shapeId="0" xr:uid="{00000000-0006-0000-3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3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3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3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3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3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3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3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3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3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3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3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3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3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3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3100-000012000000}">
      <text>
        <r>
          <rPr>
            <b/>
            <sz val="9"/>
            <color indexed="81"/>
            <rFont val="宋体"/>
            <family val="3"/>
            <charset val="134"/>
          </rPr>
          <t xml:space="preserve">容积率
</t>
        </r>
      </text>
    </comment>
    <comment ref="D101" authorId="0" shapeId="0" xr:uid="{00000000-0006-0000-3100-000013000000}">
      <text>
        <r>
          <rPr>
            <b/>
            <sz val="9"/>
            <color indexed="81"/>
            <rFont val="宋体"/>
            <family val="3"/>
            <charset val="134"/>
          </rPr>
          <t xml:space="preserve">容积率
</t>
        </r>
      </text>
    </comment>
    <comment ref="E101" authorId="0" shapeId="0" xr:uid="{00000000-0006-0000-3100-000014000000}">
      <text>
        <r>
          <rPr>
            <b/>
            <sz val="9"/>
            <color indexed="81"/>
            <rFont val="宋体"/>
            <family val="3"/>
            <charset val="134"/>
          </rPr>
          <t xml:space="preserve">容积率
</t>
        </r>
      </text>
    </comment>
    <comment ref="F101" authorId="0" shapeId="0" xr:uid="{00000000-0006-0000-3100-000015000000}">
      <text>
        <r>
          <rPr>
            <b/>
            <sz val="9"/>
            <color indexed="81"/>
            <rFont val="宋体"/>
            <family val="3"/>
            <charset val="134"/>
          </rPr>
          <t xml:space="preserve">容积率
</t>
        </r>
      </text>
    </comment>
    <comment ref="G101" authorId="0" shapeId="0" xr:uid="{00000000-0006-0000-3100-000016000000}">
      <text>
        <r>
          <rPr>
            <b/>
            <sz val="9"/>
            <color indexed="81"/>
            <rFont val="宋体"/>
            <family val="3"/>
            <charset val="134"/>
          </rPr>
          <t xml:space="preserve">容积率
</t>
        </r>
      </text>
    </comment>
    <comment ref="H101" authorId="0" shapeId="0" xr:uid="{00000000-0006-0000-3100-000017000000}">
      <text>
        <r>
          <rPr>
            <b/>
            <sz val="9"/>
            <color indexed="81"/>
            <rFont val="宋体"/>
            <family val="3"/>
            <charset val="134"/>
          </rPr>
          <t xml:space="preserve">容积率
</t>
        </r>
      </text>
    </comment>
    <comment ref="I101" authorId="0" shapeId="0" xr:uid="{00000000-0006-0000-3100-000018000000}">
      <text>
        <r>
          <rPr>
            <b/>
            <sz val="9"/>
            <color indexed="81"/>
            <rFont val="宋体"/>
            <family val="3"/>
            <charset val="134"/>
          </rPr>
          <t xml:space="preserve">容积率
</t>
        </r>
      </text>
    </comment>
    <comment ref="J101" authorId="0" shapeId="0" xr:uid="{00000000-0006-0000-3100-000019000000}">
      <text>
        <r>
          <rPr>
            <b/>
            <sz val="9"/>
            <color indexed="81"/>
            <rFont val="宋体"/>
            <family val="3"/>
            <charset val="134"/>
          </rPr>
          <t xml:space="preserve">容积率
</t>
        </r>
      </text>
    </comment>
    <comment ref="K101" authorId="0" shapeId="0" xr:uid="{00000000-0006-0000-3100-00001A000000}">
      <text>
        <r>
          <rPr>
            <b/>
            <sz val="9"/>
            <color indexed="81"/>
            <rFont val="宋体"/>
            <family val="3"/>
            <charset val="134"/>
          </rPr>
          <t xml:space="preserve">容积率
</t>
        </r>
      </text>
    </comment>
    <comment ref="L101" authorId="0" shapeId="0" xr:uid="{00000000-0006-0000-3100-00001B000000}">
      <text>
        <r>
          <rPr>
            <b/>
            <sz val="9"/>
            <color indexed="81"/>
            <rFont val="宋体"/>
            <family val="3"/>
            <charset val="134"/>
          </rPr>
          <t xml:space="preserve">容积率
</t>
        </r>
      </text>
    </comment>
    <comment ref="M101" authorId="0" shapeId="0" xr:uid="{00000000-0006-0000-3100-00001C000000}">
      <text>
        <r>
          <rPr>
            <b/>
            <sz val="9"/>
            <color indexed="81"/>
            <rFont val="宋体"/>
            <family val="3"/>
            <charset val="134"/>
          </rPr>
          <t xml:space="preserve">容积率
</t>
        </r>
      </text>
    </comment>
    <comment ref="N101" authorId="0" shapeId="0" xr:uid="{00000000-0006-0000-3100-00001D000000}">
      <text>
        <r>
          <rPr>
            <b/>
            <sz val="9"/>
            <color indexed="81"/>
            <rFont val="宋体"/>
            <family val="3"/>
            <charset val="134"/>
          </rPr>
          <t xml:space="preserve">容积率
</t>
        </r>
      </text>
    </comment>
    <comment ref="C108" authorId="0" shapeId="0" xr:uid="{00000000-0006-0000-3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3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3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3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3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3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3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3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3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3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3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3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3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3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3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3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3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3500-000005000000}">
      <text>
        <r>
          <rPr>
            <sz val="11"/>
            <color indexed="81"/>
            <rFont val="宋体"/>
            <family val="3"/>
            <charset val="134"/>
          </rPr>
          <t>在建项目均选择“是”</t>
        </r>
      </text>
    </comment>
    <comment ref="F59" authorId="0" shapeId="0" xr:uid="{00000000-0006-0000-3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3500-000007000000}">
      <text>
        <r>
          <rPr>
            <sz val="10"/>
            <color indexed="81"/>
            <rFont val="宋体"/>
            <family val="3"/>
            <charset val="134"/>
          </rPr>
          <t xml:space="preserve">在建
</t>
        </r>
      </text>
    </comment>
    <comment ref="N59" authorId="1" shapeId="0" xr:uid="{00000000-0006-0000-3500-000008000000}">
      <text>
        <r>
          <rPr>
            <sz val="10"/>
            <color indexed="81"/>
            <rFont val="宋体"/>
            <family val="3"/>
            <charset val="134"/>
          </rPr>
          <t xml:space="preserve">土地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<sst xmlns="http://schemas.openxmlformats.org/spreadsheetml/2006/main" count="11624" uniqueCount="3536">
  <si>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</si>
  <si>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</si>
  <si>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</si>
  <si>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</si>
  <si>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</si>
  <si>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</si>
  <si>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</si>
  <si>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</si>
  <si>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</si>
  <si>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</si>
  <si>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</si>
  <si>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</si>
  <si>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</si>
  <si>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</si>
  <si>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</si>
  <si>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</si>
  <si>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</si>
  <si>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</si>
  <si>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</si>
  <si>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</si>
  <si>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</si>
  <si>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</si>
  <si>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</si>
  <si>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</si>
  <si>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</si>
  <si>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</si>
  <si>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</si>
  <si>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</si>
  <si>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</si>
  <si>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</si>
  <si>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</si>
  <si>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</si>
  <si>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</si>
  <si>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</si>
  <si>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</si>
  <si>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</si>
  <si>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</si>
  <si>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</si>
  <si>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</si>
  <si>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</si>
  <si>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</si>
  <si>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</si>
  <si>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</si>
  <si>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</si>
  <si>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</si>
  <si>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</si>
  <si>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</si>
  <si>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</si>
  <si>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</si>
  <si>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</si>
  <si>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</si>
  <si>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</si>
  <si>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</si>
  <si>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</si>
  <si>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</si>
  <si>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</si>
  <si>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</si>
  <si>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</si>
  <si>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</si>
  <si>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</si>
  <si>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</si>
  <si>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</si>
  <si>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</si>
  <si>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</si>
  <si>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</si>
  <si>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</si>
  <si>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</si>
  <si>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</si>
  <si>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</si>
  <si>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</si>
  <si>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</si>
  <si>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</si>
  <si>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</si>
  <si>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</si>
  <si>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</si>
  <si>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</si>
  <si>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</si>
  <si>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</si>
  <si>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</si>
  <si>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</si>
  <si>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</si>
  <si>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</si>
  <si>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</si>
  <si>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</si>
  <si>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</si>
  <si>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</si>
  <si>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</si>
  <si>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</si>
  <si>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</si>
  <si>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</si>
  <si>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</si>
  <si>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</si>
  <si>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</si>
  <si>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</si>
  <si>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</si>
  <si>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</si>
  <si>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</si>
  <si>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</si>
  <si>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</si>
  <si>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</si>
  <si>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</si>
  <si>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</si>
  <si>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</si>
  <si>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</si>
  <si>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</si>
  <si>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</si>
  <si>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</si>
  <si>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</si>
  <si>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</si>
  <si>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</si>
  <si>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</si>
  <si>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</si>
  <si>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</si>
  <si>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</si>
  <si>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</si>
  <si>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</si>
  <si>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</si>
  <si>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</si>
  <si>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</si>
  <si>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</si>
  <si>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</si>
  <si>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</si>
  <si>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</si>
  <si>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</si>
  <si>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</si>
  <si>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</si>
  <si>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</si>
  <si>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</si>
  <si>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</si>
  <si>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</si>
  <si>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</si>
  <si>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</si>
  <si>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</si>
  <si>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</si>
  <si>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</si>
  <si>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</si>
  <si>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</si>
  <si>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</si>
  <si>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</si>
  <si>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</si>
  <si>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</si>
  <si>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</si>
  <si>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</si>
  <si>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</si>
  <si>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</si>
  <si>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</si>
  <si>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</si>
  <si>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</si>
  <si>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</si>
  <si>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</si>
  <si>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</si>
  <si>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</si>
  <si>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</si>
  <si>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</si>
  <si>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</si>
  <si>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</si>
  <si>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</si>
  <si>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</si>
  <si>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</si>
  <si>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</si>
  <si>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</si>
  <si>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</si>
  <si>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</si>
  <si>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</si>
  <si>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</si>
  <si>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</si>
  <si>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</si>
  <si>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</si>
  <si>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</si>
  <si>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</si>
  <si>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</si>
  <si>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</si>
  <si>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</si>
  <si>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</si>
  <si>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</si>
  <si>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</si>
  <si>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</si>
  <si>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</si>
  <si>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</si>
  <si>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</si>
  <si>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</si>
  <si>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</si>
  <si>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</si>
  <si>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</si>
  <si>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</si>
  <si>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</si>
  <si>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</si>
  <si>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</si>
  <si>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</si>
  <si>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</si>
  <si>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</si>
  <si>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</si>
  <si>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</si>
  <si>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</si>
  <si>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</si>
  <si>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</si>
  <si>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</si>
  <si>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</si>
  <si>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</si>
  <si>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</si>
  <si>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</si>
  <si>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</si>
  <si>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</si>
  <si>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</si>
  <si>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</si>
  <si>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</si>
  <si>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</si>
  <si>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</si>
  <si>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</si>
  <si>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</si>
  <si>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</si>
  <si>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</si>
  <si>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</si>
  <si>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</si>
  <si>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</si>
  <si>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</si>
  <si>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</si>
  <si>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</si>
  <si>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</si>
  <si>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</si>
  <si>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</si>
  <si>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</si>
  <si>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</si>
  <si>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</si>
  <si>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</si>
  <si>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</si>
  <si>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</si>
  <si>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</si>
  <si>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</si>
  <si>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</si>
  <si>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</si>
  <si>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</si>
  <si>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</si>
  <si>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</si>
  <si>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</si>
  <si>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</si>
  <si>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</si>
  <si>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</si>
  <si>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</si>
  <si>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</si>
  <si>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</si>
  <si>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</si>
  <si>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</si>
  <si>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</si>
  <si>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</si>
  <si>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</si>
  <si>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</si>
  <si>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</si>
  <si>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</si>
  <si>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</si>
  <si>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</si>
  <si>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</si>
  <si>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</si>
  <si>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</si>
  <si>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</si>
  <si>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</si>
  <si>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</si>
  <si>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</si>
  <si>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</si>
  <si>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</si>
  <si>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</si>
  <si>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</si>
  <si>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</si>
  <si>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</si>
  <si>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</si>
  <si>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</si>
  <si>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</si>
  <si>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</si>
  <si>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</si>
  <si>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</si>
  <si>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</si>
  <si>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</si>
  <si>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</si>
  <si>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</si>
  <si>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</si>
  <si>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</si>
  <si>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</si>
  <si>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</si>
  <si>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</si>
  <si>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</si>
  <si>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</si>
  <si>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</si>
  <si>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</si>
  <si>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</si>
  <si>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</si>
  <si>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</si>
  <si>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</si>
  <si>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</si>
  <si>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</si>
  <si>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</si>
  <si>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</si>
  <si>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</si>
  <si>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</si>
  <si>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</si>
  <si>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</si>
  <si>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</si>
  <si>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</si>
  <si>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</si>
  <si>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</si>
  <si>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</si>
  <si>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</si>
  <si>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</si>
  <si>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</si>
  <si>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</si>
  <si>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</si>
  <si>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</si>
  <si>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</si>
  <si>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</si>
  <si>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</si>
  <si>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</si>
  <si>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</si>
  <si>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</si>
  <si>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</si>
  <si>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</si>
  <si>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</si>
  <si>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</si>
  <si>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</si>
  <si>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</si>
  <si>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</si>
  <si>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</si>
  <si>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</si>
  <si>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</si>
  <si>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</si>
  <si>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</si>
  <si>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</si>
  <si>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</si>
  <si>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</si>
  <si>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</si>
  <si>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</si>
  <si>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</si>
  <si>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</si>
  <si>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</si>
  <si>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</si>
  <si>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</si>
  <si>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</si>
  <si>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</si>
  <si>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</si>
  <si>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</si>
  <si>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</si>
  <si>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</si>
  <si>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</si>
  <si>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</si>
  <si>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</si>
  <si>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</si>
  <si>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</si>
  <si>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</si>
  <si>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</si>
  <si>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</si>
  <si>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</si>
  <si>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</si>
  <si>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</si>
  <si>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</si>
  <si>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</si>
  <si>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</si>
  <si>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</si>
  <si>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</si>
  <si>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</si>
  <si>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</si>
  <si>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</si>
  <si>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</si>
  <si>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</si>
  <si>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</si>
  <si>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</si>
  <si>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</si>
  <si>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</si>
  <si>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</si>
  <si>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</si>
  <si>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</si>
  <si>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</si>
  <si>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</si>
  <si>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</si>
  <si>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</si>
  <si>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</si>
  <si>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</si>
  <si>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</si>
  <si>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</si>
  <si>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</si>
  <si>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</si>
  <si>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</si>
  <si>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</si>
  <si>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</si>
  <si>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</si>
  <si>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</si>
  <si>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</si>
  <si>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</si>
  <si>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</si>
  <si>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</si>
  <si>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</si>
  <si>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</si>
  <si>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</si>
  <si>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</si>
  <si>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</si>
  <si>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</si>
  <si>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</si>
  <si>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</si>
  <si>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</si>
  <si>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</si>
  <si>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</si>
  <si>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</si>
  <si>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</si>
  <si>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</si>
  <si>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</si>
  <si>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</si>
  <si>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</si>
  <si>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</si>
  <si>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</si>
  <si>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</si>
  <si>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</si>
  <si>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</si>
  <si>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</si>
  <si>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</si>
  <si>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</si>
  <si>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</si>
  <si>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</si>
  <si>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</si>
  <si>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</si>
  <si>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</si>
  <si>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</si>
  <si>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</si>
  <si>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</si>
  <si>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</si>
  <si>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</si>
  <si>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</si>
  <si>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</si>
  <si>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</si>
  <si>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</si>
  <si>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</si>
  <si>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</si>
  <si>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</si>
  <si>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</si>
  <si>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</si>
  <si>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</si>
  <si>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</si>
  <si>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</si>
  <si>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</si>
  <si>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</si>
  <si>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</si>
  <si>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</si>
  <si>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</si>
  <si>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</si>
  <si>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</si>
  <si>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</si>
  <si>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</si>
  <si>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</si>
  <si>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</si>
  <si>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</si>
  <si>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</si>
  <si>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</si>
  <si>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</si>
  <si>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</si>
  <si>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</si>
  <si>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</si>
  <si>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</si>
  <si>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</si>
  <si>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</si>
  <si>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</si>
  <si>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</si>
  <si>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</si>
  <si>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</si>
  <si>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</si>
  <si>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</si>
  <si>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</si>
  <si>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</si>
  <si>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</si>
  <si>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</si>
  <si>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</si>
  <si>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</si>
  <si>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</si>
  <si>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</si>
  <si>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</si>
  <si>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</si>
  <si>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</si>
  <si>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</si>
  <si>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</si>
  <si>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</si>
  <si>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</si>
  <si>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</si>
  <si>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</si>
  <si>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</si>
  <si>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</si>
  <si>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</si>
  <si>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</si>
  <si>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</si>
  <si>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</si>
  <si>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</si>
  <si>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</si>
  <si>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</si>
  <si>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</si>
  <si>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</si>
  <si>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</si>
  <si>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</si>
  <si>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</si>
  <si>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</si>
  <si>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</si>
  <si>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</si>
  <si>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</si>
  <si>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</si>
  <si>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</si>
  <si>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</si>
  <si>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</si>
  <si>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</si>
  <si>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</si>
  <si>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</si>
  <si>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</si>
  <si>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</si>
  <si>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</si>
  <si>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</si>
  <si>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</si>
  <si>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</si>
  <si>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</si>
  <si>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</si>
  <si>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</si>
  <si>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</si>
  <si>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</si>
  <si>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</si>
  <si>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</si>
  <si>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</si>
  <si>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</si>
  <si>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</si>
  <si>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</si>
  <si>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</si>
  <si>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</si>
  <si>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</si>
  <si>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</si>
  <si>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</si>
  <si>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</si>
  <si>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</si>
  <si>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</si>
  <si>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</si>
  <si>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</si>
  <si>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</si>
  <si>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</si>
  <si>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</si>
  <si>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</si>
  <si>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</si>
  <si>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</si>
  <si>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</si>
  <si>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</si>
  <si>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</si>
  <si>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</si>
  <si>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</si>
  <si>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</si>
  <si>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</si>
  <si>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</si>
  <si>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</si>
  <si>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</si>
  <si>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</si>
  <si>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</si>
  <si>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</si>
  <si>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</si>
  <si>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</si>
  <si>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</si>
  <si>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</si>
  <si>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</si>
  <si>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</si>
  <si>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</si>
  <si>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</si>
  <si>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</si>
  <si>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</si>
  <si>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</si>
  <si>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</si>
  <si>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</si>
  <si>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</si>
  <si>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</si>
  <si>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</si>
  <si>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</si>
  <si>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</si>
  <si>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</si>
  <si>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</si>
  <si>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</si>
  <si>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</si>
  <si>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</si>
  <si>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</si>
  <si>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</si>
  <si>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</si>
  <si>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</si>
  <si>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</si>
  <si>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</si>
  <si>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</si>
  <si>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</si>
  <si>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</si>
  <si>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</si>
  <si>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</si>
  <si>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</si>
  <si>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</si>
  <si>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</si>
  <si>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</si>
  <si>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</si>
  <si>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</si>
  <si>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</si>
  <si>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</si>
  <si>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</si>
  <si>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</si>
  <si>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</si>
  <si>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</si>
  <si>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</si>
  <si>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</si>
  <si>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</si>
  <si>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</si>
  <si>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</si>
  <si>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</si>
  <si>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</si>
  <si>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</si>
  <si>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</si>
  <si>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</si>
  <si>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</si>
  <si>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</si>
  <si>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</si>
  <si>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</si>
  <si>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</si>
  <si>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</si>
  <si>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</si>
  <si>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</si>
  <si>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</si>
  <si>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</si>
  <si>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</si>
  <si>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</si>
  <si>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</si>
  <si>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</si>
  <si>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</si>
  <si>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</si>
  <si>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</si>
  <si>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</si>
  <si>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</si>
  <si>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</si>
  <si>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</si>
  <si>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</si>
  <si>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</si>
  <si>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</si>
  <si>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</si>
  <si>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</si>
  <si>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</si>
  <si>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</si>
  <si>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</si>
  <si>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</si>
  <si>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</si>
  <si>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</si>
  <si>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</si>
  <si>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</si>
  <si>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</si>
  <si>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</si>
  <si>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</si>
  <si>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</si>
  <si>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</si>
  <si>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</si>
  <si>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</si>
  <si>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</si>
  <si>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</si>
  <si>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</si>
  <si>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</si>
  <si>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</si>
  <si>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</si>
  <si>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</si>
  <si>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</si>
  <si>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</si>
  <si>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</si>
  <si>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</si>
  <si>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</si>
  <si>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</si>
  <si>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</si>
  <si>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</si>
  <si>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</si>
  <si>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</si>
  <si>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</si>
  <si>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</si>
  <si>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</si>
  <si>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</si>
  <si>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</si>
  <si>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</si>
  <si>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</si>
  <si>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</si>
  <si>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</si>
  <si>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</si>
  <si>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</si>
  <si>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</si>
  <si>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</si>
  <si>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</si>
  <si>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</si>
  <si>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</si>
  <si>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</si>
  <si>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</si>
  <si>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</si>
  <si>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</si>
  <si>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</si>
  <si>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</si>
  <si>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</si>
  <si>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</si>
  <si>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</si>
  <si>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</si>
  <si>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</si>
  <si>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</si>
  <si>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</si>
  <si>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</si>
  <si>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</si>
  <si>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</si>
  <si>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</si>
  <si>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</si>
  <si>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</si>
  <si>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</si>
  <si>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</si>
  <si>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</si>
  <si>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</si>
  <si>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</si>
  <si>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</si>
  <si>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</si>
  <si>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</si>
  <si>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</si>
  <si>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</si>
  <si>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</si>
  <si>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</si>
  <si>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</si>
  <si>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</si>
  <si>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</si>
  <si>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</si>
  <si>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</si>
  <si>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</si>
  <si>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</si>
  <si>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</si>
  <si>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</si>
  <si>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</si>
  <si>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</si>
  <si>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</si>
  <si>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</si>
  <si>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</si>
  <si>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</si>
  <si>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</si>
  <si>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</si>
  <si>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</si>
  <si>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</si>
  <si>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</si>
  <si>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</si>
  <si>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</si>
  <si>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</si>
  <si>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</si>
  <si>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</si>
  <si>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</si>
  <si>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</si>
  <si>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</si>
  <si>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</si>
  <si>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</si>
  <si>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</si>
  <si>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</si>
  <si>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</si>
  <si>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</si>
  <si>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</si>
  <si>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</si>
  <si>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</si>
  <si>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</si>
  <si>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</si>
  <si>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</si>
  <si>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</si>
  <si>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</si>
  <si>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</si>
  <si>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</si>
  <si>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</si>
  <si>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</si>
  <si>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</si>
  <si>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</si>
  <si>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</si>
  <si>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</si>
  <si>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</si>
  <si>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</si>
  <si>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</si>
  <si>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</si>
  <si>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</si>
  <si>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</si>
  <si>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</si>
  <si>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</si>
  <si>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</si>
  <si>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</si>
  <si>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</si>
  <si>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</si>
  <si>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</si>
  <si>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</si>
  <si>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</si>
  <si>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</si>
  <si>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</si>
  <si>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</si>
  <si>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</si>
  <si>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</si>
  <si>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</si>
  <si>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</si>
  <si>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</si>
  <si>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</si>
  <si>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</si>
  <si>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</si>
  <si>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</si>
  <si>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</si>
  <si>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</si>
  <si>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</si>
  <si>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</si>
  <si>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</si>
  <si>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</si>
  <si>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</si>
  <si>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</si>
  <si>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</si>
  <si>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</si>
  <si>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</si>
  <si>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</si>
  <si>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</si>
  <si>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</si>
  <si>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</si>
  <si>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</si>
  <si>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</si>
  <si>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</si>
  <si>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</si>
  <si>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</si>
  <si>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</si>
  <si>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</si>
  <si>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</si>
  <si>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</si>
  <si>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</si>
  <si>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</si>
  <si>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</si>
  <si>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</si>
  <si>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</si>
  <si>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</si>
  <si>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</si>
  <si>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</si>
  <si>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</si>
  <si>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</si>
  <si>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</si>
  <si>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</si>
  <si>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</si>
  <si>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</si>
  <si>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</si>
  <si>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</si>
  <si>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</si>
  <si>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</si>
  <si>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</si>
  <si>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</si>
  <si>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</si>
  <si>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</si>
  <si>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</si>
  <si>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</si>
  <si>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</si>
  <si>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</si>
  <si>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</si>
  <si>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</si>
  <si>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</si>
  <si>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</si>
  <si>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</si>
  <si>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</si>
  <si>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</si>
  <si>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</si>
  <si>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</si>
  <si>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</si>
  <si>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</si>
  <si>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</si>
  <si>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</si>
  <si>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</si>
  <si>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</si>
  <si>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</si>
  <si>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</si>
  <si>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</si>
  <si>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</si>
  <si>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</si>
  <si>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</si>
  <si>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</si>
  <si>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</si>
  <si>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</si>
  <si>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</si>
  <si>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</si>
  <si>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</si>
  <si>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</si>
  <si>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</si>
  <si>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</si>
  <si>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</si>
  <si>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</si>
  <si>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</si>
  <si>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</si>
  <si>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</si>
  <si>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</si>
  <si>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</si>
  <si>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</si>
  <si>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</si>
  <si>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</si>
  <si>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</si>
  <si>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</si>
  <si>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</si>
  <si>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</si>
  <si>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</si>
  <si>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</si>
  <si>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</si>
  <si>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</si>
  <si>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</si>
  <si>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</si>
  <si>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</si>
  <si>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</si>
  <si>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</si>
  <si>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</si>
  <si>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</si>
  <si>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</si>
  <si>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</si>
  <si>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</si>
  <si>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</si>
  <si>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</si>
  <si>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</si>
  <si>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</si>
  <si>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</si>
  <si>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</si>
  <si>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</si>
  <si>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</si>
  <si>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</si>
  <si>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</si>
  <si>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</si>
  <si>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</si>
  <si>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</si>
  <si>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</si>
  <si>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</si>
  <si>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</si>
  <si>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</si>
  <si>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</si>
  <si>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</si>
  <si>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</si>
  <si>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</si>
  <si>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</si>
  <si>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</si>
  <si>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</si>
  <si>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</si>
  <si>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</si>
  <si>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</si>
  <si>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</si>
  <si>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</si>
  <si>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</si>
  <si>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</si>
  <si>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</si>
  <si>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</si>
  <si>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</si>
  <si>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</si>
  <si>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</si>
  <si>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</si>
  <si>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</si>
  <si>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</si>
  <si>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</si>
  <si>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</si>
  <si>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</si>
  <si>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</si>
  <si>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</si>
  <si>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</si>
  <si>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</si>
  <si>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</si>
  <si>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</si>
  <si>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</si>
  <si>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</si>
  <si>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</si>
  <si>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</si>
  <si>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</si>
  <si>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</si>
  <si>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</si>
  <si>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</si>
  <si>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</si>
  <si>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</si>
  <si>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</si>
  <si>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</si>
  <si>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</si>
  <si>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</si>
  <si>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</si>
  <si>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</si>
  <si>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</si>
  <si>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</si>
  <si>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</si>
  <si>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</si>
  <si>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</si>
  <si>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</si>
  <si>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</si>
  <si>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</si>
  <si>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</si>
  <si>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</si>
  <si>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</si>
  <si>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</si>
  <si>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</si>
  <si>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</si>
  <si>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</si>
  <si>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</si>
  <si>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</si>
  <si>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</si>
  <si>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</si>
  <si>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</si>
  <si>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</si>
  <si>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</si>
  <si>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</si>
  <si>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</si>
  <si>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</si>
  <si>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</si>
  <si>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</si>
  <si>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</si>
  <si>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</si>
  <si>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</si>
  <si>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</si>
  <si>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</si>
  <si>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</si>
  <si>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</si>
  <si>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</si>
  <si>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</si>
  <si>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</si>
  <si>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</si>
  <si>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</si>
  <si>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</si>
  <si>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</si>
  <si>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</si>
  <si>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</si>
  <si>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</si>
  <si>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</si>
  <si>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</si>
  <si>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</si>
  <si>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</si>
  <si>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</si>
  <si>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</si>
  <si>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</si>
  <si>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</si>
  <si>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</si>
  <si>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</si>
  <si>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</si>
  <si>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</si>
  <si>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</si>
  <si>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</si>
  <si>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</si>
  <si>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</si>
  <si>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</si>
  <si>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</si>
  <si>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</si>
  <si>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</si>
  <si>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</si>
  <si>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</si>
  <si>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</si>
  <si>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</si>
  <si>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</si>
  <si>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</si>
  <si>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</si>
  <si>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</si>
  <si>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</si>
  <si>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</si>
  <si>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</si>
  <si>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</si>
  <si>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</si>
  <si>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</si>
  <si>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</si>
  <si>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</si>
  <si>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</si>
  <si>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</si>
  <si>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</si>
  <si>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</si>
  <si>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</si>
  <si>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</si>
  <si>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</si>
  <si>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</si>
  <si>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</si>
  <si>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</si>
  <si>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</si>
  <si>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</si>
  <si>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</si>
  <si>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</si>
  <si>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</si>
  <si>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</si>
  <si>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</si>
  <si>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</si>
  <si>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</si>
  <si>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</si>
  <si>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</si>
  <si>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</si>
  <si>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</si>
  <si>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</si>
  <si>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</si>
  <si>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</si>
  <si>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</si>
  <si>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</si>
  <si>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</si>
  <si>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</si>
  <si>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</si>
  <si>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</si>
  <si>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</si>
  <si>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</si>
  <si>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</si>
  <si>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</si>
  <si>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</si>
  <si>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</si>
  <si>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</si>
  <si>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</si>
  <si>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</si>
  <si>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</si>
  <si>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</si>
  <si>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</si>
  <si>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</si>
  <si>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</si>
  <si>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</si>
  <si>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</si>
  <si>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</si>
  <si>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</si>
  <si>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</si>
  <si>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</si>
  <si>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</si>
  <si>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</si>
  <si>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</si>
  <si>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</si>
  <si>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</si>
  <si>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</si>
  <si>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</si>
  <si>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</si>
  <si>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</si>
  <si>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</si>
  <si>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</si>
  <si>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</si>
  <si>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</si>
  <si>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</si>
  <si>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</si>
  <si>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</si>
  <si>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</si>
  <si>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</si>
  <si>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</si>
  <si>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</si>
  <si>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</si>
  <si>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</si>
  <si>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</si>
  <si>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</si>
  <si>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</si>
  <si>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</si>
  <si>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</si>
  <si>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</si>
  <si>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</si>
  <si>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</si>
  <si>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</si>
  <si>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</si>
  <si>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</si>
  <si>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</si>
  <si>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</si>
  <si>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</si>
  <si>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</si>
  <si>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</si>
  <si>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</si>
  <si>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</si>
  <si>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</si>
  <si>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</si>
  <si>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</si>
  <si>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</si>
  <si>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</si>
  <si>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</si>
  <si>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</si>
  <si>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</si>
  <si>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</si>
  <si>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</si>
  <si>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</si>
  <si>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</si>
  <si>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</si>
  <si>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</si>
  <si>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</si>
  <si>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</si>
  <si>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</si>
  <si>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</si>
  <si>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</si>
  <si>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</si>
  <si>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</si>
  <si>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</si>
  <si>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</si>
  <si>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</si>
  <si>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</si>
  <si>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</si>
  <si>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</si>
  <si>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</si>
  <si>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</si>
  <si>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</si>
  <si>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</si>
  <si>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</si>
  <si>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</si>
  <si>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</si>
  <si>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</si>
  <si>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</si>
  <si>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</si>
  <si>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</si>
  <si>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</si>
  <si>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</si>
  <si>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</si>
  <si>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</si>
  <si>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</si>
  <si>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</si>
  <si>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</si>
  <si>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</si>
  <si>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</si>
  <si>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</si>
  <si>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</si>
  <si>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</si>
  <si>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</si>
  <si>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</si>
  <si>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</si>
  <si>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</si>
  <si>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</si>
  <si>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</si>
  <si>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</si>
  <si>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</si>
  <si>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</si>
  <si>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</si>
  <si>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</si>
  <si>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</si>
  <si>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</si>
  <si>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</si>
  <si>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</si>
  <si>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</si>
  <si>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</si>
  <si>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</si>
  <si>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</si>
  <si>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</si>
  <si>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</si>
  <si>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</si>
  <si>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</si>
  <si>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</si>
  <si>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</si>
  <si>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</si>
  <si>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</si>
  <si>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</si>
  <si>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</si>
  <si>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</si>
  <si>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</si>
  <si>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</si>
  <si>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</si>
  <si>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</si>
  <si>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</si>
  <si>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</si>
  <si>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</si>
  <si>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</si>
  <si>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</si>
  <si>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</si>
  <si>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</si>
  <si>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</si>
  <si>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</si>
  <si>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</si>
  <si>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</si>
  <si>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</si>
  <si>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</si>
  <si>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</si>
  <si>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</si>
  <si>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</si>
  <si>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</si>
  <si>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</si>
  <si>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</si>
  <si>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</si>
  <si>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</si>
  <si>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</si>
  <si>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</si>
  <si>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</si>
  <si>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</si>
  <si>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</si>
  <si>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</si>
  <si>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</si>
  <si>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</si>
  <si>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</si>
  <si>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</si>
  <si>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</si>
  <si>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</si>
  <si>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</si>
  <si>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</si>
  <si>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</si>
  <si>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</si>
  <si>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</si>
  <si>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</si>
  <si>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</si>
  <si>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</si>
  <si>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</si>
  <si>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</si>
  <si>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</si>
  <si>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</si>
  <si>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</si>
  <si>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</si>
  <si>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</si>
  <si>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</si>
  <si>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</si>
  <si>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</si>
  <si>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</si>
  <si>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</si>
  <si>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</si>
  <si>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</si>
  <si>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</si>
  <si>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</si>
  <si>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</si>
  <si>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</si>
  <si>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</si>
  <si>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</si>
  <si>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</si>
  <si>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</si>
  <si>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</si>
  <si>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</si>
  <si>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</si>
  <si>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</si>
  <si>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</si>
  <si>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</si>
  <si>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</si>
  <si>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</si>
  <si>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</si>
  <si>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</si>
  <si>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</si>
  <si>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</si>
  <si>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</si>
  <si>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</si>
  <si>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</si>
  <si>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</si>
  <si>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</si>
  <si>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</si>
  <si>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</si>
  <si>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</si>
  <si>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</si>
  <si>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</si>
  <si>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</si>
  <si>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</si>
  <si>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</si>
  <si>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</si>
  <si>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</si>
  <si>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</si>
  <si>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</si>
  <si>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</si>
  <si>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</si>
  <si>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</si>
  <si>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</si>
  <si>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</si>
  <si>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</si>
  <si>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</si>
  <si>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</si>
  <si>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</si>
  <si>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</si>
  <si>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</si>
  <si>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</si>
  <si>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</si>
  <si>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</si>
  <si>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</si>
  <si>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</si>
  <si>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</si>
  <si>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</si>
  <si>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</si>
  <si>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</si>
  <si>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</si>
  <si>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</si>
  <si>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</si>
  <si>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</si>
  <si>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</si>
  <si>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</si>
  <si>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</si>
  <si>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</si>
  <si>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</si>
  <si>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</si>
  <si>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</si>
  <si>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</si>
  <si>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</si>
  <si>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</si>
  <si>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</si>
  <si>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</si>
  <si>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</si>
  <si>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</si>
  <si>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</si>
  <si>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</si>
  <si>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</si>
  <si>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</si>
  <si>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</si>
  <si>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</si>
  <si>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</si>
  <si>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</si>
  <si>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</si>
  <si>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</si>
  <si>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</si>
  <si>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</si>
  <si>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</si>
  <si>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</si>
  <si>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</si>
  <si>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</si>
  <si>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</si>
  <si>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</si>
  <si>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</si>
  <si>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</si>
  <si>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</si>
  <si>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</si>
  <si>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</si>
  <si>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</si>
  <si>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</si>
  <si>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</si>
  <si>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</si>
  <si>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</si>
  <si>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</si>
  <si>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</si>
  <si>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</si>
  <si>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</si>
  <si>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</si>
  <si>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</si>
  <si>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</si>
  <si>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</si>
  <si>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</si>
  <si>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</si>
  <si>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</si>
  <si>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</si>
  <si>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</si>
  <si>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</si>
  <si>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</si>
  <si>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</si>
  <si>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</si>
  <si>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</si>
  <si>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</si>
  <si>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</si>
  <si>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</si>
  <si>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</si>
  <si>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</si>
  <si>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</si>
  <si>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</si>
  <si>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</si>
  <si>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</si>
  <si>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</si>
  <si>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</si>
  <si>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</si>
  <si>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</si>
  <si>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</si>
  <si>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</si>
  <si>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</si>
  <si>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</si>
  <si>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</si>
  <si>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</si>
  <si>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</si>
  <si>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</si>
  <si>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</si>
  <si>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</si>
  <si>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</si>
  <si>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</si>
  <si>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</si>
  <si>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</si>
  <si>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</si>
  <si>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</si>
  <si>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</si>
  <si>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</si>
  <si>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</si>
  <si>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</si>
  <si>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</si>
  <si>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</si>
  <si>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</si>
  <si>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</si>
  <si>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</si>
  <si>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</si>
  <si>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</si>
  <si>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</si>
  <si>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</si>
  <si>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</si>
  <si>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</si>
  <si>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</si>
  <si>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</si>
  <si>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</si>
  <si>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</si>
  <si>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</si>
  <si>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</si>
  <si>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</si>
  <si>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</si>
  <si>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</si>
  <si>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</si>
  <si>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</si>
  <si>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</si>
  <si>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</si>
  <si>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</si>
  <si>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</si>
  <si>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</si>
  <si>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</si>
  <si>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</si>
  <si>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</si>
  <si>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</si>
  <si>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</si>
  <si>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</si>
  <si>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</si>
  <si>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</si>
  <si>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</si>
  <si>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</si>
  <si>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</si>
  <si>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</si>
  <si>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</si>
  <si>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</si>
  <si>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</si>
  <si>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</si>
  <si>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</si>
  <si>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</si>
  <si>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</si>
  <si>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</si>
  <si>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</si>
  <si>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</si>
  <si>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</si>
  <si>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</si>
  <si>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</si>
  <si>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</si>
  <si>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</si>
  <si>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</si>
  <si>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</si>
  <si>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</si>
  <si>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</si>
  <si>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</si>
  <si>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</si>
  <si>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</si>
  <si>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</si>
  <si>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</si>
  <si>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</si>
  <si>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</si>
  <si>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</si>
  <si>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</si>
  <si>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</si>
  <si>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</si>
  <si>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</si>
  <si>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</si>
  <si>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</si>
  <si>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</si>
  <si>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</si>
  <si>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</si>
  <si>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</si>
  <si>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</si>
  <si>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</si>
  <si>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</si>
  <si>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</si>
  <si>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</si>
  <si>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</si>
  <si>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</si>
  <si>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</si>
  <si>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</si>
  <si>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</si>
  <si>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</si>
  <si>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</si>
  <si>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</si>
  <si>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</si>
  <si>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</si>
  <si>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</si>
  <si>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</si>
  <si>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</si>
  <si>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</si>
  <si>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</si>
  <si>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</si>
  <si>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</si>
  <si>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</si>
  <si>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</si>
  <si>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</si>
  <si>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</si>
  <si>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</si>
  <si>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</si>
  <si>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</si>
  <si>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</si>
  <si>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</si>
  <si>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</si>
  <si>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</si>
  <si>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</si>
  <si>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</si>
  <si>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</si>
  <si>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</si>
  <si>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</si>
  <si>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</si>
  <si>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</si>
  <si>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</si>
  <si>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</si>
  <si>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</si>
  <si>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</si>
  <si>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</si>
  <si>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</si>
  <si>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</si>
  <si>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</si>
  <si>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</si>
  <si>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</si>
  <si>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</si>
  <si>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</si>
  <si>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</si>
  <si>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</si>
  <si>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</si>
  <si>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</si>
  <si>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</si>
  <si>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</si>
  <si>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</si>
  <si>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</si>
  <si>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</si>
  <si>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</si>
  <si>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</si>
  <si>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</si>
  <si>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</si>
  <si>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</si>
  <si>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</si>
  <si>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</si>
  <si>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</si>
  <si>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</si>
  <si>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</si>
  <si>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</si>
  <si>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</si>
  <si>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</si>
  <si>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</si>
  <si>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</si>
  <si>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</si>
  <si>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</si>
  <si>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</si>
  <si>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</si>
  <si>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</si>
  <si>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</si>
  <si>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</si>
  <si>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</si>
  <si>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</si>
  <si>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</si>
  <si>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</si>
  <si>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</si>
  <si>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</si>
  <si>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</si>
  <si>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</si>
  <si>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</si>
  <si>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</si>
  <si>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</si>
  <si>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</si>
  <si>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</si>
  <si>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</si>
  <si>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</si>
  <si>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</si>
  <si>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</si>
  <si>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</si>
  <si>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</si>
  <si>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</si>
  <si>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</si>
  <si>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</si>
  <si>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</si>
  <si>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</si>
  <si>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</si>
  <si>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</si>
  <si>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</si>
  <si>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</si>
  <si>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</si>
  <si>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</si>
  <si>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</si>
  <si>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</si>
  <si>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</si>
  <si>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</si>
  <si>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</si>
  <si>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</si>
  <si>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</si>
  <si>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</si>
  <si>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</si>
  <si>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</si>
  <si>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</si>
  <si>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</si>
  <si>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</si>
  <si>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</si>
  <si>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</si>
  <si>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</si>
  <si>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</si>
  <si>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</si>
  <si>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</si>
  <si>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</si>
  <si>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</si>
  <si>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</si>
  <si>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</si>
  <si>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</si>
  <si>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</si>
  <si>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</si>
  <si>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</si>
  <si>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</si>
  <si>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</si>
  <si>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</si>
  <si>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</si>
  <si>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</si>
  <si>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</si>
  <si>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</si>
  <si>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</si>
  <si>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</si>
  <si>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</si>
  <si>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</si>
  <si>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</si>
  <si>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</si>
  <si>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</si>
  <si>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</si>
  <si>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</si>
  <si>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</si>
  <si>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</si>
  <si>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</si>
  <si>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</si>
  <si>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</si>
  <si>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</si>
  <si>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</si>
  <si>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</si>
  <si>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</si>
  <si>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</si>
  <si>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</si>
  <si>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</si>
  <si>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</si>
  <si>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</si>
  <si>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</si>
  <si>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</si>
  <si>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</si>
  <si>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</si>
  <si>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</si>
  <si>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</si>
  <si>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</si>
  <si>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</si>
  <si>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</si>
  <si>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</si>
  <si>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</si>
  <si>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</si>
  <si>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</si>
  <si>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</si>
  <si>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</si>
  <si>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</si>
  <si>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</si>
  <si>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</si>
  <si>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</si>
  <si>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</si>
  <si>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</si>
  <si>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</si>
  <si>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</si>
  <si>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</si>
  <si>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</si>
  <si>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</si>
  <si>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</si>
  <si>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</si>
  <si>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</si>
  <si>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</si>
  <si>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</si>
  <si>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</si>
  <si>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</si>
  <si>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</si>
  <si>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</si>
  <si>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</si>
  <si>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</si>
  <si>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</si>
  <si>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</si>
  <si>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</si>
  <si>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</si>
  <si>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</si>
  <si>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</si>
  <si>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</si>
  <si>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</si>
  <si>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</si>
  <si>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</si>
  <si>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</si>
  <si>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</si>
  <si>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</si>
  <si>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</si>
  <si>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</si>
  <si>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</si>
  <si>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</si>
  <si>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</si>
  <si>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</si>
  <si>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</si>
  <si>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</si>
  <si>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</si>
  <si>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</si>
  <si>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</si>
  <si>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</si>
  <si>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</si>
  <si>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</si>
  <si>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</si>
  <si>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</si>
  <si>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</si>
  <si>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</si>
  <si>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</si>
  <si>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</si>
  <si>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</si>
  <si>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</si>
  <si>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</si>
  <si>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</si>
  <si>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</si>
  <si>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</si>
  <si>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</si>
  <si>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</si>
  <si>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</si>
  <si>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</si>
  <si>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</si>
  <si>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</si>
  <si>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</si>
  <si>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</si>
  <si>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</si>
  <si>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</si>
  <si>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</si>
  <si>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</si>
  <si>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</si>
  <si>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</si>
  <si>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</si>
  <si>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</si>
  <si>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</si>
  <si>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</si>
  <si>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</si>
  <si>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</si>
  <si>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</si>
  <si>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</si>
  <si>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</si>
  <si>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</si>
  <si>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</si>
  <si>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</si>
  <si>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</si>
  <si>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</si>
  <si>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</si>
  <si>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</si>
  <si>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</si>
  <si>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</si>
  <si>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</si>
  <si>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</si>
  <si>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</si>
  <si>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</si>
  <si>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</si>
  <si>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</si>
  <si>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</si>
  <si>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</si>
  <si>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</si>
  <si>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</si>
  <si>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</si>
  <si>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</si>
  <si>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</si>
  <si>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</si>
  <si>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</si>
  <si>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</si>
  <si>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</si>
  <si>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</si>
  <si>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</si>
  <si>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</si>
  <si>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</si>
  <si>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</si>
  <si>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</si>
  <si>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</si>
  <si>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</si>
  <si>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</si>
  <si>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</si>
  <si>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</si>
  <si>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</si>
  <si>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</si>
  <si>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</si>
  <si>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</si>
  <si>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</si>
  <si>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</si>
  <si>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</si>
  <si>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</si>
  <si>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</si>
  <si>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</si>
  <si>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</si>
  <si>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</si>
  <si>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</si>
  <si>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</si>
  <si>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</si>
  <si>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</si>
  <si>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</si>
  <si>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</si>
  <si>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</si>
  <si>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</si>
  <si>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</si>
  <si>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</si>
  <si>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</si>
  <si>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</si>
  <si>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</si>
  <si>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</si>
  <si>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</si>
  <si>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</si>
  <si>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</si>
  <si>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</si>
  <si>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</si>
  <si>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</si>
  <si>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</si>
  <si>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</si>
  <si>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</si>
  <si>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</si>
  <si>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</si>
  <si>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</si>
  <si>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</si>
  <si>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</si>
  <si>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</si>
  <si>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</si>
  <si>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</si>
  <si>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</si>
  <si>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</si>
  <si>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</si>
  <si>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</si>
  <si>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</si>
  <si>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</si>
  <si>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</si>
  <si>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</si>
  <si>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</si>
  <si>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</si>
  <si>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</si>
  <si>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</si>
  <si>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</si>
  <si>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</si>
  <si>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</si>
  <si>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</si>
  <si>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</si>
  <si>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</si>
  <si>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</si>
  <si>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</si>
  <si>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</si>
  <si>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</si>
  <si>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</si>
  <si>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</si>
  <si>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</si>
  <si>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</si>
  <si>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</si>
  <si>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</si>
  <si>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</si>
  <si>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</si>
  <si>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</si>
  <si>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</si>
  <si>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</si>
  <si>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</si>
  <si>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</si>
  <si>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</si>
  <si>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</si>
  <si>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</si>
  <si>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</si>
  <si>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</si>
  <si>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</si>
  <si>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</si>
  <si>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</si>
  <si>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</si>
  <si>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</si>
  <si>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</si>
  <si>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</si>
  <si>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</si>
  <si>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</si>
  <si>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</si>
  <si>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</si>
  <si>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</si>
  <si>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</si>
  <si>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</si>
  <si>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</si>
  <si>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</si>
  <si>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</si>
  <si>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</si>
  <si>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</si>
  <si>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</si>
  <si>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</si>
  <si>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</si>
  <si>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</si>
  <si>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</si>
  <si>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</si>
  <si>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</si>
  <si>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</si>
  <si>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</si>
  <si>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</si>
  <si>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</si>
  <si>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</si>
  <si>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</si>
  <si>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</si>
  <si>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</si>
  <si>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</si>
  <si>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</si>
  <si>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</si>
  <si>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</si>
  <si>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</si>
  <si>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</si>
  <si>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</si>
  <si>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</si>
  <si>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</si>
  <si>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</si>
  <si>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</si>
  <si>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</si>
  <si>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</si>
  <si>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</si>
  <si>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</si>
  <si>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</si>
  <si>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</si>
  <si>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</si>
  <si>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</si>
  <si>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</si>
  <si>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</si>
  <si>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</si>
  <si>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</si>
  <si>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</si>
  <si>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</si>
  <si>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</si>
  <si>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</si>
  <si>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</si>
  <si>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</si>
  <si>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</si>
  <si>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</si>
  <si>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</si>
  <si>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</si>
  <si>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</si>
  <si>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</si>
  <si>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</si>
  <si>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</si>
  <si>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</si>
  <si>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</si>
  <si>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</si>
  <si>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</si>
  <si>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</si>
  <si>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</si>
  <si>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</si>
  <si>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</si>
  <si>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</si>
  <si>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</si>
  <si>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</si>
  <si>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</si>
  <si>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</si>
  <si>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</si>
  <si>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</si>
  <si>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</si>
  <si>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</si>
  <si>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</si>
  <si>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</si>
  <si>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</si>
  <si>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</si>
  <si>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</si>
  <si>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</si>
  <si>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</si>
  <si>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</si>
  <si>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</si>
  <si>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</si>
  <si>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</si>
  <si>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</si>
  <si>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</si>
  <si>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</si>
  <si>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</si>
  <si>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</si>
  <si>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</si>
  <si>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</si>
  <si>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</si>
  <si>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</si>
  <si>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</si>
  <si>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</si>
  <si>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</si>
  <si>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</si>
  <si>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</si>
  <si>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</si>
  <si>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</si>
  <si>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</si>
  <si>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</si>
  <si>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</si>
  <si>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</si>
  <si>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</si>
  <si>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</si>
  <si>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</si>
  <si>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</si>
  <si>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</si>
  <si>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</si>
  <si>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</si>
  <si>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</si>
  <si>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</si>
  <si>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</si>
  <si>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</si>
  <si>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</si>
  <si>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</si>
  <si>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</si>
  <si>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</si>
  <si>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</si>
  <si>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</si>
  <si>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</si>
  <si>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</si>
  <si>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</si>
  <si>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</si>
  <si>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</si>
  <si>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</si>
  <si>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</si>
  <si>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</si>
  <si>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</si>
  <si>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</si>
  <si>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</si>
  <si>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</si>
  <si>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</si>
  <si>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</si>
  <si>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</si>
  <si>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</si>
  <si>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</si>
  <si>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</si>
  <si>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</si>
  <si>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</si>
  <si>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</si>
  <si>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</si>
  <si>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</si>
  <si>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</si>
  <si>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</si>
  <si>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</si>
  <si>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</si>
  <si>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</si>
  <si>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</si>
  <si>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</si>
  <si>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</si>
  <si>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</si>
  <si>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</si>
  <si>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</si>
  <si>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</si>
  <si>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</si>
  <si>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</si>
  <si>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</si>
  <si>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</si>
  <si>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</si>
  <si>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</si>
  <si>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</si>
  <si>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</si>
  <si>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</si>
  <si>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</si>
  <si>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</si>
  <si>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</si>
  <si>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</si>
  <si>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</si>
  <si>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</si>
  <si>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</si>
  <si>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</si>
  <si>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</si>
  <si>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</si>
  <si>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</si>
  <si>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</si>
  <si>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</si>
  <si>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</si>
  <si>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</si>
  <si>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</si>
  <si>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</si>
  <si>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</si>
  <si>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</si>
  <si>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</si>
  <si>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</si>
  <si>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</si>
  <si>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</si>
  <si>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</si>
  <si>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</si>
  <si>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</si>
  <si>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</si>
  <si>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</si>
  <si>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</si>
  <si>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</si>
  <si>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</si>
  <si>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</si>
  <si>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</si>
  <si>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</si>
  <si>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</si>
  <si>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</si>
  <si>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</si>
  <si>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</si>
  <si>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</si>
  <si>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</si>
  <si>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</si>
  <si>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</si>
  <si>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</si>
  <si>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</si>
  <si>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</si>
  <si>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</si>
  <si>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</si>
  <si>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</si>
  <si>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</si>
  <si>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</si>
  <si>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</si>
  <si>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</si>
  <si>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</si>
  <si>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</si>
  <si>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</si>
  <si>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</si>
  <si>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</si>
  <si>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</si>
  <si>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</si>
  <si>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</si>
  <si>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</si>
  <si>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</si>
  <si>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</si>
  <si>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</si>
  <si>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</si>
  <si>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</si>
  <si>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</si>
  <si>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</si>
  <si>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</si>
  <si>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</si>
  <si>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</si>
  <si>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</si>
  <si>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</si>
  <si>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</si>
  <si>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</si>
  <si>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</si>
  <si>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</si>
  <si>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</si>
  <si>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</si>
  <si>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</si>
  <si>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</si>
  <si>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</si>
  <si>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</si>
  <si>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</si>
  <si>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</si>
  <si>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</si>
  <si>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</si>
  <si>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</si>
  <si>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</si>
  <si>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</si>
  <si>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</si>
  <si>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</si>
  <si>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</si>
  <si>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</si>
  <si>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</si>
  <si>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</si>
  <si>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</si>
  <si>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</si>
  <si>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</si>
  <si>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</si>
  <si>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</si>
  <si>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</si>
  <si>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</si>
  <si>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</si>
  <si>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</si>
  <si>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</si>
  <si>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</si>
  <si>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</si>
  <si>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</si>
  <si>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</si>
  <si>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</si>
  <si>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</si>
  <si>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</si>
  <si>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</si>
  <si>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</si>
  <si>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</si>
  <si>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</si>
  <si>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</si>
  <si>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</si>
  <si>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</si>
  <si>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</si>
  <si>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</si>
  <si>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</si>
  <si>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</si>
  <si>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</si>
  <si>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</si>
  <si>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</si>
  <si>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</si>
  <si>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</si>
  <si>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</si>
  <si>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</si>
  <si>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</si>
  <si>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</si>
  <si>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</si>
  <si>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</si>
  <si>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</si>
  <si>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</si>
  <si>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</si>
  <si>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</si>
  <si>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</si>
  <si>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</si>
  <si>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</si>
  <si>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</si>
  <si>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</si>
  <si>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</si>
  <si>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</si>
  <si>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</si>
  <si>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</si>
  <si>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</si>
  <si>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</si>
  <si>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</si>
  <si>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</si>
  <si>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</si>
  <si>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</si>
  <si>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</si>
  <si>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</si>
  <si>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</si>
  <si>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</si>
  <si>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</si>
  <si>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</si>
  <si>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</si>
  <si>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</si>
  <si>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</si>
  <si>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</si>
  <si>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</si>
  <si>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</si>
  <si>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</si>
  <si>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</si>
  <si>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</si>
  <si>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</si>
  <si>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</si>
  <si>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</si>
  <si>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</si>
  <si>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</si>
  <si>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</si>
  <si>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</si>
  <si>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</si>
  <si>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</si>
  <si>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</si>
  <si>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</si>
  <si>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</si>
  <si>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</si>
  <si>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</si>
  <si>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</si>
  <si>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</si>
  <si>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</si>
  <si>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</si>
  <si>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</si>
  <si>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</si>
  <si>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</si>
  <si>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</si>
  <si>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</si>
  <si>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</si>
  <si>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</si>
  <si>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</si>
  <si>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</si>
  <si>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</si>
  <si>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</si>
  <si>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</si>
  <si>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</si>
  <si>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</si>
  <si>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</si>
  <si>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</si>
  <si>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</si>
  <si>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</si>
  <si>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</si>
  <si>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</si>
  <si>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</si>
  <si>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</si>
  <si>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</si>
  <si>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</si>
  <si>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</si>
  <si>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</si>
  <si>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</si>
  <si>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</si>
  <si>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</si>
  <si>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</si>
  <si>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</si>
  <si>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</si>
  <si>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</si>
  <si>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</si>
  <si>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</si>
  <si>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</si>
  <si>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</si>
  <si>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</si>
  <si>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</si>
  <si>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</si>
  <si>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</si>
  <si>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</si>
  <si>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</si>
  <si>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</si>
  <si>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</si>
  <si>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</si>
  <si>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</si>
  <si>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</si>
  <si>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</si>
  <si>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</si>
  <si>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</si>
  <si>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</si>
  <si>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</si>
  <si>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</si>
  <si>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</si>
  <si>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</si>
  <si>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</si>
  <si>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</si>
  <si>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</si>
  <si>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</si>
  <si>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</si>
  <si>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</si>
  <si>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</si>
  <si>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</si>
  <si>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</si>
  <si>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</si>
  <si>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</si>
  <si>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</si>
  <si>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</si>
  <si>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</si>
  <si>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</si>
  <si>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</si>
  <si>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</si>
  <si>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</si>
  <si>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</si>
  <si>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</si>
  <si>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</si>
  <si>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</si>
  <si>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</si>
  <si>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</si>
  <si>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</si>
  <si>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</si>
  <si>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</si>
  <si>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</si>
  <si>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</si>
  <si>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</si>
  <si>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</si>
  <si>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</si>
  <si>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</si>
  <si>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</si>
  <si>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</si>
  <si>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</si>
  <si>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</si>
  <si>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</si>
  <si>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</si>
  <si>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</si>
  <si>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</si>
  <si>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</si>
  <si>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</si>
  <si>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</si>
  <si>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</si>
  <si>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</si>
  <si>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</si>
  <si>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</si>
  <si>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</si>
  <si>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</si>
  <si>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</si>
  <si>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</si>
  <si>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</si>
  <si>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</si>
  <si>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</si>
  <si>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</si>
  <si>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</si>
  <si>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</si>
  <si>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</si>
  <si>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</si>
  <si>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</si>
  <si>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</si>
  <si>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</si>
  <si>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</si>
  <si>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</si>
  <si>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</si>
  <si>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</si>
  <si>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</si>
  <si>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</si>
  <si>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</si>
  <si>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</si>
  <si>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</si>
  <si>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</si>
  <si>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</si>
  <si>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</si>
  <si>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</si>
  <si>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</si>
  <si>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</si>
  <si>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</si>
  <si>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</si>
  <si>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</si>
  <si>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</si>
  <si>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</si>
  <si>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</si>
  <si>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</si>
  <si>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</si>
  <si>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</si>
  <si>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</si>
  <si>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</si>
  <si>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</si>
  <si>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</si>
  <si>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</si>
  <si>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</si>
  <si>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</si>
  <si>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</si>
  <si>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</si>
  <si>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</si>
  <si>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</si>
  <si>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</si>
  <si>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</si>
  <si>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</si>
  <si>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</si>
  <si>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</si>
  <si>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</si>
  <si>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</si>
  <si>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</si>
  <si>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</si>
  <si>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</si>
  <si>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</si>
  <si>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</si>
  <si>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</si>
  <si>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</si>
  <si>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</si>
  <si>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</si>
  <si>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</si>
  <si>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</si>
  <si>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</si>
  <si>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</si>
  <si>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</si>
  <si>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</si>
  <si>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</si>
  <si>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</si>
  <si>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</si>
  <si>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</si>
  <si>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</si>
  <si>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</si>
  <si>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</si>
  <si>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</si>
  <si>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</si>
  <si>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</si>
  <si>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</si>
  <si>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</si>
  <si>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</si>
  <si>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</si>
  <si>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</si>
  <si>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</si>
  <si>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</si>
  <si>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</si>
  <si>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</si>
  <si>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</si>
  <si>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</si>
  <si>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</si>
  <si>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</si>
  <si>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</si>
  <si>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</si>
  <si>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</si>
  <si>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</si>
  <si>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</si>
  <si>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</si>
  <si>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</si>
  <si>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</si>
  <si>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</si>
  <si>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</si>
  <si>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</si>
  <si>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</si>
  <si>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</si>
  <si>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</si>
  <si>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</si>
  <si>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</si>
  <si>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</si>
  <si>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</si>
  <si>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</si>
  <si>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</si>
  <si>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</si>
  <si>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</si>
  <si>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</si>
  <si>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</si>
  <si>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</si>
  <si>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</si>
  <si>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</si>
  <si>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</si>
  <si>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</si>
  <si>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</si>
  <si>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</si>
  <si>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</si>
  <si>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</si>
  <si>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</si>
  <si>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</si>
  <si>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</si>
  <si>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</si>
  <si>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</si>
  <si>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</si>
  <si>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</si>
  <si>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</si>
  <si>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</si>
  <si>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</si>
  <si>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</si>
  <si>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</si>
  <si>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</si>
  <si>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</si>
  <si>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</si>
  <si>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</si>
  <si>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</si>
  <si>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</si>
  <si>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</si>
  <si>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</si>
  <si>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</si>
  <si>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</si>
  <si>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</si>
  <si>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</si>
  <si>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</si>
  <si>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</si>
  <si>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</si>
  <si>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</si>
  <si>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</si>
  <si>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</si>
  <si>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</si>
  <si>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</si>
  <si>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</si>
  <si>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</si>
  <si>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</si>
  <si>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</si>
  <si>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</si>
  <si>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</si>
  <si>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</si>
  <si>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</si>
  <si>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</si>
  <si>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</si>
  <si>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</si>
  <si>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</si>
  <si>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</si>
  <si>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</si>
  <si>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</si>
  <si>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</si>
  <si>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</si>
  <si>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</si>
  <si>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</si>
  <si>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</si>
  <si>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</si>
  <si>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</si>
  <si>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</si>
  <si>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</si>
  <si>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</si>
  <si>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</si>
  <si>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</si>
  <si>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</si>
  <si>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</si>
  <si>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</si>
  <si>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</si>
  <si>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</si>
  <si>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</si>
  <si>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</si>
  <si>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</si>
  <si>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</si>
  <si>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</si>
  <si>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</si>
  <si>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</si>
  <si>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</si>
  <si>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</si>
  <si>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</si>
  <si>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</si>
  <si>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</si>
  <si>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</si>
  <si>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</si>
  <si>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</si>
  <si>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</si>
  <si>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</si>
  <si>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</si>
  <si>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</si>
  <si>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</si>
  <si>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</si>
  <si>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</si>
  <si>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</si>
  <si>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</si>
  <si>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</si>
  <si>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</si>
  <si>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</si>
  <si>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</si>
  <si>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</si>
  <si>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</si>
  <si>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</si>
  <si>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</si>
  <si>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</si>
  <si>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</si>
  <si>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</si>
  <si>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</si>
  <si>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</si>
  <si>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</si>
  <si>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</si>
  <si>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</si>
  <si>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</si>
  <si>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</si>
  <si>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</si>
  <si>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</si>
  <si>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</si>
  <si>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</si>
  <si>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</si>
  <si>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</si>
  <si>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</si>
  <si>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</si>
  <si>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</si>
  <si>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</si>
  <si>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</si>
  <si>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</si>
  <si>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</si>
  <si>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</si>
  <si>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</si>
  <si>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</si>
  <si>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</si>
  <si>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</si>
  <si>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</si>
  <si>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</si>
  <si>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</si>
  <si>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</si>
  <si>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</si>
  <si>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</si>
  <si>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</si>
  <si>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</si>
  <si>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</si>
  <si>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</si>
  <si>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</si>
  <si>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</si>
  <si>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</si>
  <si>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</si>
  <si>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</si>
  <si>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</si>
  <si>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</si>
  <si>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</si>
  <si>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</si>
  <si>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</si>
  <si>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</si>
  <si>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</si>
  <si>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</si>
  <si>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</si>
  <si>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</si>
  <si>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</si>
  <si>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</si>
  <si>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</si>
  <si>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</si>
  <si>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</si>
  <si>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</si>
  <si>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</si>
  <si>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</si>
  <si>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</si>
  <si>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</si>
  <si>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</si>
  <si>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</si>
  <si>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</si>
  <si>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</si>
  <si>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</si>
  <si>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</si>
  <si>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</si>
  <si>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</si>
  <si>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</si>
  <si>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</si>
  <si>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</si>
  <si>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</si>
  <si>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</si>
  <si>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</si>
  <si>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</si>
  <si>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</si>
  <si>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</si>
  <si>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</si>
  <si>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</si>
  <si>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</si>
  <si>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</si>
  <si>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</si>
  <si>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</si>
  <si>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</si>
  <si>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</si>
  <si>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</si>
  <si>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</si>
  <si>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</si>
  <si>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</si>
  <si>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</si>
  <si>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</si>
  <si>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</si>
  <si>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</si>
  <si>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</si>
  <si>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</si>
  <si>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</si>
  <si>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</si>
  <si>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</si>
  <si>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</si>
  <si>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</si>
  <si>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</si>
  <si>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</si>
  <si>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</si>
  <si>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</si>
  <si>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</si>
  <si>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</si>
  <si>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</si>
  <si>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</si>
  <si>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</si>
  <si>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</si>
  <si>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</si>
  <si>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</si>
  <si>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</si>
  <si>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</si>
  <si>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</si>
  <si>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</si>
  <si>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</si>
  <si>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</si>
  <si>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</si>
  <si>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</si>
  <si>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</si>
  <si>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</si>
  <si>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</si>
  <si>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</si>
  <si>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</si>
  <si>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</si>
  <si>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</si>
  <si>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</si>
  <si>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</si>
  <si>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</si>
  <si>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</si>
  <si>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</si>
  <si>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</si>
  <si>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</si>
  <si>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</si>
  <si>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</si>
  <si>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</si>
  <si>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</si>
  <si>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</si>
  <si>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</si>
  <si>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</si>
  <si>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</si>
  <si>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</si>
  <si>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</si>
  <si>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</si>
  <si>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</si>
  <si>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</si>
  <si>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</si>
  <si>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</si>
  <si>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</si>
  <si>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</si>
  <si>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</si>
  <si>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</si>
  <si>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</si>
  <si>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</si>
  <si>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</si>
  <si>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</si>
  <si>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</si>
  <si>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</si>
  <si>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</si>
  <si>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</si>
  <si>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</si>
  <si>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</si>
  <si>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</si>
  <si>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</si>
  <si>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</si>
  <si>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</si>
  <si>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</si>
  <si>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</si>
  <si>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</si>
  <si>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</si>
  <si>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</si>
  <si>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</si>
  <si>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</si>
  <si>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</si>
  <si>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</si>
  <si>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</si>
  <si>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</si>
  <si>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</si>
  <si>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</si>
  <si>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</si>
  <si>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</si>
  <si>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</si>
  <si>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</si>
  <si>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</si>
  <si>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</si>
  <si>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</si>
  <si>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</si>
  <si>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</si>
  <si>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</si>
  <si>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</si>
  <si>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</si>
  <si>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</si>
  <si>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</si>
  <si>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</si>
  <si>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</si>
  <si>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</si>
  <si>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</si>
  <si>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</si>
  <si>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</si>
  <si>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</si>
  <si>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</si>
  <si>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</si>
  <si>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</si>
  <si>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</si>
  <si>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</si>
  <si>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</si>
  <si>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</si>
  <si>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</si>
  <si>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</si>
  <si>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</si>
  <si>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</si>
  <si>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</si>
  <si>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</si>
  <si>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</si>
  <si>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</si>
  <si>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</si>
  <si>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</si>
  <si>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</si>
  <si>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</si>
  <si>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</si>
  <si>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</si>
  <si>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</si>
  <si>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</si>
  <si>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</si>
  <si>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</si>
  <si>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</si>
  <si>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</si>
  <si>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</si>
  <si>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</si>
  <si>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</si>
  <si>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</si>
  <si>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</si>
  <si>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</si>
  <si>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</si>
  <si>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</si>
  <si>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</si>
  <si>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</si>
  <si>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</si>
  <si>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</si>
  <si>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</si>
  <si>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</si>
  <si>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</si>
  <si>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</si>
  <si>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</si>
  <si>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</si>
  <si>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</si>
  <si>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</si>
  <si>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</si>
  <si>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</si>
  <si>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</si>
  <si>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</si>
  <si>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</si>
  <si>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</si>
  <si>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</si>
  <si>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</si>
  <si>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</si>
  <si>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</si>
  <si>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</si>
  <si>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</si>
  <si>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</si>
  <si>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</si>
  <si>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</si>
  <si>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</si>
  <si>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</si>
  <si>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</si>
  <si>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</si>
  <si>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</si>
  <si>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</si>
  <si>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</si>
  <si>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</si>
  <si>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</si>
  <si>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</si>
  <si>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</si>
  <si>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</si>
  <si>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</si>
  <si>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</si>
  <si>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</si>
  <si>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</si>
  <si>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</si>
  <si>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</si>
  <si>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</si>
  <si>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</si>
  <si>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</si>
  <si>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</si>
  <si>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</si>
  <si>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</si>
  <si>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</si>
  <si>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</si>
  <si>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</si>
  <si>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</si>
  <si>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</si>
  <si>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</si>
  <si>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</si>
  <si>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</si>
  <si>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</si>
  <si>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</si>
  <si>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</si>
  <si>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</si>
  <si>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</si>
  <si>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</si>
  <si>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</si>
  <si>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</si>
  <si>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</si>
  <si>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</si>
  <si>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</si>
  <si>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</si>
  <si>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</si>
  <si>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</si>
  <si>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</si>
  <si>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</si>
  <si>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</si>
  <si>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</si>
  <si>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</si>
  <si>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</si>
  <si>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</si>
  <si>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</si>
  <si>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</si>
  <si>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</si>
  <si>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</si>
  <si>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</si>
  <si>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</si>
  <si>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</si>
  <si>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</si>
  <si>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</si>
  <si>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</si>
  <si>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</si>
  <si>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</si>
  <si>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</si>
  <si>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</si>
  <si>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</si>
  <si>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</si>
  <si>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</si>
  <si>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</si>
  <si>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</si>
  <si>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</si>
  <si>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</si>
  <si>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</si>
  <si>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</si>
  <si>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</si>
  <si>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</si>
  <si>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</si>
  <si>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</si>
  <si>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</si>
  <si>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</si>
  <si>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</si>
  <si>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</si>
  <si>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</si>
  <si>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</si>
  <si>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</si>
  <si>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</si>
  <si>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</si>
  <si>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</si>
  <si>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</si>
  <si>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</si>
  <si>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</si>
  <si>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</si>
  <si>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</si>
  <si>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</si>
  <si>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</si>
  <si>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</si>
  <si>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</si>
  <si>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</si>
  <si>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</si>
  <si>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</si>
  <si>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</si>
  <si>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</si>
  <si>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</si>
  <si>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</si>
  <si>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</si>
  <si>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</si>
  <si>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</si>
  <si>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</si>
  <si>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</si>
  <si>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</si>
  <si>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</si>
  <si>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</si>
  <si>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</si>
  <si>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</si>
  <si>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</si>
  <si>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</si>
  <si>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</si>
  <si>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</si>
  <si>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</si>
  <si>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</si>
  <si>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</si>
  <si>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</si>
  <si>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</si>
  <si>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</si>
  <si>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</si>
  <si>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</si>
  <si>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</si>
  <si>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</si>
  <si>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</si>
  <si>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</si>
  <si>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</si>
  <si>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</si>
  <si>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</si>
  <si>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</si>
  <si>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</si>
  <si>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</si>
  <si>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</si>
  <si>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</si>
  <si>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</si>
  <si>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</si>
  <si>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</si>
  <si>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</si>
  <si>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</si>
  <si>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</si>
  <si>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</si>
  <si>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</si>
  <si>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</si>
  <si>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</si>
  <si>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</si>
  <si>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</si>
  <si>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</si>
  <si>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</si>
  <si>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</si>
  <si>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</si>
  <si>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</si>
  <si>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</si>
  <si>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</si>
  <si>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</si>
  <si>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</si>
  <si>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</si>
  <si>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</si>
  <si>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</si>
  <si>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</si>
  <si>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</si>
  <si>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</si>
  <si>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</si>
  <si>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</si>
  <si>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</si>
  <si>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</si>
  <si>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</si>
  <si>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</si>
  <si>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</si>
  <si>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</si>
  <si>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</si>
  <si>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企业</t>
  </si>
  <si>
    <t>出让</t>
  </si>
  <si>
    <t>商业、办公</t>
    <phoneticPr fontId="4" type="noConversion"/>
  </si>
  <si>
    <t>地上</t>
  </si>
  <si>
    <t>底商</t>
  </si>
  <si>
    <t>办公楼</t>
  </si>
  <si>
    <t>地下</t>
  </si>
  <si>
    <t>是</t>
  </si>
  <si>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</si>
  <si>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</si>
  <si>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</si>
  <si>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</si>
  <si>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</si>
  <si>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</si>
  <si>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</si>
  <si>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</si>
  <si>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</si>
  <si>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</si>
  <si>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</si>
  <si>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</si>
  <si>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</si>
  <si>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</si>
  <si>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</si>
  <si>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</si>
  <si>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</si>
  <si>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4" type="noConversion"/>
  </si>
  <si>
    <t>零星有其他用地，基本不影响本宗地</t>
    <phoneticPr fontId="4" type="noConversion"/>
  </si>
  <si>
    <t>单面临街</t>
  </si>
  <si>
    <t>商业</t>
    <phoneticPr fontId="32" type="noConversion"/>
  </si>
  <si>
    <t>估价对象所在区域基础设施水平“七通一平</t>
  </si>
  <si>
    <t>多面临街</t>
    <phoneticPr fontId="4" type="noConversion"/>
  </si>
  <si>
    <t>双面临街</t>
    <phoneticPr fontId="4" type="noConversion"/>
  </si>
  <si>
    <t>单面临街</t>
    <phoneticPr fontId="4" type="noConversion"/>
  </si>
  <si>
    <t>不临街</t>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</si>
  <si>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</si>
  <si>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</si>
  <si>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</si>
  <si>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</si>
  <si>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</si>
  <si>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较好</t>
    <phoneticPr fontId="4" type="noConversion"/>
  </si>
  <si>
    <t>独立商业</t>
    <phoneticPr fontId="4" type="noConversion"/>
  </si>
  <si>
    <t>写字楼配套</t>
    <phoneticPr fontId="4" type="noConversion"/>
  </si>
  <si>
    <t>住宅配套</t>
    <phoneticPr fontId="4" type="noConversion"/>
  </si>
  <si>
    <t>钢混</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</si>
  <si>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</si>
  <si>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</si>
  <si>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</si>
  <si>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</si>
  <si>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</si>
  <si>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</si>
  <si>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</si>
  <si>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</si>
  <si>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</si>
  <si>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</si>
  <si>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</si>
  <si>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超高层高</t>
    <phoneticPr fontId="4" type="noConversion"/>
  </si>
  <si>
    <t>标准层高</t>
    <phoneticPr fontId="4" type="noConversion"/>
  </si>
  <si>
    <t>比例适宜</t>
    <phoneticPr fontId="4"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</si>
  <si>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</si>
  <si>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</si>
  <si>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</si>
  <si>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</si>
  <si>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</si>
  <si>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</si>
  <si>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</si>
  <si>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</si>
  <si>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</si>
  <si>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</si>
  <si>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</si>
  <si>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</si>
  <si>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</si>
  <si>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</si>
  <si>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</si>
  <si>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</si>
  <si>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</si>
  <si>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</si>
  <si>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</si>
  <si>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</si>
  <si>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高区</t>
    <phoneticPr fontId="4" type="noConversion"/>
  </si>
  <si>
    <t>中区</t>
    <phoneticPr fontId="4" type="noConversion"/>
  </si>
  <si>
    <t>低区</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</si>
  <si>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</si>
  <si>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</si>
  <si>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</si>
  <si>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</si>
  <si>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</si>
  <si>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</si>
  <si>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</si>
  <si>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</si>
  <si>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</si>
  <si>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</si>
  <si>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</si>
  <si>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</si>
  <si>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未分级</t>
    <phoneticPr fontId="4" type="noConversion"/>
  </si>
  <si>
    <t>专业</t>
  </si>
  <si>
    <t>专业</t>
    <phoneticPr fontId="33"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</si>
  <si>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</si>
  <si>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</si>
  <si>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</si>
  <si>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</si>
  <si>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</si>
  <si>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4" type="noConversion"/>
  </si>
  <si>
    <t>简装</t>
    <phoneticPr fontId="4" type="noConversion"/>
  </si>
  <si>
    <t>毛坯</t>
    <phoneticPr fontId="4" type="noConversion"/>
  </si>
  <si>
    <t>低区</t>
  </si>
  <si>
    <t>高塔</t>
  </si>
  <si>
    <t>高塔</t>
    <phoneticPr fontId="33" type="noConversion"/>
  </si>
  <si>
    <t>精装修</t>
  </si>
  <si>
    <t>甲级</t>
  </si>
  <si>
    <t>高区</t>
  </si>
  <si>
    <t>区域自然环境：；人文环境；综合评价环境状况较好</t>
  </si>
  <si>
    <t>办公</t>
    <phoneticPr fontId="33" type="noConversion"/>
  </si>
  <si>
    <t>中区</t>
  </si>
  <si>
    <t>餐厅、厨房、仓库（B2）</t>
  </si>
  <si>
    <t>仓库（B3）</t>
  </si>
  <si>
    <t>房号</t>
    <phoneticPr fontId="144" type="noConversion"/>
  </si>
  <si>
    <t>用途</t>
    <phoneticPr fontId="144" type="noConversion"/>
  </si>
  <si>
    <t>建筑面积</t>
  </si>
  <si>
    <t>(分摊)土地面积</t>
  </si>
  <si>
    <t>出让国有建设用地使用权价值</t>
  </si>
  <si>
    <t>建筑物价值</t>
  </si>
  <si>
    <t>房地产价值</t>
  </si>
  <si>
    <t>总价</t>
  </si>
  <si>
    <t>楼面单价</t>
  </si>
  <si>
    <t>总 价</t>
  </si>
  <si>
    <t>商业</t>
    <phoneticPr fontId="144" type="noConversion"/>
  </si>
  <si>
    <t>A105、A106</t>
    <phoneticPr fontId="4" type="noConversion"/>
  </si>
  <si>
    <t>小计</t>
    <phoneticPr fontId="144" type="noConversion"/>
  </si>
  <si>
    <t>办公</t>
    <phoneticPr fontId="144" type="noConversion"/>
  </si>
  <si>
    <t>小计</t>
    <phoneticPr fontId="144" type="noConversion"/>
  </si>
  <si>
    <t>其他</t>
    <phoneticPr fontId="144" type="noConversion"/>
  </si>
  <si>
    <t>其他</t>
    <phoneticPr fontId="144" type="noConversion"/>
  </si>
  <si>
    <t>小计</t>
    <phoneticPr fontId="144" type="noConversion"/>
  </si>
  <si>
    <t>合计</t>
    <phoneticPr fontId="144" type="noConversion"/>
  </si>
  <si>
    <t>单位：平方米、万元、元/平方米（币种：人民币）</t>
    <phoneticPr fontId="144" type="noConversion"/>
  </si>
  <si>
    <t>季度增幅（自定义）</t>
  </si>
  <si>
    <t>崔锴</t>
  </si>
  <si>
    <t>郑燚</t>
  </si>
  <si>
    <t>通路</t>
  </si>
  <si>
    <t>通电</t>
  </si>
  <si>
    <t>通讯</t>
  </si>
  <si>
    <t>通上水</t>
  </si>
  <si>
    <t>通下水</t>
  </si>
  <si>
    <t>燃气</t>
  </si>
  <si>
    <t>商业2层</t>
  </si>
  <si>
    <t>商业3层</t>
  </si>
  <si>
    <t>商业4层</t>
  </si>
  <si>
    <t>车库</t>
  </si>
  <si>
    <t>20-30（含）</t>
  </si>
  <si>
    <t>估价对象所在区域公共配套设施齐备情况较好</t>
    <phoneticPr fontId="4" type="noConversion"/>
  </si>
  <si>
    <t>估价对象周边道路状况较好、地铁14、15号线通过，公共交通通达情况较好、停车便捷程度较好，综合评价交通便捷度较好</t>
    <phoneticPr fontId="4" type="noConversion"/>
  </si>
  <si>
    <t>区域自然环境：望湖公园、北小河公园；人文环境：青年政治学院；综合评价环境状况较好</t>
    <phoneticPr fontId="4" type="noConversion"/>
  </si>
  <si>
    <t>城市主干道——望京北路</t>
    <phoneticPr fontId="4" type="noConversion"/>
  </si>
  <si>
    <t>较好</t>
    <phoneticPr fontId="4" type="noConversion"/>
  </si>
  <si>
    <t>六通</t>
  </si>
  <si>
    <r>
      <rPr>
        <b/>
        <sz val="16"/>
        <color indexed="10"/>
        <rFont val="宋体"/>
        <family val="3"/>
        <charset val="134"/>
      </rPr>
      <t>套用比较法</t>
    </r>
    <phoneticPr fontId="4" type="noConversion"/>
  </si>
  <si>
    <r>
      <rPr>
        <b/>
        <sz val="16"/>
        <rFont val="宋体"/>
        <family val="3"/>
        <charset val="134"/>
      </rPr>
      <t>住宅、综合</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</si>
  <si>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</si>
  <si>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</si>
  <si>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</si>
  <si>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</si>
  <si>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</si>
  <si>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</si>
  <si>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</si>
  <si>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</si>
  <si>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</si>
  <si>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</si>
  <si>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</si>
  <si>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</si>
  <si>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</si>
  <si>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</si>
  <si>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</si>
  <si>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</si>
  <si>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</si>
  <si>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</si>
  <si>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t>100/</t>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</si>
  <si>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</si>
  <si>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</si>
  <si>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综合</t>
  </si>
  <si>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</si>
  <si>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</si>
  <si>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4"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</si>
  <si>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4" type="noConversion"/>
  </si>
  <si>
    <r>
      <rPr>
        <sz val="11"/>
        <color indexed="8"/>
        <rFont val="宋体"/>
        <family val="3"/>
        <charset val="134"/>
      </rPr>
      <t>容积率</t>
    </r>
    <phoneticPr fontId="4" type="noConversion"/>
  </si>
  <si>
    <t>自持</t>
    <phoneticPr fontId="4" type="noConversion"/>
  </si>
  <si>
    <t>无自持</t>
    <phoneticPr fontId="4" type="noConversion"/>
  </si>
  <si>
    <r>
      <t>50%</t>
    </r>
    <r>
      <rPr>
        <sz val="11"/>
        <color indexed="8"/>
        <rFont val="宋体"/>
        <family val="3"/>
        <charset val="134"/>
      </rPr>
      <t>自持</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</si>
  <si>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</si>
  <si>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</si>
  <si>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商业繁华度</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</si>
  <si>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</si>
  <si>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</si>
  <si>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</si>
  <si>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t>100/</t>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</si>
  <si>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</si>
  <si>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</si>
  <si>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</si>
  <si>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color indexed="8"/>
        <rFont val="宋体"/>
        <family val="3"/>
        <charset val="134"/>
      </rPr>
      <t>临街状况</t>
    </r>
    <phoneticPr fontId="4" type="noConversion"/>
  </si>
  <si>
    <r>
      <rPr>
        <sz val="11"/>
        <color indexed="8"/>
        <rFont val="宋体"/>
        <family val="3"/>
        <charset val="134"/>
      </rPr>
      <t>毗邻道路的类型与等级</t>
    </r>
    <phoneticPr fontId="4" type="noConversion"/>
  </si>
  <si>
    <r>
      <rPr>
        <sz val="11"/>
        <color indexed="8"/>
        <rFont val="宋体"/>
        <family val="3"/>
        <charset val="134"/>
      </rPr>
      <t>土地级别</t>
    </r>
    <phoneticPr fontId="4" type="noConversion"/>
  </si>
  <si>
    <r>
      <rPr>
        <sz val="11"/>
        <rFont val="宋体"/>
        <family val="3"/>
        <charset val="134"/>
      </rPr>
      <t>实物状况</t>
    </r>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</si>
  <si>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</si>
  <si>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</si>
  <si>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</si>
  <si>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较规则</t>
  </si>
  <si>
    <r>
      <rPr>
        <sz val="11"/>
        <color indexed="8"/>
        <rFont val="宋体"/>
        <family val="3"/>
        <charset val="134"/>
      </rPr>
      <t>临街宽度及深度</t>
    </r>
    <phoneticPr fontId="4" type="noConversion"/>
  </si>
  <si>
    <t>比例较适宜</t>
  </si>
  <si>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</si>
  <si>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</si>
  <si>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1"/>
        <rFont val="宋体"/>
        <family val="3"/>
        <charset val="134"/>
      </rPr>
      <t>成交单价</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</si>
  <si>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</si>
  <si>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</si>
  <si>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</si>
  <si>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</si>
  <si>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</si>
  <si>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</si>
  <si>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sz val="11"/>
        <rFont val="宋体"/>
        <family val="3"/>
        <charset val="134"/>
      </rPr>
      <t>用途</t>
    </r>
    <r>
      <rPr>
        <sz val="11"/>
        <rFont val="Arial"/>
        <family val="2"/>
      </rPr>
      <t>/</t>
    </r>
    <r>
      <rPr>
        <sz val="11"/>
        <rFont val="宋体"/>
        <family val="3"/>
        <charset val="134"/>
      </rPr>
      <t>位置</t>
    </r>
    <phoneticPr fontId="4" type="noConversion"/>
  </si>
  <si>
    <r>
      <rPr>
        <sz val="11"/>
        <rFont val="宋体"/>
        <family val="3"/>
        <charset val="134"/>
      </rPr>
      <t>修正单价</t>
    </r>
    <phoneticPr fontId="4" type="noConversion"/>
  </si>
  <si>
    <r>
      <rPr>
        <sz val="11"/>
        <rFont val="宋体"/>
        <family val="3"/>
        <charset val="134"/>
      </rPr>
      <t>政府土地出让收益比例</t>
    </r>
    <phoneticPr fontId="4" type="noConversion"/>
  </si>
  <si>
    <r>
      <rPr>
        <sz val="11"/>
        <rFont val="宋体"/>
        <family val="3"/>
        <charset val="134"/>
      </rPr>
      <t>建筑面积</t>
    </r>
    <phoneticPr fontId="4" type="noConversion"/>
  </si>
  <si>
    <r>
      <rPr>
        <sz val="11"/>
        <rFont val="宋体"/>
        <family val="3"/>
        <charset val="134"/>
      </rPr>
      <t>总价</t>
    </r>
    <phoneticPr fontId="4" type="noConversion"/>
  </si>
  <si>
    <r>
      <rPr>
        <sz val="11"/>
        <rFont val="宋体"/>
        <family val="3"/>
        <charset val="134"/>
      </rPr>
      <t>对应的地上用途及土地级别（北京市）</t>
    </r>
    <phoneticPr fontId="4" type="noConversion"/>
  </si>
  <si>
    <r>
      <rPr>
        <sz val="11"/>
        <color theme="1"/>
        <rFont val="宋体"/>
        <family val="3"/>
        <charset val="134"/>
      </rPr>
      <t>北京市</t>
    </r>
    <phoneticPr fontId="4" type="noConversion"/>
  </si>
  <si>
    <r>
      <rPr>
        <sz val="11"/>
        <color rgb="FFFF0000"/>
        <rFont val="宋体"/>
        <family val="3"/>
        <charset val="134"/>
      </rPr>
      <t>外省市地下修正系数请自行录入</t>
    </r>
    <phoneticPr fontId="4" type="noConversion"/>
  </si>
  <si>
    <r>
      <rPr>
        <sz val="10"/>
        <rFont val="宋体"/>
        <family val="3"/>
        <charset val="134"/>
      </rPr>
      <t>地上</t>
    </r>
    <phoneticPr fontId="4" type="noConversion"/>
  </si>
  <si>
    <r>
      <rPr>
        <sz val="10"/>
        <rFont val="宋体"/>
        <family val="3"/>
        <charset val="134"/>
      </rPr>
      <t>地下商业（</t>
    </r>
    <r>
      <rPr>
        <sz val="10"/>
        <rFont val="Arial"/>
        <family val="2"/>
      </rPr>
      <t>-1</t>
    </r>
    <r>
      <rPr>
        <sz val="10"/>
        <rFont val="宋体"/>
        <family val="3"/>
        <charset val="134"/>
      </rPr>
      <t>）</t>
    </r>
    <phoneticPr fontId="4" type="noConversion"/>
  </si>
  <si>
    <r>
      <rPr>
        <sz val="10"/>
        <color theme="1"/>
        <rFont val="宋体"/>
        <family val="3"/>
        <charset val="134"/>
      </rPr>
      <t>对应商业级别</t>
    </r>
    <phoneticPr fontId="4" type="noConversion"/>
  </si>
  <si>
    <r>
      <rPr>
        <sz val="10"/>
        <rFont val="宋体"/>
        <family val="3"/>
        <charset val="134"/>
      </rPr>
      <t>地下商业（</t>
    </r>
    <r>
      <rPr>
        <sz val="10"/>
        <rFont val="Arial"/>
        <family val="2"/>
      </rPr>
      <t>-2</t>
    </r>
    <r>
      <rPr>
        <sz val="10"/>
        <rFont val="宋体"/>
        <family val="3"/>
        <charset val="134"/>
      </rPr>
      <t>）</t>
    </r>
    <phoneticPr fontId="4" type="noConversion"/>
  </si>
  <si>
    <r>
      <rPr>
        <sz val="10"/>
        <rFont val="宋体"/>
        <family val="3"/>
        <charset val="134"/>
      </rPr>
      <t>地下商业（</t>
    </r>
    <r>
      <rPr>
        <sz val="10"/>
        <rFont val="Arial"/>
        <family val="2"/>
      </rPr>
      <t>-3</t>
    </r>
    <r>
      <rPr>
        <sz val="10"/>
        <rFont val="宋体"/>
        <family val="3"/>
        <charset val="134"/>
      </rPr>
      <t>）</t>
    </r>
    <phoneticPr fontId="4" type="noConversion"/>
  </si>
  <si>
    <r>
      <rPr>
        <sz val="10"/>
        <rFont val="宋体"/>
        <family val="3"/>
        <charset val="134"/>
      </rPr>
      <t>地下商业（</t>
    </r>
    <r>
      <rPr>
        <sz val="10"/>
        <rFont val="Arial"/>
        <family val="2"/>
      </rPr>
      <t>-4</t>
    </r>
    <r>
      <rPr>
        <sz val="10"/>
        <rFont val="宋体"/>
        <family val="3"/>
        <charset val="134"/>
      </rPr>
      <t>）</t>
    </r>
    <phoneticPr fontId="4" type="noConversion"/>
  </si>
  <si>
    <r>
      <rPr>
        <sz val="10"/>
        <rFont val="宋体"/>
        <family val="3"/>
        <charset val="134"/>
      </rPr>
      <t>地下办公（含物业）</t>
    </r>
    <phoneticPr fontId="4" type="noConversion"/>
  </si>
  <si>
    <r>
      <rPr>
        <sz val="10"/>
        <color theme="1"/>
        <rFont val="宋体"/>
        <family val="3"/>
        <charset val="134"/>
      </rPr>
      <t>对应办公级别</t>
    </r>
    <phoneticPr fontId="4" type="noConversion"/>
  </si>
  <si>
    <r>
      <rPr>
        <sz val="10"/>
        <rFont val="宋体"/>
        <family val="3"/>
        <charset val="134"/>
      </rPr>
      <t>地下仓储</t>
    </r>
    <phoneticPr fontId="4" type="noConversion"/>
  </si>
  <si>
    <r>
      <rPr>
        <sz val="10"/>
        <rFont val="宋体"/>
        <family val="3"/>
        <charset val="134"/>
      </rPr>
      <t>地下车库</t>
    </r>
    <phoneticPr fontId="4" type="noConversion"/>
  </si>
  <si>
    <r>
      <rPr>
        <sz val="10"/>
        <rFont val="宋体"/>
        <family val="3"/>
        <charset val="134"/>
      </rPr>
      <t>地下车库</t>
    </r>
    <r>
      <rPr>
        <sz val="10"/>
        <rFont val="Arial"/>
        <family val="2"/>
      </rPr>
      <t>-</t>
    </r>
    <r>
      <rPr>
        <sz val="10"/>
        <rFont val="宋体"/>
        <family val="3"/>
        <charset val="134"/>
      </rPr>
      <t>商业</t>
    </r>
    <phoneticPr fontId="4" type="noConversion"/>
  </si>
  <si>
    <r>
      <rPr>
        <sz val="10"/>
        <color theme="1"/>
        <rFont val="宋体"/>
        <family val="3"/>
        <charset val="134"/>
      </rPr>
      <t>对应商业级别</t>
    </r>
    <phoneticPr fontId="4" type="noConversion"/>
  </si>
  <si>
    <r>
      <rPr>
        <sz val="10"/>
        <rFont val="宋体"/>
        <family val="3"/>
        <charset val="134"/>
      </rPr>
      <t>地下车库</t>
    </r>
    <r>
      <rPr>
        <sz val="10"/>
        <rFont val="Arial"/>
        <family val="2"/>
      </rPr>
      <t>-</t>
    </r>
    <r>
      <rPr>
        <sz val="10"/>
        <rFont val="宋体"/>
        <family val="3"/>
        <charset val="134"/>
      </rPr>
      <t>办公</t>
    </r>
    <phoneticPr fontId="4" type="noConversion"/>
  </si>
  <si>
    <r>
      <rPr>
        <b/>
        <sz val="10"/>
        <rFont val="宋体"/>
        <family val="3"/>
        <charset val="134"/>
      </rPr>
      <t>土地购买价格</t>
    </r>
    <phoneticPr fontId="4" type="noConversion"/>
  </si>
  <si>
    <t>-</t>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</si>
  <si>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</si>
  <si>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交易时间（按季度调整）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</si>
  <si>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</si>
  <si>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</si>
  <si>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</si>
  <si>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</si>
  <si>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办公、商业</t>
    <phoneticPr fontId="4" type="noConversion"/>
  </si>
  <si>
    <t>50%自持</t>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</si>
  <si>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</si>
  <si>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</si>
  <si>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</si>
  <si>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</si>
  <si>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</si>
  <si>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</si>
  <si>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商业繁华度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</si>
  <si>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</si>
  <si>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</si>
  <si>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</si>
  <si>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</si>
  <si>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</si>
  <si>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</si>
  <si>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</si>
  <si>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</si>
  <si>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</si>
  <si>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</si>
  <si>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</si>
  <si>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</si>
  <si>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</si>
  <si>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</si>
  <si>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rFont val="宋体"/>
        <family val="3"/>
        <charset val="134"/>
      </rPr>
      <t>多面临街</t>
    </r>
    <phoneticPr fontId="4" type="noConversion"/>
  </si>
  <si>
    <r>
      <rPr>
        <sz val="11"/>
        <rFont val="宋体"/>
        <family val="3"/>
        <charset val="134"/>
      </rPr>
      <t>双面临街</t>
    </r>
    <phoneticPr fontId="4" type="noConversion"/>
  </si>
  <si>
    <r>
      <rPr>
        <sz val="11"/>
        <rFont val="宋体"/>
        <family val="3"/>
        <charset val="134"/>
      </rPr>
      <t>单面临街</t>
    </r>
    <phoneticPr fontId="4" type="noConversion"/>
  </si>
  <si>
    <r>
      <rPr>
        <sz val="11"/>
        <rFont val="宋体"/>
        <family val="3"/>
        <charset val="134"/>
      </rPr>
      <t>不临街</t>
    </r>
    <phoneticPr fontId="4" type="noConversion"/>
  </si>
  <si>
    <r>
      <rPr>
        <sz val="11"/>
        <color indexed="8"/>
        <rFont val="宋体"/>
        <family val="3"/>
        <charset val="134"/>
      </rPr>
      <t>毗邻道路的类型与等级</t>
    </r>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</si>
  <si>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</si>
  <si>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</si>
  <si>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</si>
  <si>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</si>
  <si>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</si>
  <si>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r>
      <rPr>
        <sz val="11"/>
        <color indexed="8"/>
        <rFont val="宋体"/>
        <family val="3"/>
        <charset val="134"/>
      </rPr>
      <t>土地级别</t>
    </r>
    <phoneticPr fontId="4" type="noConversion"/>
  </si>
  <si>
    <r>
      <rPr>
        <sz val="11"/>
        <color indexed="8"/>
        <rFont val="宋体"/>
        <family val="3"/>
        <charset val="134"/>
      </rPr>
      <t>宗地面积</t>
    </r>
    <phoneticPr fontId="4" type="noConversion"/>
  </si>
  <si>
    <t>规则</t>
    <phoneticPr fontId="4" type="noConversion"/>
  </si>
  <si>
    <t>较规则</t>
    <phoneticPr fontId="4" type="noConversion"/>
  </si>
  <si>
    <t>一般</t>
    <phoneticPr fontId="4" type="noConversion"/>
  </si>
  <si>
    <t>较不规则</t>
    <phoneticPr fontId="4" type="noConversion"/>
  </si>
  <si>
    <t>不规则</t>
    <phoneticPr fontId="4" type="noConversion"/>
  </si>
  <si>
    <t>比例适宜</t>
    <phoneticPr fontId="4" type="noConversion"/>
  </si>
  <si>
    <t>比例较适宜</t>
    <phoneticPr fontId="4" type="noConversion"/>
  </si>
  <si>
    <t>比例较不适宜</t>
    <phoneticPr fontId="4" type="noConversion"/>
  </si>
  <si>
    <t>比例不适宜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</si>
  <si>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</si>
  <si>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</si>
  <si>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</si>
  <si>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</si>
  <si>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</si>
  <si>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phoneticPr fontId="4" type="noConversion"/>
  </si>
  <si>
    <t>较好</t>
    <phoneticPr fontId="4" type="noConversion"/>
  </si>
  <si>
    <t>较差</t>
    <phoneticPr fontId="4" type="noConversion"/>
  </si>
  <si>
    <t>差</t>
    <phoneticPr fontId="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</si>
  <si>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</si>
  <si>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</si>
  <si>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</si>
  <si>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</si>
  <si>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</si>
  <si>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</si>
  <si>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</si>
  <si>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</si>
  <si>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</si>
  <si>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</si>
  <si>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</si>
  <si>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</si>
  <si>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</si>
  <si>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</si>
  <si>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商业/办公用地</t>
  </si>
  <si>
    <t>挂牌</t>
  </si>
  <si>
    <t>5星</t>
  </si>
  <si>
    <t>多面临街</t>
  </si>
  <si>
    <t>主干道</t>
  </si>
  <si>
    <t>未包含在土地购买价格中</t>
  </si>
  <si>
    <t>全部缴纳</t>
  </si>
  <si>
    <t>已包含在土地取得成本中</t>
  </si>
  <si>
    <t>成本法商业</t>
    <phoneticPr fontId="17" type="noConversion"/>
  </si>
  <si>
    <t>成本法酒店</t>
    <phoneticPr fontId="17" type="noConversion"/>
  </si>
  <si>
    <t>地下车库</t>
    <phoneticPr fontId="4" type="noConversion"/>
  </si>
  <si>
    <t>酒店</t>
    <phoneticPr fontId="4"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</si>
  <si>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</si>
  <si>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</si>
  <si>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</si>
  <si>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</si>
  <si>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</si>
  <si>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</si>
  <si>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</si>
  <si>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</si>
  <si>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</si>
  <si>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</si>
  <si>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</si>
  <si>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</si>
  <si>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</si>
  <si>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7" type="noConversion"/>
  </si>
  <si>
    <t>收益法车库</t>
  </si>
  <si>
    <t>收益法车库</t>
    <phoneticPr fontId="17" type="noConversion"/>
  </si>
  <si>
    <t>成本法酒店</t>
  </si>
  <si>
    <t>比较法-车位</t>
  </si>
  <si>
    <t>*</t>
  </si>
  <si>
    <t>车库</t>
    <phoneticPr fontId="33" type="noConversion"/>
  </si>
  <si>
    <t>30-40（含）</t>
  </si>
  <si>
    <t>40-50（含）</t>
  </si>
  <si>
    <t>地下</t>
    <phoneticPr fontId="33" type="noConversion"/>
  </si>
  <si>
    <t>专业</t>
    <phoneticPr fontId="33" type="noConversion"/>
  </si>
  <si>
    <t>平面车位</t>
  </si>
  <si>
    <t>平面车位</t>
    <phoneticPr fontId="33" type="noConversion"/>
  </si>
  <si>
    <t>自定义</t>
  </si>
  <si>
    <t>估价对象周边道路状况较好、地铁14、15号线通过，公共交通通达情况较好、停车便捷程度较好，综合评价交通便捷度较好</t>
  </si>
  <si>
    <t>估价对象所在区域公共配套设施齐备情况较好</t>
  </si>
  <si>
    <t>收益比率</t>
  </si>
  <si>
    <t>情况3</t>
  </si>
  <si>
    <t>出让金+开发费</t>
  </si>
  <si>
    <t>按房产原值计税</t>
  </si>
  <si>
    <t>商业自用</t>
  </si>
  <si>
    <t>商业出租</t>
  </si>
  <si>
    <t>办公自用</t>
  </si>
  <si>
    <t>收益法商自</t>
    <phoneticPr fontId="17" type="noConversion"/>
  </si>
  <si>
    <t>收益法办自</t>
    <phoneticPr fontId="17" type="noConversion"/>
  </si>
  <si>
    <t>收益法办（汇总）</t>
    <phoneticPr fontId="17" type="noConversion"/>
  </si>
  <si>
    <t>收益法商（汇总）</t>
    <phoneticPr fontId="17" type="noConversion"/>
  </si>
  <si>
    <t>序号</t>
    <phoneticPr fontId="144" type="noConversion"/>
  </si>
  <si>
    <t>产权人</t>
    <phoneticPr fontId="144" type="noConversion"/>
  </si>
  <si>
    <t>产权证号</t>
    <phoneticPr fontId="144" type="noConversion"/>
  </si>
  <si>
    <t>总层数</t>
    <phoneticPr fontId="144" type="noConversion"/>
  </si>
  <si>
    <t>楼层</t>
    <phoneticPr fontId="144" type="noConversion"/>
  </si>
  <si>
    <t>分摊土地面积</t>
    <phoneticPr fontId="144" type="noConversion"/>
  </si>
  <si>
    <t>建筑面积</t>
    <phoneticPr fontId="144" type="noConversion"/>
  </si>
  <si>
    <t>使用期限</t>
    <phoneticPr fontId="144" type="noConversion"/>
  </si>
  <si>
    <t>成都汉景实业有限公司</t>
    <phoneticPr fontId="144" type="noConversion"/>
  </si>
  <si>
    <t>川（2019）成都市不动产权第0484698号</t>
    <phoneticPr fontId="144" type="noConversion"/>
  </si>
  <si>
    <t>-1、1至5层</t>
    <phoneticPr fontId="144" type="noConversion"/>
  </si>
  <si>
    <t>川（2019）成都市不动产权第0484835号</t>
    <phoneticPr fontId="144" type="noConversion"/>
  </si>
  <si>
    <t>-1至-2层、3至9、23至31</t>
    <phoneticPr fontId="144" type="noConversion"/>
  </si>
  <si>
    <t>酒店</t>
    <phoneticPr fontId="144" type="noConversion"/>
  </si>
  <si>
    <t>川（2019）成都市不动产权第0484869号</t>
    <phoneticPr fontId="144" type="noConversion"/>
  </si>
  <si>
    <t>6至25、27至39、屋顶层</t>
    <phoneticPr fontId="144" type="noConversion"/>
  </si>
  <si>
    <t>川（2019）成都市不动产权第0484394号</t>
    <phoneticPr fontId="144" type="noConversion"/>
  </si>
  <si>
    <t>-5至-1</t>
    <phoneticPr fontId="144" type="noConversion"/>
  </si>
  <si>
    <t>车位</t>
    <phoneticPr fontId="144" type="noConversion"/>
  </si>
  <si>
    <t>川（2019）成都市不动产权第0484851号</t>
    <phoneticPr fontId="144" type="noConversion"/>
  </si>
  <si>
    <t>-1</t>
    <phoneticPr fontId="144" type="noConversion"/>
  </si>
  <si>
    <t>设备用房</t>
    <phoneticPr fontId="144" type="noConversion"/>
  </si>
  <si>
    <t>商业-1层</t>
    <phoneticPr fontId="144" type="noConversion"/>
  </si>
  <si>
    <t>商业1层</t>
    <phoneticPr fontId="144" type="noConversion"/>
  </si>
  <si>
    <t>商业5层</t>
  </si>
  <si>
    <t>酒店-1至-2层</t>
    <phoneticPr fontId="144" type="noConversion"/>
  </si>
  <si>
    <t>酒店3层</t>
    <phoneticPr fontId="144" type="noConversion"/>
  </si>
  <si>
    <t>其他：</t>
  </si>
  <si>
    <t>四川省</t>
    <phoneticPr fontId="7" type="noConversion"/>
  </si>
  <si>
    <t>成都市青羊区西御街3号、5号</t>
    <phoneticPr fontId="7" type="noConversion"/>
  </si>
  <si>
    <t>按面积比例</t>
  </si>
  <si>
    <t>领地中心</t>
    <phoneticPr fontId="4" type="noConversion"/>
  </si>
  <si>
    <t>估价对象位于天府广场商圈，周边办公楼项目多，入驻率高，办公集聚程度好</t>
    <phoneticPr fontId="4" type="noConversion"/>
  </si>
  <si>
    <t>估价对象位于天府广场商圈，周边商业氛围成熟，人流量大，商业繁华度好</t>
    <phoneticPr fontId="4" type="noConversion"/>
  </si>
  <si>
    <t>比较法-办公</t>
  </si>
  <si>
    <t>收益法办</t>
    <phoneticPr fontId="17" type="noConversion"/>
  </si>
  <si>
    <t>富力天汇</t>
    <phoneticPr fontId="4" type="noConversion"/>
  </si>
  <si>
    <t>EGO潮流广场</t>
    <phoneticPr fontId="4" type="noConversion"/>
  </si>
  <si>
    <t>九龙广场</t>
    <phoneticPr fontId="4" type="noConversion"/>
  </si>
  <si>
    <t>租金系数</t>
    <phoneticPr fontId="260" type="noConversion"/>
  </si>
  <si>
    <t>租金</t>
    <phoneticPr fontId="260" type="noConversion"/>
  </si>
  <si>
    <t>收益法商</t>
    <phoneticPr fontId="17" type="noConversion"/>
  </si>
  <si>
    <t>办公</t>
    <phoneticPr fontId="8" type="noConversion"/>
  </si>
  <si>
    <t>典型户型修正</t>
  </si>
  <si>
    <t>典型户型修正</t>
    <phoneticPr fontId="17" type="noConversion"/>
  </si>
  <si>
    <t>锦江区新开街,东丁字街</t>
  </si>
  <si>
    <t>成都市</t>
  </si>
  <si>
    <t>锦江区</t>
  </si>
  <si>
    <t>拍卖</t>
  </si>
  <si>
    <t>JJ03(21):2017-021</t>
  </si>
  <si>
    <t>商业服务业设施用地</t>
  </si>
  <si>
    <t>≤6.0</t>
  </si>
  <si>
    <t>≤45%</t>
  </si>
  <si>
    <t>≤623米</t>
  </si>
  <si>
    <t>开工中</t>
  </si>
  <si>
    <t>2017-10-26</t>
  </si>
  <si>
    <t>2017-11-15</t>
  </si>
  <si>
    <t>已成交</t>
  </si>
  <si>
    <t>成都市兴锦城市建设投资有限责任公司</t>
  </si>
  <si>
    <t>商业用地40年</t>
  </si>
  <si>
    <t>武侯区高升桥路21号</t>
  </si>
  <si>
    <t>武侯区</t>
  </si>
  <si>
    <t>WH11(21):2019-070</t>
  </si>
  <si>
    <t>商服用地</t>
  </si>
  <si>
    <t>不大于4.0</t>
  </si>
  <si>
    <t>不大于50%</t>
  </si>
  <si>
    <t>最高点高程不大于1985国家高程基准绝对海拔高度551米</t>
  </si>
  <si>
    <t>未开工</t>
  </si>
  <si>
    <t>2019-12-18</t>
  </si>
  <si>
    <t>2020-01-07</t>
  </si>
  <si>
    <t>2020-01-20</t>
  </si>
  <si>
    <t>成公资土挂告(2019)59号</t>
  </si>
  <si>
    <t>成都朋汇房地产开发有限公司,成都武侯文旅投资有限公司</t>
  </si>
  <si>
    <t>商服用地40年</t>
  </si>
  <si>
    <t>武侯区致民路1、15、17号,十五北街2号</t>
  </si>
  <si>
    <t>WH08(211):2018-040</t>
  </si>
  <si>
    <t>零售商业用地</t>
  </si>
  <si>
    <t>≤4.50</t>
  </si>
  <si>
    <t>≤127米</t>
  </si>
  <si>
    <t>竞自持</t>
  </si>
  <si>
    <t>2018-11-27</t>
  </si>
  <si>
    <t>2018-12-13</t>
  </si>
  <si>
    <t>2018-12-27</t>
  </si>
  <si>
    <t>成公资土挂告(2018)53号</t>
  </si>
  <si>
    <t>成都双盛达置业有限公司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</si>
  <si>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</si>
  <si>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</si>
  <si>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</si>
  <si>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</si>
  <si>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</si>
  <si>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</si>
  <si>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</si>
  <si>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</si>
  <si>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</si>
  <si>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</si>
  <si>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</si>
  <si>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</si>
  <si>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</si>
  <si>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</si>
  <si>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</si>
  <si>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</si>
  <si>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</si>
  <si>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</si>
  <si>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</si>
  <si>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</si>
  <si>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</si>
  <si>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</si>
  <si>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</si>
  <si>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</si>
  <si>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</si>
  <si>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</si>
  <si>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</si>
  <si>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</si>
  <si>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</si>
  <si>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</si>
  <si>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</si>
  <si>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一般</t>
    <phoneticPr fontId="144" type="noConversion"/>
  </si>
  <si>
    <t>元/车位</t>
  </si>
  <si>
    <t>来福士广场写字楼</t>
    <phoneticPr fontId="4" type="noConversion"/>
  </si>
  <si>
    <t>奥克斯广场写字楼</t>
    <phoneticPr fontId="4" type="noConversion"/>
  </si>
  <si>
    <t>OCG国际中心</t>
    <phoneticPr fontId="4" type="noConversion"/>
  </si>
  <si>
    <t>商业</t>
    <phoneticPr fontId="144" type="noConversion"/>
  </si>
  <si>
    <t>车库</t>
    <phoneticPr fontId="144" type="noConversion"/>
  </si>
  <si>
    <t>酒店</t>
    <phoneticPr fontId="144" type="noConversion"/>
  </si>
  <si>
    <t>房地产市场价值</t>
  </si>
  <si>
    <t>核定资产</t>
  </si>
  <si>
    <t>收益法</t>
    <phoneticPr fontId="144" type="noConversion"/>
  </si>
  <si>
    <t>综合</t>
    <phoneticPr fontId="144" type="noConversion"/>
  </si>
  <si>
    <t>不计算车库</t>
    <phoneticPr fontId="144" type="noConversion"/>
  </si>
  <si>
    <t>市场租金</t>
    <phoneticPr fontId="4" type="noConversion"/>
  </si>
  <si>
    <t>办公</t>
    <phoneticPr fontId="4" type="noConversion"/>
  </si>
  <si>
    <t>http://www.lingdizhongxin.cn/</t>
    <phoneticPr fontId="144" type="noConversion"/>
  </si>
  <si>
    <t>https://www.sohu.com/a/370998594_100233975</t>
    <phoneticPr fontId="144" type="noConversion"/>
  </si>
  <si>
    <t>写字楼</t>
    <phoneticPr fontId="144" type="noConversion"/>
  </si>
  <si>
    <t>商铺</t>
    <phoneticPr fontId="144" type="noConversion"/>
  </si>
  <si>
    <t>住宅</t>
    <phoneticPr fontId="144" type="noConversion"/>
  </si>
  <si>
    <t>亩数</t>
    <phoneticPr fontId="8" type="noConversion"/>
  </si>
  <si>
    <t>每亩价格</t>
    <phoneticPr fontId="8" type="noConversion"/>
  </si>
  <si>
    <t>总价</t>
    <phoneticPr fontId="8" type="noConversion"/>
  </si>
  <si>
    <t>单价</t>
    <phoneticPr fontId="8" type="noConversion"/>
  </si>
  <si>
    <t>地上楼面</t>
    <phoneticPr fontId="8" type="noConversion"/>
  </si>
  <si>
    <t>建安</t>
    <phoneticPr fontId="8" type="noConversion"/>
  </si>
  <si>
    <t>地上合计</t>
    <phoneticPr fontId="8" type="noConversion"/>
  </si>
  <si>
    <t>地下</t>
    <phoneticPr fontId="8" type="noConversion"/>
  </si>
  <si>
    <t>总计</t>
    <phoneticPr fontId="8" type="noConversion"/>
  </si>
  <si>
    <t>成本估算</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</si>
</sst>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
      <sz val="10"/>
      <color theme="1"/>
      <name val="宋体"/>
      <family val="2"/>
      <scheme val="minor"/>
    </font>
    <font>
      <sz val="12"/>
      <color rgb="FF000000"/>
      <name val="宋体"/>
      <family val="2"/>
      <charset val="134"/>
    </font>
    <font>
      <sz val="11"/>
      <color rgb="FFFF0000"/>
      <name val="Microsoft YaHei UI"/>
      <family val="3"/>
      <charset val="134"/>
    </font>
    <font>
      <sz val="11"/>
      <color theme="9" tint="-0.249977111117893"/>
      <name val="Microsoft YaHei UI"/>
      <family val="3"/>
      <charset val="134"/>
    </font>
    <font>
      <sz val="10"/>
      <color indexed="8"/>
      <name val="微软雅黑"/>
      <family val="2"/>
      <charset val="134"/>
    </font>
    <font>
      <sz val="9"/>
      <color theme="1"/>
      <name val="微软雅黑"/>
      <family val="2"/>
      <charset val="134"/>
    </font>
    <font>
      <sz val="10"/>
      <color rgb="FF000000"/>
      <name val="Microsoft YaHei UI"/>
      <family val="3"/>
      <charset val="134"/>
    </font>
    <font>
      <sz val="11"/>
      <name val="微软雅黑"/>
      <family val="2"/>
      <charset val="134"/>
    </font>
    <font>
      <sz val="12"/>
      <color rgb="FFFF0000"/>
      <name val="Times New Roman"/>
      <family val="1"/>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rgb="FF00B0F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63" fillId="0" borderId="0" applyFont="0" applyFill="0" applyBorder="0" applyAlignment="0" applyProtection="0">
      <alignment vertical="center"/>
    </xf>
    <xf numFmtId="0" fontId="100" fillId="0" borderId="0">
      <alignment vertical="center"/>
    </xf>
    <xf numFmtId="0" fontId="1" fillId="0" borderId="0"/>
    <xf numFmtId="0" fontId="276" fillId="0" borderId="0" applyNumberFormat="0" applyFill="0" applyBorder="0" applyAlignment="0" applyProtection="0">
      <alignment vertical="center"/>
    </xf>
  </cellStyleXfs>
  <cellXfs count="38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76" fillId="5" borderId="23"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24" fillId="7" borderId="151" xfId="0" applyFont="1" applyFill="1" applyBorder="1" applyAlignment="1" applyProtection="1">
      <alignment vertical="center" wrapText="1"/>
      <protection locked="0"/>
    </xf>
    <xf numFmtId="0" fontId="24" fillId="7" borderId="5" xfId="0" applyFont="1" applyFill="1" applyBorder="1" applyAlignment="1" applyProtection="1">
      <alignment vertical="center"/>
      <protection locked="0"/>
    </xf>
    <xf numFmtId="0" fontId="24" fillId="5" borderId="5" xfId="0" applyFont="1" applyFill="1" applyBorder="1" applyAlignment="1" applyProtection="1">
      <alignment horizontal="left" vertical="center" wrapText="1"/>
      <protection locked="0"/>
    </xf>
    <xf numFmtId="0" fontId="24"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20" fillId="0" borderId="1" xfId="0" applyNumberFormat="1" applyFont="1" applyBorder="1" applyAlignment="1" applyProtection="1">
      <alignment horizontal="center"/>
      <protection locked="0"/>
    </xf>
    <xf numFmtId="178" fontId="12" fillId="0" borderId="1" xfId="1" applyNumberFormat="1" applyFont="1" applyFill="1" applyBorder="1" applyAlignment="1" applyProtection="1">
      <alignment vertical="center"/>
      <protection locked="0" hidden="1"/>
    </xf>
    <xf numFmtId="180" fontId="48"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20"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3" fillId="0" borderId="24" xfId="0" applyNumberFormat="1" applyFont="1" applyFill="1" applyBorder="1" applyAlignment="1" applyProtection="1">
      <alignment horizontal="center" vertical="center" wrapText="1"/>
      <protection locked="0"/>
    </xf>
    <xf numFmtId="0" fontId="23"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horizontal="center"/>
      <protection locked="0"/>
    </xf>
    <xf numFmtId="0" fontId="20" fillId="0" borderId="1" xfId="0" applyFont="1" applyBorder="1" applyAlignment="1">
      <alignment horizontal="center"/>
    </xf>
    <xf numFmtId="0" fontId="138"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4" fillId="0" borderId="0" xfId="0" applyFont="1">
      <alignment vertical="center"/>
    </xf>
    <xf numFmtId="0" fontId="257" fillId="0" borderId="1" xfId="0" applyFont="1" applyBorder="1" applyAlignment="1">
      <alignment horizontal="center" vertical="center" wrapText="1"/>
    </xf>
    <xf numFmtId="177" fontId="20" fillId="0" borderId="1" xfId="0" applyNumberFormat="1" applyFont="1" applyBorder="1" applyAlignment="1">
      <alignment horizontal="center"/>
    </xf>
    <xf numFmtId="0" fontId="106" fillId="0" borderId="1" xfId="0" applyFont="1" applyBorder="1" applyAlignment="1">
      <alignment horizontal="center" vertical="center" wrapText="1"/>
    </xf>
    <xf numFmtId="177" fontId="85" fillId="0" borderId="1" xfId="0" applyNumberFormat="1" applyFont="1" applyBorder="1" applyAlignment="1">
      <alignment horizontal="center"/>
    </xf>
    <xf numFmtId="0" fontId="109" fillId="0" borderId="1" xfId="0" applyFont="1" applyBorder="1" applyAlignment="1">
      <alignment horizontal="center" vertical="center" wrapText="1"/>
    </xf>
    <xf numFmtId="0" fontId="120" fillId="0" borderId="0" xfId="0" applyFont="1">
      <alignment vertical="center"/>
    </xf>
    <xf numFmtId="0" fontId="257" fillId="0" borderId="0" xfId="0" applyFont="1" applyBorder="1" applyAlignment="1">
      <alignment horizontal="center" vertical="center" wrapText="1"/>
    </xf>
    <xf numFmtId="177" fontId="20" fillId="0" borderId="0" xfId="0" applyNumberFormat="1" applyFont="1" applyBorder="1" applyAlignment="1">
      <alignment horizontal="center"/>
    </xf>
    <xf numFmtId="0" fontId="20" fillId="0" borderId="0" xfId="0" applyFont="1" applyBorder="1" applyAlignment="1">
      <alignment horizontal="center"/>
    </xf>
    <xf numFmtId="177" fontId="114"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vertical="center" wrapText="1"/>
      <protection locked="0"/>
    </xf>
    <xf numFmtId="49" fontId="20" fillId="0" borderId="1" xfId="0" applyNumberFormat="1" applyFont="1" applyBorder="1" applyAlignment="1" applyProtection="1">
      <alignment horizont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8" fillId="6" borderId="46" xfId="10" applyFont="1" applyFill="1" applyBorder="1" applyAlignment="1" applyProtection="1">
      <alignment vertical="center"/>
    </xf>
    <xf numFmtId="0" fontId="66" fillId="6" borderId="36" xfId="10" applyFont="1" applyFill="1" applyBorder="1" applyAlignment="1" applyProtection="1">
      <alignment horizontal="right" vertical="center"/>
    </xf>
    <xf numFmtId="0" fontId="66" fillId="6" borderId="36" xfId="10" applyFont="1" applyFill="1" applyBorder="1" applyAlignment="1" applyProtection="1">
      <alignment vertical="center"/>
    </xf>
    <xf numFmtId="0" fontId="69" fillId="6" borderId="36" xfId="10" applyFont="1" applyFill="1" applyBorder="1" applyAlignment="1" applyProtection="1">
      <alignment vertical="center"/>
    </xf>
    <xf numFmtId="190" fontId="66" fillId="6" borderId="36" xfId="10" applyNumberFormat="1" applyFont="1" applyFill="1" applyBorder="1" applyAlignment="1" applyProtection="1">
      <alignment horizontal="center" vertical="center"/>
    </xf>
    <xf numFmtId="182" fontId="66" fillId="6" borderId="36" xfId="10" applyNumberFormat="1" applyFont="1" applyFill="1" applyBorder="1" applyAlignment="1" applyProtection="1">
      <alignment vertical="center"/>
    </xf>
    <xf numFmtId="0" fontId="66" fillId="6" borderId="36"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7" fillId="6" borderId="0" xfId="10" applyFont="1" applyFill="1" applyBorder="1" applyAlignment="1" applyProtection="1">
      <alignment horizontal="center" vertical="center"/>
    </xf>
    <xf numFmtId="0" fontId="67" fillId="0" borderId="0" xfId="10" applyFont="1" applyFill="1" applyBorder="1" applyAlignment="1" applyProtection="1">
      <alignment horizontal="center" vertical="center"/>
      <protection locked="0"/>
    </xf>
    <xf numFmtId="0" fontId="67" fillId="0" borderId="0" xfId="10" applyFont="1" applyFill="1" applyAlignment="1" applyProtection="1">
      <alignment horizontal="center" vertical="center"/>
      <protection locked="0"/>
    </xf>
    <xf numFmtId="178" fontId="61" fillId="6" borderId="1" xfId="10" applyNumberFormat="1" applyFont="1" applyFill="1" applyBorder="1" applyAlignment="1" applyProtection="1">
      <alignment horizontal="right" vertical="center"/>
    </xf>
    <xf numFmtId="0" fontId="61" fillId="6" borderId="0" xfId="10" applyFont="1" applyFill="1" applyBorder="1" applyAlignment="1" applyProtection="1">
      <alignment vertical="center"/>
      <protection locked="0"/>
    </xf>
    <xf numFmtId="0" fontId="66" fillId="6" borderId="0" xfId="10" applyFont="1" applyFill="1" applyBorder="1" applyAlignment="1" applyProtection="1">
      <alignment vertical="center"/>
      <protection locked="0"/>
    </xf>
    <xf numFmtId="0" fontId="69" fillId="6" borderId="0" xfId="10" applyFont="1" applyFill="1" applyBorder="1" applyAlignment="1" applyProtection="1">
      <alignment vertical="center"/>
      <protection locked="0"/>
    </xf>
    <xf numFmtId="190" fontId="66" fillId="6" borderId="0" xfId="10" applyNumberFormat="1" applyFont="1" applyFill="1" applyBorder="1" applyAlignment="1" applyProtection="1">
      <alignment horizontal="center" vertical="center"/>
      <protection locked="0"/>
    </xf>
    <xf numFmtId="182" fontId="66" fillId="6" borderId="0" xfId="10" applyNumberFormat="1" applyFont="1" applyFill="1" applyBorder="1" applyAlignment="1" applyProtection="1">
      <alignment vertical="center"/>
      <protection locked="0"/>
    </xf>
    <xf numFmtId="0" fontId="66" fillId="6" borderId="0" xfId="10" applyFont="1" applyFill="1" applyBorder="1" applyAlignment="1" applyProtection="1">
      <alignment horizontal="center" vertical="center"/>
      <protection locked="0"/>
    </xf>
    <xf numFmtId="187" fontId="61" fillId="6" borderId="13" xfId="10" applyNumberFormat="1" applyFont="1" applyFill="1" applyBorder="1" applyAlignment="1" applyProtection="1">
      <alignment horizontal="right" vertical="center"/>
    </xf>
    <xf numFmtId="0" fontId="66" fillId="0" borderId="32" xfId="10" applyFont="1" applyFill="1" applyBorder="1" applyAlignment="1" applyProtection="1">
      <alignment vertical="center"/>
      <protection locked="0"/>
    </xf>
    <xf numFmtId="0" fontId="66" fillId="6" borderId="60" xfId="10" applyFont="1" applyFill="1" applyBorder="1" applyAlignment="1" applyProtection="1">
      <alignment horizontal="center" vertical="center"/>
    </xf>
    <xf numFmtId="0" fontId="67" fillId="6" borderId="0" xfId="10" applyFont="1" applyFill="1" applyAlignment="1" applyProtection="1">
      <alignment horizontal="center" vertical="center"/>
    </xf>
    <xf numFmtId="0" fontId="54" fillId="6" borderId="16" xfId="10" applyFont="1" applyFill="1" applyBorder="1" applyAlignment="1" applyProtection="1">
      <alignment vertical="center" wrapText="1"/>
    </xf>
    <xf numFmtId="0" fontId="54" fillId="6" borderId="19" xfId="10" applyFont="1" applyFill="1" applyBorder="1" applyAlignment="1" applyProtection="1">
      <alignment vertical="center" wrapText="1"/>
    </xf>
    <xf numFmtId="190" fontId="48" fillId="6" borderId="3" xfId="10" applyNumberFormat="1" applyFont="1" applyFill="1" applyBorder="1" applyAlignment="1" applyProtection="1">
      <alignment horizontal="center" vertical="center" wrapText="1"/>
    </xf>
    <xf numFmtId="182" fontId="48" fillId="6" borderId="0" xfId="10" applyNumberFormat="1" applyFont="1" applyFill="1" applyBorder="1" applyAlignment="1" applyProtection="1">
      <alignment vertical="center" wrapText="1"/>
      <protection locked="0"/>
    </xf>
    <xf numFmtId="0" fontId="55" fillId="6" borderId="0" xfId="10" applyFont="1" applyFill="1" applyBorder="1" applyAlignment="1" applyProtection="1">
      <alignment horizontal="center" vertical="center"/>
      <protection locked="0"/>
    </xf>
    <xf numFmtId="0" fontId="55" fillId="6" borderId="15" xfId="10" applyFont="1" applyFill="1" applyBorder="1" applyAlignment="1" applyProtection="1">
      <alignment horizontal="center" vertical="center"/>
    </xf>
    <xf numFmtId="0" fontId="55" fillId="0" borderId="0" xfId="10" applyFont="1" applyFill="1" applyAlignment="1" applyProtection="1">
      <alignment horizontal="center" vertical="center"/>
      <protection locked="0"/>
    </xf>
    <xf numFmtId="0" fontId="54" fillId="6" borderId="18" xfId="10" applyFont="1" applyFill="1" applyBorder="1" applyAlignment="1" applyProtection="1">
      <alignment vertical="center" wrapText="1"/>
    </xf>
    <xf numFmtId="0" fontId="54" fillId="6" borderId="0" xfId="10" applyFont="1" applyFill="1" applyBorder="1" applyAlignment="1" applyProtection="1">
      <alignment vertical="center" wrapText="1"/>
    </xf>
    <xf numFmtId="0" fontId="54" fillId="6" borderId="42" xfId="10" applyFont="1" applyFill="1" applyBorder="1" applyAlignment="1" applyProtection="1">
      <alignment vertical="center" wrapText="1"/>
    </xf>
    <xf numFmtId="0" fontId="54" fillId="6" borderId="47" xfId="10" applyFont="1" applyFill="1" applyBorder="1" applyAlignment="1" applyProtection="1">
      <alignment vertical="center" wrapText="1"/>
    </xf>
    <xf numFmtId="0" fontId="50" fillId="6" borderId="63" xfId="10" applyFont="1" applyFill="1" applyBorder="1" applyAlignment="1" applyProtection="1">
      <alignment vertical="center" wrapText="1"/>
    </xf>
    <xf numFmtId="0" fontId="50" fillId="6" borderId="64" xfId="10" applyFont="1" applyFill="1" applyBorder="1" applyAlignment="1" applyProtection="1">
      <alignment vertical="center" wrapText="1"/>
    </xf>
    <xf numFmtId="0" fontId="48" fillId="6" borderId="67" xfId="10" applyNumberFormat="1" applyFont="1" applyFill="1" applyBorder="1" applyAlignment="1" applyProtection="1">
      <alignment horizontal="center" vertical="center" wrapText="1"/>
    </xf>
    <xf numFmtId="185" fontId="48" fillId="0" borderId="70" xfId="10" applyNumberFormat="1" applyFont="1" applyFill="1" applyBorder="1" applyAlignment="1" applyProtection="1">
      <alignment horizontal="center" vertical="center" wrapText="1"/>
      <protection locked="0"/>
    </xf>
    <xf numFmtId="0" fontId="48" fillId="6" borderId="34" xfId="10" applyNumberFormat="1" applyFont="1" applyFill="1" applyBorder="1" applyAlignment="1" applyProtection="1">
      <alignment horizontal="center" vertical="center" wrapText="1"/>
    </xf>
    <xf numFmtId="185" fontId="48" fillId="0" borderId="26" xfId="10" applyNumberFormat="1" applyFont="1" applyFill="1" applyBorder="1" applyAlignment="1" applyProtection="1">
      <alignment horizontal="center" vertical="center" wrapText="1"/>
      <protection locked="0"/>
    </xf>
    <xf numFmtId="0" fontId="48" fillId="6" borderId="3" xfId="10" applyNumberFormat="1" applyFont="1" applyFill="1" applyBorder="1" applyAlignment="1" applyProtection="1">
      <alignment horizontal="center" vertical="center" wrapText="1"/>
    </xf>
    <xf numFmtId="182" fontId="48" fillId="6" borderId="0" xfId="10" applyNumberFormat="1" applyFont="1" applyFill="1" applyBorder="1" applyAlignment="1" applyProtection="1">
      <alignment horizontal="center" vertical="center" wrapText="1"/>
      <protection locked="0"/>
    </xf>
    <xf numFmtId="0" fontId="48" fillId="6" borderId="0" xfId="10" applyFont="1" applyFill="1" applyBorder="1" applyAlignment="1" applyProtection="1">
      <alignment horizontal="center" vertical="center"/>
      <protection locked="0"/>
    </xf>
    <xf numFmtId="189" fontId="48" fillId="6" borderId="5" xfId="10" applyNumberFormat="1" applyFont="1" applyFill="1" applyBorder="1" applyAlignment="1" applyProtection="1">
      <alignment horizontal="center" vertical="center"/>
    </xf>
    <xf numFmtId="49" fontId="48" fillId="6" borderId="3" xfId="10" applyNumberFormat="1" applyFont="1" applyFill="1" applyBorder="1" applyAlignment="1" applyProtection="1">
      <alignment horizontal="center" vertical="center"/>
    </xf>
    <xf numFmtId="0" fontId="48" fillId="6" borderId="15" xfId="10" applyFont="1" applyFill="1" applyBorder="1" applyAlignment="1" applyProtection="1">
      <alignment horizontal="center" vertical="center"/>
    </xf>
    <xf numFmtId="0" fontId="48" fillId="6" borderId="1" xfId="10" applyNumberFormat="1" applyFont="1" applyFill="1" applyBorder="1" applyAlignment="1" applyProtection="1">
      <alignment horizontal="center" vertical="center"/>
    </xf>
    <xf numFmtId="0" fontId="48" fillId="0" borderId="0" xfId="10" applyFont="1" applyFill="1" applyAlignment="1" applyProtection="1">
      <alignment horizontal="center" vertical="center"/>
      <protection locked="0"/>
    </xf>
    <xf numFmtId="49" fontId="48" fillId="2" borderId="26" xfId="10" applyNumberFormat="1" applyFont="1" applyFill="1" applyBorder="1" applyAlignment="1" applyProtection="1">
      <alignment horizontal="center" vertical="center" wrapText="1"/>
      <protection locked="0"/>
    </xf>
    <xf numFmtId="0" fontId="50" fillId="6" borderId="40" xfId="10" applyFont="1" applyFill="1" applyBorder="1" applyAlignment="1" applyProtection="1">
      <alignment vertical="center" wrapText="1"/>
    </xf>
    <xf numFmtId="0" fontId="48" fillId="6" borderId="28" xfId="10" applyFont="1" applyFill="1" applyBorder="1" applyAlignment="1" applyProtection="1">
      <alignment horizontal="center" vertical="center" wrapText="1"/>
    </xf>
    <xf numFmtId="0" fontId="48" fillId="2" borderId="51" xfId="10" applyNumberFormat="1" applyFont="1" applyFill="1" applyBorder="1" applyAlignment="1" applyProtection="1">
      <alignment horizontal="center" vertical="center" wrapText="1"/>
      <protection locked="0"/>
    </xf>
    <xf numFmtId="0" fontId="48" fillId="6" borderId="10" xfId="10" applyNumberFormat="1" applyFont="1" applyFill="1" applyBorder="1" applyAlignment="1" applyProtection="1">
      <alignment horizontal="center" vertical="center" wrapText="1"/>
    </xf>
    <xf numFmtId="0" fontId="48" fillId="6" borderId="35" xfId="10" applyFont="1" applyFill="1" applyBorder="1" applyAlignment="1" applyProtection="1">
      <alignment horizontal="center" vertical="center"/>
      <protection locked="0"/>
    </xf>
    <xf numFmtId="0" fontId="48" fillId="6" borderId="1" xfId="10" applyFont="1" applyFill="1" applyBorder="1" applyAlignment="1" applyProtection="1">
      <alignment horizontal="center" vertical="center" wrapText="1"/>
    </xf>
    <xf numFmtId="0" fontId="48" fillId="6" borderId="1" xfId="10" applyFont="1" applyFill="1" applyBorder="1" applyAlignment="1" applyProtection="1">
      <alignment horizontal="center" vertical="center"/>
    </xf>
    <xf numFmtId="0" fontId="70" fillId="6" borderId="14" xfId="10" applyFont="1" applyFill="1" applyBorder="1" applyAlignment="1" applyProtection="1">
      <alignment vertical="center" wrapText="1"/>
    </xf>
    <xf numFmtId="0" fontId="48" fillId="6" borderId="5" xfId="10" applyFont="1" applyFill="1" applyBorder="1" applyAlignment="1" applyProtection="1">
      <alignment horizontal="center" vertical="center" wrapText="1"/>
    </xf>
    <xf numFmtId="0" fontId="48" fillId="0" borderId="41" xfId="10" applyNumberFormat="1" applyFont="1" applyFill="1" applyBorder="1" applyAlignment="1" applyProtection="1">
      <alignment horizontal="center" vertical="center" wrapText="1"/>
      <protection locked="0"/>
    </xf>
    <xf numFmtId="0" fontId="48" fillId="6" borderId="24" xfId="10" applyNumberFormat="1" applyFont="1" applyFill="1" applyBorder="1" applyAlignment="1" applyProtection="1">
      <alignment horizontal="center" vertical="center" wrapText="1"/>
    </xf>
    <xf numFmtId="49" fontId="48" fillId="0" borderId="41" xfId="10" applyNumberFormat="1" applyFont="1" applyFill="1" applyBorder="1" applyAlignment="1" applyProtection="1">
      <alignment horizontal="center" vertical="center" wrapText="1"/>
      <protection locked="0"/>
    </xf>
    <xf numFmtId="49" fontId="48" fillId="0" borderId="7" xfId="10" applyNumberFormat="1" applyFont="1" applyFill="1" applyBorder="1" applyAlignment="1" applyProtection="1">
      <alignment horizontal="center" vertical="center" wrapText="1"/>
      <protection locked="0"/>
    </xf>
    <xf numFmtId="0" fontId="65" fillId="6" borderId="3" xfId="10" applyNumberFormat="1" applyFont="1" applyFill="1" applyBorder="1" applyAlignment="1" applyProtection="1">
      <alignment horizontal="center" vertical="center" wrapText="1"/>
    </xf>
    <xf numFmtId="182" fontId="71" fillId="6" borderId="0" xfId="10" applyNumberFormat="1" applyFont="1" applyFill="1" applyBorder="1" applyAlignment="1" applyProtection="1">
      <alignment horizontal="center" vertical="center" wrapText="1"/>
      <protection locked="0"/>
    </xf>
    <xf numFmtId="0" fontId="71" fillId="6" borderId="0" xfId="10" applyFont="1" applyFill="1" applyBorder="1" applyAlignment="1" applyProtection="1">
      <alignment horizontal="center" vertical="center"/>
      <protection locked="0"/>
    </xf>
    <xf numFmtId="0" fontId="71" fillId="6" borderId="35"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wrapText="1"/>
    </xf>
    <xf numFmtId="0" fontId="48" fillId="0" borderId="23"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65" fillId="0" borderId="3" xfId="10" applyNumberFormat="1" applyFont="1" applyFill="1" applyBorder="1" applyAlignment="1" applyProtection="1">
      <alignment horizontal="center" vertical="center" wrapText="1"/>
      <protection locked="0"/>
    </xf>
    <xf numFmtId="182" fontId="53" fillId="6" borderId="0" xfId="10" applyNumberFormat="1" applyFont="1" applyFill="1" applyBorder="1" applyAlignment="1" applyProtection="1">
      <alignment horizontal="center" vertical="center" wrapText="1"/>
      <protection locked="0"/>
    </xf>
    <xf numFmtId="0" fontId="55" fillId="6" borderId="35" xfId="10" applyFont="1" applyFill="1" applyBorder="1" applyAlignment="1" applyProtection="1">
      <alignment horizontal="center" vertical="center"/>
      <protection locked="0"/>
    </xf>
    <xf numFmtId="0" fontId="50" fillId="6" borderId="14" xfId="10" applyFont="1" applyFill="1" applyBorder="1" applyAlignment="1" applyProtection="1">
      <alignment vertical="center" wrapText="1"/>
    </xf>
    <xf numFmtId="0" fontId="138" fillId="0" borderId="46" xfId="10" applyFont="1" applyFill="1" applyBorder="1" applyAlignment="1" applyProtection="1">
      <alignment horizontal="center" vertical="center" wrapText="1"/>
      <protection locked="0"/>
    </xf>
    <xf numFmtId="0" fontId="138" fillId="0" borderId="41" xfId="10" applyNumberFormat="1" applyFont="1" applyFill="1" applyBorder="1" applyAlignment="1" applyProtection="1">
      <alignment horizontal="center" vertical="center" wrapText="1"/>
      <protection locked="0"/>
    </xf>
    <xf numFmtId="0" fontId="48" fillId="6" borderId="71" xfId="10" applyNumberFormat="1" applyFont="1" applyFill="1" applyBorder="1" applyAlignment="1" applyProtection="1">
      <alignment horizontal="center" vertical="center" wrapText="1"/>
    </xf>
    <xf numFmtId="49" fontId="138" fillId="0" borderId="41" xfId="10" applyNumberFormat="1" applyFont="1" applyFill="1" applyBorder="1" applyAlignment="1" applyProtection="1">
      <alignment horizontal="center" vertical="center" wrapText="1"/>
      <protection locked="0"/>
    </xf>
    <xf numFmtId="0" fontId="48" fillId="0" borderId="46" xfId="10" applyFont="1" applyFill="1" applyBorder="1" applyAlignment="1" applyProtection="1">
      <alignment horizontal="center" vertical="center" wrapText="1"/>
      <protection locked="0"/>
    </xf>
    <xf numFmtId="0" fontId="55" fillId="0" borderId="37" xfId="10" applyNumberFormat="1" applyFont="1" applyFill="1" applyBorder="1" applyAlignment="1" applyProtection="1">
      <alignment horizontal="center" vertical="center" wrapText="1"/>
      <protection locked="0"/>
    </xf>
    <xf numFmtId="0" fontId="55" fillId="6" borderId="24" xfId="10" applyNumberFormat="1" applyFont="1" applyFill="1" applyBorder="1" applyAlignment="1" applyProtection="1">
      <alignment horizontal="center" vertical="center" wrapText="1"/>
    </xf>
    <xf numFmtId="0" fontId="55" fillId="0" borderId="1" xfId="10" applyNumberFormat="1" applyFont="1" applyFill="1" applyBorder="1" applyAlignment="1" applyProtection="1">
      <alignment horizontal="center" vertical="center" wrapText="1"/>
      <protection locked="0"/>
    </xf>
    <xf numFmtId="0" fontId="55" fillId="0" borderId="23" xfId="10" applyNumberFormat="1" applyFont="1" applyFill="1" applyBorder="1" applyAlignment="1" applyProtection="1">
      <alignment horizontal="center" vertical="center" wrapText="1"/>
      <protection locked="0"/>
    </xf>
    <xf numFmtId="182" fontId="72" fillId="6" borderId="0" xfId="10" applyNumberFormat="1" applyFont="1" applyFill="1" applyBorder="1" applyAlignment="1" applyProtection="1">
      <alignment horizontal="center" vertical="center" wrapText="1"/>
      <protection locked="0"/>
    </xf>
    <xf numFmtId="0" fontId="54" fillId="6" borderId="12" xfId="10" applyFont="1" applyFill="1" applyBorder="1" applyAlignment="1" applyProtection="1">
      <alignment vertical="center" wrapText="1"/>
    </xf>
    <xf numFmtId="0" fontId="48" fillId="0" borderId="33" xfId="10" applyFont="1" applyFill="1" applyBorder="1" applyAlignment="1" applyProtection="1">
      <alignment horizontal="center" vertical="center" wrapText="1"/>
      <protection locked="0"/>
    </xf>
    <xf numFmtId="0" fontId="55" fillId="0" borderId="38" xfId="10" applyNumberFormat="1" applyFont="1" applyFill="1" applyBorder="1" applyAlignment="1" applyProtection="1">
      <alignment horizontal="center" vertical="center" wrapText="1"/>
      <protection locked="0"/>
    </xf>
    <xf numFmtId="0" fontId="55" fillId="6" borderId="49" xfId="10" applyNumberFormat="1" applyFont="1" applyFill="1" applyBorder="1" applyAlignment="1" applyProtection="1">
      <alignment horizontal="center" vertical="center" wrapText="1"/>
    </xf>
    <xf numFmtId="0" fontId="54" fillId="6" borderId="40" xfId="10" applyFont="1" applyFill="1" applyBorder="1" applyAlignment="1" applyProtection="1">
      <alignment vertical="center" wrapText="1"/>
    </xf>
    <xf numFmtId="0" fontId="48" fillId="6" borderId="29" xfId="10" applyFont="1" applyFill="1" applyBorder="1" applyAlignment="1" applyProtection="1">
      <alignment horizontal="center" vertical="center" wrapText="1"/>
    </xf>
    <xf numFmtId="0" fontId="55" fillId="6" borderId="62" xfId="10" applyNumberFormat="1" applyFont="1" applyFill="1" applyBorder="1" applyAlignment="1" applyProtection="1">
      <alignment horizontal="center" vertical="center" wrapText="1"/>
    </xf>
    <xf numFmtId="49" fontId="55" fillId="0" borderId="39" xfId="10" applyNumberFormat="1" applyFont="1" applyFill="1" applyBorder="1" applyAlignment="1" applyProtection="1">
      <alignment horizontal="center" vertical="center" wrapText="1"/>
      <protection locked="0"/>
    </xf>
    <xf numFmtId="49" fontId="55" fillId="0" borderId="40" xfId="10" applyNumberFormat="1" applyFont="1" applyFill="1" applyBorder="1" applyAlignment="1" applyProtection="1">
      <alignment horizontal="center" vertical="center" wrapText="1"/>
      <protection locked="0"/>
    </xf>
    <xf numFmtId="0" fontId="55" fillId="6" borderId="1" xfId="10" applyFont="1" applyFill="1" applyBorder="1" applyAlignment="1" applyProtection="1">
      <alignment horizontal="center" vertical="center" wrapText="1"/>
    </xf>
    <xf numFmtId="189" fontId="55" fillId="6" borderId="5" xfId="10" applyNumberFormat="1" applyFont="1" applyFill="1" applyBorder="1" applyAlignment="1" applyProtection="1">
      <alignment horizontal="center" vertical="center"/>
    </xf>
    <xf numFmtId="49" fontId="55" fillId="6" borderId="3" xfId="10" applyNumberFormat="1" applyFont="1" applyFill="1" applyBorder="1" applyAlignment="1" applyProtection="1">
      <alignment horizontal="center" vertical="center"/>
    </xf>
    <xf numFmtId="0" fontId="55" fillId="6" borderId="1" xfId="10" applyFont="1" applyFill="1" applyBorder="1" applyAlignment="1" applyProtection="1">
      <alignment horizontal="center" vertical="center"/>
    </xf>
    <xf numFmtId="0" fontId="55" fillId="6" borderId="1" xfId="10" applyNumberFormat="1" applyFont="1" applyFill="1" applyBorder="1" applyAlignment="1" applyProtection="1">
      <alignment horizontal="center" vertical="center"/>
    </xf>
    <xf numFmtId="0" fontId="55" fillId="6" borderId="0" xfId="10" applyFont="1" applyFill="1" applyBorder="1" applyAlignment="1" applyProtection="1">
      <alignment horizontal="center" vertical="center"/>
    </xf>
    <xf numFmtId="0" fontId="55" fillId="2" borderId="41" xfId="10" applyNumberFormat="1" applyFont="1" applyFill="1" applyBorder="1" applyAlignment="1" applyProtection="1">
      <alignment horizontal="center" vertical="center" wrapText="1"/>
      <protection locked="0"/>
    </xf>
    <xf numFmtId="0" fontId="55" fillId="6" borderId="8" xfId="10" applyNumberFormat="1" applyFont="1" applyFill="1" applyBorder="1" applyAlignment="1" applyProtection="1">
      <alignment horizontal="center" vertical="center" wrapText="1"/>
    </xf>
    <xf numFmtId="49" fontId="55" fillId="2" borderId="7" xfId="10" applyNumberFormat="1" applyFont="1" applyFill="1" applyBorder="1" applyAlignment="1" applyProtection="1">
      <alignment horizontal="center" vertical="center" wrapText="1"/>
      <protection locked="0"/>
    </xf>
    <xf numFmtId="0" fontId="55" fillId="6" borderId="53" xfId="10" applyNumberFormat="1" applyFont="1" applyFill="1" applyBorder="1" applyAlignment="1" applyProtection="1">
      <alignment horizontal="center" vertical="center" wrapText="1"/>
    </xf>
    <xf numFmtId="49" fontId="55" fillId="2" borderId="41" xfId="10" applyNumberFormat="1" applyFont="1" applyFill="1" applyBorder="1" applyAlignment="1" applyProtection="1">
      <alignment horizontal="center" vertical="center" wrapText="1"/>
      <protection locked="0"/>
    </xf>
    <xf numFmtId="0" fontId="48" fillId="6" borderId="46" xfId="10" applyFont="1" applyFill="1" applyBorder="1" applyAlignment="1" applyProtection="1">
      <alignment horizontal="center" vertical="center" wrapText="1"/>
    </xf>
    <xf numFmtId="49" fontId="55" fillId="6" borderId="11" xfId="10" applyNumberFormat="1" applyFont="1" applyFill="1" applyBorder="1" applyAlignment="1" applyProtection="1">
      <alignment horizontal="center" vertical="center" wrapText="1"/>
    </xf>
    <xf numFmtId="49" fontId="55" fillId="0" borderId="35" xfId="10" applyNumberFormat="1" applyFont="1" applyFill="1" applyBorder="1" applyAlignment="1" applyProtection="1">
      <alignment horizontal="center" vertical="center" wrapText="1"/>
      <protection locked="0"/>
    </xf>
    <xf numFmtId="0" fontId="55" fillId="6" borderId="61" xfId="10" applyNumberFormat="1" applyFont="1" applyFill="1" applyBorder="1" applyAlignment="1" applyProtection="1">
      <alignment horizontal="center" vertical="center" wrapText="1"/>
    </xf>
    <xf numFmtId="0" fontId="48" fillId="6" borderId="4" xfId="10" applyFont="1" applyFill="1" applyBorder="1" applyAlignment="1" applyProtection="1">
      <alignment horizontal="center" vertical="center" wrapText="1"/>
    </xf>
    <xf numFmtId="0" fontId="55" fillId="2" borderId="14" xfId="10" applyNumberFormat="1" applyFont="1" applyFill="1" applyBorder="1" applyAlignment="1" applyProtection="1">
      <alignment horizontal="center" vertical="center" wrapText="1"/>
      <protection locked="0"/>
    </xf>
    <xf numFmtId="49" fontId="55" fillId="2" borderId="35" xfId="10" applyNumberFormat="1" applyFont="1" applyFill="1" applyBorder="1" applyAlignment="1" applyProtection="1">
      <alignment horizontal="center" vertical="center" wrapText="1"/>
      <protection locked="0"/>
    </xf>
    <xf numFmtId="49" fontId="55" fillId="0" borderId="22" xfId="10" applyNumberFormat="1" applyFont="1" applyFill="1" applyBorder="1" applyAlignment="1" applyProtection="1">
      <alignment horizontal="center" vertical="center" wrapText="1"/>
      <protection locked="0"/>
    </xf>
    <xf numFmtId="0" fontId="55" fillId="6" borderId="11" xfId="10" applyNumberFormat="1" applyFont="1" applyFill="1" applyBorder="1" applyAlignment="1" applyProtection="1">
      <alignment horizontal="center" vertical="center" wrapText="1"/>
    </xf>
    <xf numFmtId="0" fontId="48" fillId="6" borderId="58" xfId="10" applyFont="1" applyFill="1" applyBorder="1" applyAlignment="1" applyProtection="1">
      <alignment horizontal="center" vertical="center" wrapText="1"/>
    </xf>
    <xf numFmtId="0" fontId="55" fillId="6" borderId="37" xfId="10" applyNumberFormat="1" applyFont="1" applyFill="1" applyBorder="1" applyAlignment="1" applyProtection="1">
      <alignment horizontal="center" vertical="center" wrapText="1"/>
    </xf>
    <xf numFmtId="0" fontId="55" fillId="2" borderId="37" xfId="10" applyNumberFormat="1" applyFont="1" applyFill="1" applyBorder="1" applyAlignment="1" applyProtection="1">
      <alignment horizontal="center" vertical="center" wrapText="1"/>
      <protection locked="0"/>
    </xf>
    <xf numFmtId="0" fontId="65" fillId="6" borderId="3" xfId="10" applyNumberFormat="1" applyFont="1" applyFill="1" applyBorder="1" applyAlignment="1" applyProtection="1">
      <alignment horizontal="center" vertical="center" wrapText="1"/>
      <protection locked="0"/>
    </xf>
    <xf numFmtId="0" fontId="50" fillId="6" borderId="18" xfId="10" applyFont="1" applyFill="1" applyBorder="1" applyAlignment="1" applyProtection="1">
      <alignment vertical="center" wrapText="1"/>
    </xf>
    <xf numFmtId="0" fontId="48" fillId="2" borderId="69" xfId="10" applyNumberFormat="1" applyFont="1" applyFill="1" applyBorder="1" applyAlignment="1" applyProtection="1">
      <alignment horizontal="center" vertical="center" wrapText="1"/>
      <protection locked="0"/>
    </xf>
    <xf numFmtId="0" fontId="48" fillId="2" borderId="60" xfId="10" applyNumberFormat="1" applyFont="1" applyFill="1" applyBorder="1" applyAlignment="1" applyProtection="1">
      <alignment horizontal="center" vertical="center" wrapText="1"/>
      <protection locked="0"/>
    </xf>
    <xf numFmtId="0" fontId="55" fillId="2" borderId="54" xfId="10" applyNumberFormat="1" applyFont="1" applyFill="1" applyBorder="1" applyAlignment="1" applyProtection="1">
      <alignment horizontal="center" vertical="center" wrapText="1"/>
      <protection locked="0"/>
    </xf>
    <xf numFmtId="49" fontId="55" fillId="0" borderId="14" xfId="10" applyNumberFormat="1" applyFont="1" applyFill="1" applyBorder="1" applyAlignment="1" applyProtection="1">
      <alignment horizontal="center" vertical="center" wrapText="1"/>
      <protection locked="0"/>
    </xf>
    <xf numFmtId="0" fontId="62" fillId="6" borderId="3" xfId="10" applyNumberFormat="1" applyFont="1" applyFill="1" applyBorder="1" applyAlignment="1" applyProtection="1">
      <alignment horizontal="center" vertical="center" wrapText="1"/>
    </xf>
    <xf numFmtId="0" fontId="62" fillId="0" borderId="3" xfId="10" applyNumberFormat="1" applyFont="1" applyFill="1" applyBorder="1" applyAlignment="1" applyProtection="1">
      <alignment horizontal="center" vertical="center" wrapText="1"/>
      <protection locked="0"/>
    </xf>
    <xf numFmtId="0" fontId="48" fillId="0" borderId="5" xfId="10" applyFont="1" applyFill="1" applyBorder="1" applyAlignment="1" applyProtection="1">
      <alignment horizontal="center" vertical="center" wrapText="1"/>
      <protection locked="0"/>
    </xf>
    <xf numFmtId="0" fontId="55" fillId="0" borderId="3" xfId="10" applyNumberFormat="1" applyFont="1" applyFill="1" applyBorder="1" applyAlignment="1" applyProtection="1">
      <alignment horizontal="center" vertical="center" wrapText="1"/>
      <protection locked="0"/>
    </xf>
    <xf numFmtId="0" fontId="55" fillId="6" borderId="18" xfId="10" applyFont="1" applyFill="1" applyBorder="1" applyAlignment="1" applyProtection="1">
      <alignment horizontal="center" vertical="center"/>
    </xf>
    <xf numFmtId="0" fontId="55" fillId="0" borderId="5" xfId="10" applyFont="1" applyFill="1" applyBorder="1" applyAlignment="1" applyProtection="1">
      <alignment horizontal="center" vertical="center"/>
      <protection locked="0"/>
    </xf>
    <xf numFmtId="0" fontId="73" fillId="6" borderId="42" xfId="10" applyFont="1" applyFill="1" applyBorder="1" applyAlignment="1" applyProtection="1">
      <alignment vertical="center" textRotation="255" wrapText="1"/>
    </xf>
    <xf numFmtId="0" fontId="53" fillId="0" borderId="33" xfId="10" applyFont="1" applyFill="1" applyBorder="1" applyAlignment="1" applyProtection="1">
      <alignment horizontal="center" vertical="center"/>
      <protection locked="0"/>
    </xf>
    <xf numFmtId="0" fontId="55" fillId="0" borderId="25" xfId="10" applyNumberFormat="1" applyFont="1" applyFill="1" applyBorder="1" applyAlignment="1" applyProtection="1">
      <alignment horizontal="center" vertical="center" wrapText="1"/>
      <protection locked="0"/>
    </xf>
    <xf numFmtId="0" fontId="48" fillId="6" borderId="49" xfId="10" applyNumberFormat="1" applyFont="1" applyFill="1" applyBorder="1" applyAlignment="1" applyProtection="1">
      <alignment horizontal="center" vertical="center" wrapText="1"/>
    </xf>
    <xf numFmtId="0" fontId="55" fillId="0" borderId="66" xfId="10" applyNumberFormat="1" applyFont="1" applyFill="1" applyBorder="1" applyAlignment="1" applyProtection="1">
      <alignment horizontal="center" vertical="center" wrapText="1"/>
      <protection locked="0"/>
    </xf>
    <xf numFmtId="0" fontId="53" fillId="6" borderId="0" xfId="10" applyFont="1" applyFill="1" applyBorder="1" applyAlignment="1" applyProtection="1">
      <alignment horizontal="center" vertical="center"/>
      <protection locked="0"/>
    </xf>
    <xf numFmtId="0" fontId="53" fillId="6" borderId="35" xfId="10" applyFont="1" applyFill="1" applyBorder="1" applyAlignment="1" applyProtection="1">
      <alignment horizontal="center" vertical="center"/>
      <protection locked="0"/>
    </xf>
    <xf numFmtId="189"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4" fillId="6" borderId="14" xfId="10" applyFont="1" applyFill="1" applyBorder="1" applyAlignment="1" applyProtection="1">
      <alignment vertical="center" textRotation="255" wrapText="1"/>
    </xf>
    <xf numFmtId="0" fontId="55" fillId="0" borderId="6" xfId="10" applyNumberFormat="1" applyFont="1" applyFill="1" applyBorder="1" applyAlignment="1" applyProtection="1">
      <alignment horizontal="center" vertical="center" wrapText="1"/>
      <protection locked="0"/>
    </xf>
    <xf numFmtId="0" fontId="55" fillId="6" borderId="10" xfId="10" applyNumberFormat="1" applyFont="1" applyFill="1" applyBorder="1" applyAlignment="1" applyProtection="1">
      <alignment horizontal="center" vertical="center" wrapText="1"/>
    </xf>
    <xf numFmtId="49" fontId="55" fillId="2" borderId="23" xfId="10" applyNumberFormat="1" applyFont="1" applyFill="1" applyBorder="1" applyAlignment="1" applyProtection="1">
      <alignment horizontal="center" vertical="center" wrapText="1"/>
      <protection locked="0"/>
    </xf>
    <xf numFmtId="0" fontId="50" fillId="6" borderId="14" xfId="10" applyFont="1" applyFill="1" applyBorder="1" applyAlignment="1" applyProtection="1">
      <alignment vertical="center" textRotation="255" wrapText="1"/>
    </xf>
    <xf numFmtId="9" fontId="48" fillId="2" borderId="37" xfId="10" applyNumberFormat="1" applyFont="1" applyFill="1" applyBorder="1" applyAlignment="1" applyProtection="1">
      <alignment horizontal="center" vertical="center" wrapText="1"/>
      <protection locked="0"/>
    </xf>
    <xf numFmtId="0" fontId="73" fillId="6" borderId="14" xfId="10" applyFont="1" applyFill="1" applyBorder="1" applyAlignment="1" applyProtection="1">
      <alignment vertical="center" textRotation="255" wrapText="1"/>
    </xf>
    <xf numFmtId="0" fontId="53" fillId="0" borderId="38"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75" fillId="6" borderId="3" xfId="10" applyNumberFormat="1" applyFont="1" applyFill="1" applyBorder="1" applyAlignment="1" applyProtection="1">
      <alignment horizontal="center" vertical="center" wrapText="1"/>
    </xf>
    <xf numFmtId="49" fontId="54" fillId="6" borderId="51" xfId="10" applyNumberFormat="1" applyFont="1" applyFill="1" applyBorder="1" applyAlignment="1" applyProtection="1">
      <alignment vertical="center"/>
    </xf>
    <xf numFmtId="49" fontId="54" fillId="2" borderId="10" xfId="10" applyNumberFormat="1" applyFont="1" applyFill="1" applyBorder="1" applyAlignment="1" applyProtection="1">
      <alignment vertical="center"/>
      <protection locked="0"/>
    </xf>
    <xf numFmtId="0" fontId="54" fillId="6" borderId="21" xfId="10" applyFont="1" applyFill="1" applyBorder="1" applyAlignment="1" applyProtection="1">
      <alignment vertical="center" wrapText="1"/>
    </xf>
    <xf numFmtId="0" fontId="74" fillId="3" borderId="20" xfId="10" applyFont="1" applyFill="1" applyBorder="1" applyAlignment="1" applyProtection="1">
      <alignment vertical="center" wrapText="1"/>
      <protection locked="0"/>
    </xf>
    <xf numFmtId="0" fontId="74" fillId="6" borderId="20" xfId="10" applyFont="1" applyFill="1" applyBorder="1" applyAlignment="1" applyProtection="1">
      <alignment vertical="center" wrapText="1"/>
    </xf>
    <xf numFmtId="0" fontId="74" fillId="3" borderId="51" xfId="10" applyFont="1" applyFill="1" applyBorder="1" applyAlignment="1" applyProtection="1">
      <alignment vertical="center" wrapText="1"/>
      <protection locked="0"/>
    </xf>
    <xf numFmtId="0" fontId="74" fillId="6" borderId="21" xfId="10" applyFont="1" applyFill="1" applyBorder="1" applyAlignment="1" applyProtection="1">
      <alignment vertical="center" wrapText="1"/>
    </xf>
    <xf numFmtId="190" fontId="55" fillId="6" borderId="3" xfId="10" applyNumberFormat="1" applyFont="1" applyFill="1" applyBorder="1" applyAlignment="1" applyProtection="1">
      <alignment horizontal="center" vertical="center"/>
    </xf>
    <xf numFmtId="182" fontId="55" fillId="6" borderId="0" xfId="10" applyNumberFormat="1" applyFont="1" applyFill="1" applyBorder="1" applyAlignment="1" applyProtection="1">
      <alignment vertical="center" wrapText="1"/>
      <protection locked="0"/>
    </xf>
    <xf numFmtId="0" fontId="55" fillId="6" borderId="0" xfId="10" applyFont="1" applyFill="1" applyAlignment="1" applyProtection="1">
      <alignment horizontal="center" vertical="center"/>
      <protection locked="0"/>
    </xf>
    <xf numFmtId="0" fontId="55" fillId="6" borderId="0" xfId="10" applyFont="1" applyFill="1" applyAlignment="1" applyProtection="1">
      <alignment horizontal="center" vertical="center"/>
    </xf>
    <xf numFmtId="0" fontId="55" fillId="6" borderId="2" xfId="10" applyFont="1" applyFill="1" applyBorder="1" applyAlignment="1" applyProtection="1">
      <alignment vertical="center" textRotation="255" wrapText="1"/>
    </xf>
    <xf numFmtId="49" fontId="54" fillId="6" borderId="38" xfId="10" applyNumberFormat="1" applyFont="1" applyFill="1" applyBorder="1" applyAlignment="1" applyProtection="1">
      <alignment vertical="center"/>
    </xf>
    <xf numFmtId="49" fontId="54" fillId="6" borderId="68" xfId="10" applyNumberFormat="1" applyFont="1" applyFill="1" applyBorder="1" applyAlignment="1" applyProtection="1">
      <alignment vertical="center"/>
    </xf>
    <xf numFmtId="187" fontId="54" fillId="6" borderId="52" xfId="10" applyNumberFormat="1" applyFont="1" applyFill="1" applyBorder="1" applyAlignment="1" applyProtection="1">
      <alignment vertical="center" wrapText="1"/>
    </xf>
    <xf numFmtId="0" fontId="54" fillId="6" borderId="68" xfId="10" applyFont="1" applyFill="1" applyBorder="1" applyAlignment="1" applyProtection="1">
      <alignment vertical="center" wrapText="1"/>
    </xf>
    <xf numFmtId="0" fontId="54" fillId="6" borderId="52" xfId="10" applyFont="1" applyFill="1" applyBorder="1" applyAlignment="1" applyProtection="1">
      <alignment vertical="center" wrapText="1"/>
    </xf>
    <xf numFmtId="187" fontId="54" fillId="6" borderId="38" xfId="10" applyNumberFormat="1" applyFont="1" applyFill="1" applyBorder="1" applyAlignment="1" applyProtection="1">
      <alignment vertical="center" wrapText="1"/>
    </xf>
    <xf numFmtId="190" fontId="55" fillId="6" borderId="3" xfId="10" applyNumberFormat="1" applyFont="1" applyFill="1" applyBorder="1" applyAlignment="1" applyProtection="1">
      <alignment horizontal="center" vertical="center" wrapText="1"/>
    </xf>
    <xf numFmtId="49" fontId="54" fillId="0" borderId="42" xfId="10" applyNumberFormat="1" applyFont="1" applyFill="1" applyBorder="1" applyAlignment="1" applyProtection="1">
      <alignment vertical="center"/>
      <protection locked="0"/>
    </xf>
    <xf numFmtId="49" fontId="54" fillId="0" borderId="43" xfId="10" applyNumberFormat="1" applyFont="1" applyFill="1" applyBorder="1" applyAlignment="1" applyProtection="1">
      <alignment vertical="center"/>
      <protection locked="0"/>
    </xf>
    <xf numFmtId="187" fontId="54" fillId="6" borderId="47" xfId="10" applyNumberFormat="1" applyFont="1" applyFill="1" applyBorder="1" applyAlignment="1" applyProtection="1">
      <alignment vertical="center" wrapText="1"/>
    </xf>
    <xf numFmtId="190" fontId="55" fillId="6" borderId="1" xfId="10" applyNumberFormat="1" applyFont="1" applyFill="1" applyBorder="1" applyAlignment="1" applyProtection="1">
      <alignment horizontal="center" vertical="center" wrapText="1"/>
    </xf>
    <xf numFmtId="9" fontId="55" fillId="6" borderId="0" xfId="10" applyNumberFormat="1" applyFont="1" applyFill="1" applyAlignment="1" applyProtection="1">
      <alignment horizontal="center" vertical="center"/>
      <protection locked="0"/>
    </xf>
    <xf numFmtId="190" fontId="55" fillId="6" borderId="0" xfId="10" applyNumberFormat="1" applyFont="1" applyFill="1" applyAlignment="1" applyProtection="1">
      <alignment horizontal="center" vertical="center"/>
      <protection locked="0"/>
    </xf>
    <xf numFmtId="182" fontId="55" fillId="6" borderId="0" xfId="10" applyNumberFormat="1" applyFont="1" applyFill="1" applyAlignment="1" applyProtection="1">
      <alignment horizontal="center" vertical="center"/>
      <protection locked="0"/>
    </xf>
    <xf numFmtId="0" fontId="54" fillId="6" borderId="1" xfId="10" applyFont="1" applyFill="1" applyBorder="1" applyAlignment="1" applyProtection="1">
      <alignment horizontal="center" vertical="center" wrapText="1"/>
    </xf>
    <xf numFmtId="182" fontId="55" fillId="6" borderId="5" xfId="10" applyNumberFormat="1" applyFont="1" applyFill="1" applyBorder="1" applyAlignment="1" applyProtection="1">
      <alignment horizontal="center" vertical="center"/>
    </xf>
    <xf numFmtId="182" fontId="55" fillId="6" borderId="3" xfId="10" applyNumberFormat="1" applyFont="1" applyFill="1" applyBorder="1" applyAlignment="1" applyProtection="1">
      <alignment vertical="center"/>
    </xf>
    <xf numFmtId="0" fontId="54" fillId="6" borderId="3" xfId="10" applyFont="1" applyFill="1" applyBorder="1" applyAlignment="1" applyProtection="1">
      <alignment horizontal="center" vertical="center" wrapText="1"/>
    </xf>
    <xf numFmtId="0" fontId="72" fillId="6" borderId="0" xfId="10" applyFont="1" applyFill="1" applyAlignment="1" applyProtection="1">
      <alignment horizontal="center" vertical="center"/>
      <protection locked="0"/>
    </xf>
    <xf numFmtId="190" fontId="72" fillId="6" borderId="0" xfId="10" applyNumberFormat="1" applyFont="1" applyFill="1" applyAlignment="1" applyProtection="1">
      <alignment horizontal="center" vertical="center"/>
      <protection locked="0"/>
    </xf>
    <xf numFmtId="182" fontId="72" fillId="6" borderId="0" xfId="10" applyNumberFormat="1" applyFont="1" applyFill="1" applyAlignment="1" applyProtection="1">
      <alignment horizontal="center" vertical="center"/>
      <protection locked="0"/>
    </xf>
    <xf numFmtId="0" fontId="72" fillId="0" borderId="0" xfId="10" applyFont="1" applyFill="1" applyAlignment="1" applyProtection="1">
      <alignment horizontal="center" vertical="center"/>
      <protection locked="0"/>
    </xf>
    <xf numFmtId="14" fontId="55" fillId="6" borderId="0" xfId="10" applyNumberFormat="1" applyFont="1" applyFill="1" applyAlignment="1" applyProtection="1">
      <alignment horizontal="center" vertical="center"/>
      <protection locked="0"/>
    </xf>
    <xf numFmtId="0" fontId="72" fillId="6" borderId="0" xfId="10" applyFont="1" applyFill="1" applyAlignment="1" applyProtection="1">
      <alignment horizontal="center" vertical="center"/>
    </xf>
    <xf numFmtId="14" fontId="55" fillId="6" borderId="6" xfId="10" applyNumberFormat="1" applyFont="1" applyFill="1" applyBorder="1" applyAlignment="1" applyProtection="1">
      <alignment horizontal="left" vertical="center"/>
    </xf>
    <xf numFmtId="177" fontId="55" fillId="6" borderId="9" xfId="10" applyNumberFormat="1" applyFont="1" applyFill="1" applyBorder="1" applyAlignment="1" applyProtection="1">
      <alignment horizontal="center" vertical="center"/>
    </xf>
    <xf numFmtId="0" fontId="55" fillId="6" borderId="19" xfId="10" applyFont="1" applyFill="1" applyBorder="1" applyAlignment="1" applyProtection="1">
      <alignment horizontal="center" vertical="center" wrapText="1"/>
      <protection locked="0"/>
    </xf>
    <xf numFmtId="0" fontId="55" fillId="6" borderId="9" xfId="10" applyFont="1" applyFill="1" applyBorder="1" applyAlignment="1" applyProtection="1">
      <alignment horizontal="center" vertical="center"/>
    </xf>
    <xf numFmtId="0" fontId="55" fillId="6" borderId="28" xfId="10" applyFont="1" applyFill="1" applyBorder="1" applyAlignment="1" applyProtection="1">
      <alignment horizontal="center" vertical="center"/>
    </xf>
    <xf numFmtId="0" fontId="105" fillId="6" borderId="10" xfId="10" applyFont="1" applyFill="1" applyBorder="1" applyAlignment="1" applyProtection="1">
      <alignment horizontal="center" vertical="center"/>
    </xf>
    <xf numFmtId="0" fontId="105" fillId="6" borderId="96" xfId="10" applyFont="1" applyFill="1" applyBorder="1" applyAlignment="1" applyProtection="1">
      <alignment horizontal="center" vertical="center"/>
    </xf>
    <xf numFmtId="0" fontId="107" fillId="6" borderId="0" xfId="10" applyFont="1" applyFill="1" applyAlignment="1" applyProtection="1">
      <alignment horizontal="left" vertical="center"/>
      <protection locked="0"/>
    </xf>
    <xf numFmtId="0" fontId="57" fillId="6" borderId="23" xfId="10" applyFont="1" applyFill="1" applyBorder="1" applyAlignment="1" applyProtection="1"/>
    <xf numFmtId="0" fontId="57" fillId="6" borderId="1" xfId="10" applyFont="1" applyFill="1" applyBorder="1" applyAlignment="1" applyProtection="1">
      <alignment horizontal="center"/>
    </xf>
    <xf numFmtId="0" fontId="76" fillId="6" borderId="1" xfId="10" applyFont="1" applyFill="1" applyBorder="1" applyAlignment="1" applyProtection="1">
      <alignment horizontal="center" vertical="center"/>
      <protection locked="0"/>
    </xf>
    <xf numFmtId="0" fontId="106" fillId="6" borderId="24" xfId="10" applyFont="1" applyFill="1" applyBorder="1" applyAlignment="1" applyProtection="1">
      <alignment horizontal="center" vertical="center"/>
    </xf>
    <xf numFmtId="0" fontId="106" fillId="6" borderId="86" xfId="10" applyFont="1" applyFill="1" applyBorder="1" applyAlignment="1" applyProtection="1">
      <alignment horizontal="center" vertical="center"/>
    </xf>
    <xf numFmtId="0" fontId="76" fillId="6" borderId="0" xfId="10" applyFont="1" applyFill="1" applyAlignment="1" applyProtection="1">
      <alignment horizontal="center" vertical="center"/>
      <protection locked="0"/>
    </xf>
    <xf numFmtId="0" fontId="76" fillId="0" borderId="0" xfId="10" applyFont="1" applyFill="1" applyAlignment="1" applyProtection="1">
      <alignment horizontal="center" vertical="center"/>
      <protection locked="0"/>
    </xf>
    <xf numFmtId="9" fontId="76" fillId="5" borderId="1" xfId="10" applyNumberFormat="1" applyFont="1" applyFill="1" applyBorder="1" applyAlignment="1" applyProtection="1">
      <alignment horizontal="center" vertical="center"/>
      <protection locked="0"/>
    </xf>
    <xf numFmtId="0" fontId="76" fillId="6" borderId="1" xfId="10" applyFont="1" applyFill="1" applyBorder="1" applyAlignment="1" applyProtection="1">
      <alignment horizontal="center" vertical="center"/>
    </xf>
    <xf numFmtId="0" fontId="106" fillId="0" borderId="86" xfId="10" applyFont="1" applyFill="1" applyBorder="1" applyAlignment="1" applyProtection="1">
      <alignment horizontal="center" vertical="center"/>
      <protection locked="0"/>
    </xf>
    <xf numFmtId="0" fontId="106" fillId="6" borderId="23" xfId="10" applyFont="1" applyFill="1" applyBorder="1" applyAlignment="1" applyProtection="1">
      <alignment horizontal="center" vertical="center"/>
    </xf>
    <xf numFmtId="0" fontId="76" fillId="5" borderId="23" xfId="10" applyFont="1" applyFill="1" applyBorder="1" applyAlignment="1" applyProtection="1">
      <alignment horizontal="center" vertical="center"/>
      <protection locked="0"/>
    </xf>
    <xf numFmtId="0" fontId="106" fillId="6" borderId="25" xfId="10" applyFont="1" applyFill="1" applyBorder="1" applyAlignment="1" applyProtection="1">
      <alignment horizontal="center" vertical="center"/>
    </xf>
    <xf numFmtId="0" fontId="76" fillId="6" borderId="32" xfId="10" applyFont="1" applyFill="1" applyBorder="1" applyAlignment="1" applyProtection="1">
      <alignment horizontal="center" vertical="center"/>
    </xf>
    <xf numFmtId="0" fontId="106" fillId="6" borderId="49" xfId="10" applyFont="1" applyFill="1" applyBorder="1" applyAlignment="1" applyProtection="1">
      <alignment horizontal="center" vertical="center"/>
    </xf>
    <xf numFmtId="0" fontId="106" fillId="0" borderId="97" xfId="10" applyFont="1" applyFill="1" applyBorder="1" applyAlignment="1" applyProtection="1">
      <alignment horizontal="center" vertical="center"/>
      <protection locked="0"/>
    </xf>
    <xf numFmtId="0" fontId="57" fillId="6" borderId="32" xfId="10" applyFont="1" applyFill="1" applyBorder="1" applyAlignment="1" applyProtection="1">
      <alignment horizontal="center"/>
    </xf>
    <xf numFmtId="178" fontId="58" fillId="6" borderId="49" xfId="10" applyNumberFormat="1" applyFont="1" applyFill="1" applyBorder="1" applyAlignment="1" applyProtection="1">
      <alignment horizontal="center"/>
    </xf>
    <xf numFmtId="0" fontId="57" fillId="6" borderId="0" xfId="10" applyFont="1" applyFill="1" applyAlignment="1" applyProtection="1"/>
    <xf numFmtId="0" fontId="57" fillId="6" borderId="0" xfId="10" applyFont="1" applyFill="1" applyAlignment="1" applyProtection="1">
      <protection locked="0"/>
    </xf>
    <xf numFmtId="14" fontId="55" fillId="6" borderId="0" xfId="10" applyNumberFormat="1" applyFont="1" applyFill="1" applyAlignment="1" applyProtection="1">
      <alignment horizontal="center" vertical="center"/>
    </xf>
    <xf numFmtId="0" fontId="60" fillId="6" borderId="0" xfId="10" applyFont="1" applyFill="1" applyBorder="1" applyAlignment="1" applyProtection="1"/>
    <xf numFmtId="0" fontId="55" fillId="6" borderId="0" xfId="10" applyFont="1" applyFill="1" applyBorder="1" applyAlignment="1" applyProtection="1"/>
    <xf numFmtId="0" fontId="55" fillId="6" borderId="0" xfId="10" applyFont="1" applyFill="1" applyBorder="1" applyAlignment="1" applyProtection="1">
      <alignment horizontal="center"/>
    </xf>
    <xf numFmtId="0" fontId="55" fillId="6" borderId="0" xfId="10" applyFont="1" applyFill="1" applyBorder="1" applyAlignment="1" applyProtection="1">
      <protection locked="0"/>
    </xf>
    <xf numFmtId="190" fontId="55" fillId="6" borderId="0" xfId="10" applyNumberFormat="1" applyFont="1" applyFill="1" applyBorder="1" applyAlignment="1" applyProtection="1">
      <alignment horizontal="center"/>
      <protection locked="0"/>
    </xf>
    <xf numFmtId="182" fontId="55" fillId="6" borderId="0" xfId="10" applyNumberFormat="1" applyFont="1" applyFill="1" applyBorder="1" applyAlignment="1" applyProtection="1">
      <protection locked="0"/>
    </xf>
    <xf numFmtId="0" fontId="55" fillId="0" borderId="0" xfId="10" applyFont="1" applyBorder="1" applyAlignment="1" applyProtection="1">
      <protection locked="0"/>
    </xf>
    <xf numFmtId="9" fontId="48" fillId="0" borderId="0" xfId="10" applyNumberFormat="1" applyFont="1" applyFill="1" applyBorder="1" applyAlignment="1" applyProtection="1">
      <alignment horizontal="center" vertical="center" wrapText="1"/>
      <protection locked="0"/>
    </xf>
    <xf numFmtId="0" fontId="50" fillId="6" borderId="16" xfId="10" applyNumberFormat="1" applyFont="1" applyFill="1" applyBorder="1" applyAlignment="1" applyProtection="1">
      <alignment vertical="center"/>
    </xf>
    <xf numFmtId="0" fontId="50" fillId="6" borderId="39" xfId="10" applyNumberFormat="1" applyFont="1" applyFill="1" applyBorder="1" applyAlignment="1" applyProtection="1">
      <alignment vertical="center"/>
    </xf>
    <xf numFmtId="0" fontId="48" fillId="6" borderId="30" xfId="10" applyNumberFormat="1" applyFont="1" applyFill="1" applyBorder="1" applyAlignment="1" applyProtection="1">
      <alignment horizontal="center" vertical="center" wrapText="1"/>
    </xf>
    <xf numFmtId="49" fontId="48" fillId="0" borderId="0" xfId="10" applyNumberFormat="1" applyFont="1" applyFill="1" applyBorder="1" applyAlignment="1" applyProtection="1">
      <alignment horizontal="center" vertical="center"/>
      <protection locked="0"/>
    </xf>
    <xf numFmtId="49" fontId="48" fillId="0" borderId="0" xfId="10" applyNumberFormat="1" applyFont="1" applyFill="1" applyAlignment="1" applyProtection="1">
      <alignment horizontal="center" vertical="center"/>
      <protection locked="0"/>
    </xf>
    <xf numFmtId="0" fontId="50" fillId="5" borderId="23" xfId="10" applyNumberFormat="1" applyFont="1" applyFill="1" applyBorder="1" applyAlignment="1" applyProtection="1">
      <alignment horizontal="center" vertical="center" wrapText="1"/>
      <protection locked="0"/>
    </xf>
    <xf numFmtId="10" fontId="50" fillId="6" borderId="1" xfId="10" applyNumberFormat="1" applyFont="1" applyFill="1" applyBorder="1" applyAlignment="1" applyProtection="1">
      <alignment horizontal="center" vertical="center" wrapText="1"/>
    </xf>
    <xf numFmtId="0" fontId="48" fillId="6" borderId="1" xfId="10" applyNumberFormat="1" applyFont="1" applyFill="1" applyBorder="1" applyAlignment="1" applyProtection="1">
      <alignment horizontal="center" vertical="center" wrapText="1"/>
    </xf>
    <xf numFmtId="0" fontId="48" fillId="0" borderId="1" xfId="10" applyNumberFormat="1" applyFont="1" applyFill="1" applyBorder="1" applyAlignment="1" applyProtection="1">
      <alignment horizontal="center" vertical="center" wrapText="1"/>
      <protection locked="0"/>
    </xf>
    <xf numFmtId="0" fontId="50" fillId="6" borderId="42" xfId="10" applyNumberFormat="1" applyFont="1" applyFill="1" applyBorder="1" applyAlignment="1" applyProtection="1">
      <alignment vertical="center"/>
    </xf>
    <xf numFmtId="0" fontId="50" fillId="6" borderId="73" xfId="10" applyNumberFormat="1" applyFont="1" applyFill="1" applyBorder="1" applyAlignment="1" applyProtection="1">
      <alignment vertical="center" wrapText="1"/>
    </xf>
    <xf numFmtId="0" fontId="48" fillId="0" borderId="73" xfId="10" applyNumberFormat="1" applyFont="1" applyFill="1" applyBorder="1" applyAlignment="1" applyProtection="1">
      <alignment horizontal="center" vertical="center" wrapText="1"/>
      <protection locked="0"/>
    </xf>
    <xf numFmtId="0" fontId="48" fillId="0" borderId="74" xfId="10" applyNumberFormat="1" applyFont="1" applyFill="1" applyBorder="1" applyAlignment="1" applyProtection="1">
      <alignment horizontal="center" vertical="center" wrapText="1"/>
      <protection locked="0"/>
    </xf>
    <xf numFmtId="0" fontId="48" fillId="0" borderId="75" xfId="10" applyNumberFormat="1" applyFont="1" applyFill="1" applyBorder="1" applyAlignment="1" applyProtection="1">
      <alignment horizontal="center" vertical="center" wrapText="1"/>
      <protection locked="0"/>
    </xf>
    <xf numFmtId="0" fontId="48" fillId="0" borderId="43" xfId="10" applyNumberFormat="1" applyFont="1" applyFill="1" applyBorder="1" applyAlignment="1" applyProtection="1">
      <alignment horizontal="center" vertical="center" wrapText="1"/>
      <protection locked="0"/>
    </xf>
    <xf numFmtId="0" fontId="50" fillId="6" borderId="58" xfId="10" applyNumberFormat="1" applyFont="1" applyFill="1" applyBorder="1" applyAlignment="1" applyProtection="1">
      <alignment vertical="center" wrapText="1"/>
    </xf>
    <xf numFmtId="0" fontId="50" fillId="6" borderId="35" xfId="10" applyNumberFormat="1" applyFont="1" applyFill="1" applyBorder="1" applyAlignment="1" applyProtection="1">
      <alignment vertical="center" wrapText="1"/>
    </xf>
    <xf numFmtId="0" fontId="48" fillId="6" borderId="7" xfId="10" applyNumberFormat="1" applyFont="1" applyFill="1" applyBorder="1" applyAlignment="1" applyProtection="1">
      <alignment horizontal="center" vertical="center" wrapText="1"/>
    </xf>
    <xf numFmtId="0" fontId="48" fillId="0" borderId="2" xfId="10" applyNumberFormat="1" applyFont="1" applyFill="1" applyBorder="1" applyAlignment="1" applyProtection="1">
      <alignment horizontal="center" vertical="center" wrapText="1"/>
      <protection locked="0"/>
    </xf>
    <xf numFmtId="0" fontId="48" fillId="0" borderId="2" xfId="10" applyNumberFormat="1" applyFont="1" applyFill="1" applyBorder="1" applyAlignment="1" applyProtection="1">
      <alignment horizontal="left" vertical="center" wrapText="1"/>
      <protection locked="0"/>
    </xf>
    <xf numFmtId="0" fontId="48" fillId="0" borderId="8" xfId="10" applyNumberFormat="1" applyFont="1" applyFill="1" applyBorder="1" applyAlignment="1" applyProtection="1">
      <alignment horizontal="center" vertical="center" wrapText="1"/>
      <protection locked="0"/>
    </xf>
    <xf numFmtId="0" fontId="48" fillId="6" borderId="0" xfId="10" applyNumberFormat="1" applyFont="1" applyFill="1" applyBorder="1" applyAlignment="1" applyProtection="1">
      <alignment horizontal="center" vertical="center" wrapText="1"/>
      <protection locked="0"/>
    </xf>
    <xf numFmtId="0" fontId="105" fillId="0" borderId="0" xfId="10" applyFont="1" applyFill="1" applyBorder="1" applyAlignment="1" applyProtection="1">
      <alignment vertical="center"/>
      <protection locked="0"/>
    </xf>
    <xf numFmtId="0" fontId="48" fillId="6" borderId="22" xfId="10" applyNumberFormat="1" applyFont="1" applyFill="1" applyBorder="1" applyAlignment="1" applyProtection="1">
      <alignment horizontal="center" vertical="center" wrapText="1"/>
    </xf>
    <xf numFmtId="0" fontId="48" fillId="0" borderId="13" xfId="10" applyNumberFormat="1" applyFont="1" applyFill="1" applyBorder="1" applyAlignment="1" applyProtection="1">
      <alignment horizontal="center" vertical="center" wrapText="1"/>
      <protection locked="0"/>
    </xf>
    <xf numFmtId="0" fontId="48" fillId="0" borderId="61"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vertical="center" wrapText="1"/>
    </xf>
    <xf numFmtId="0" fontId="48" fillId="6" borderId="17" xfId="10" applyNumberFormat="1" applyFont="1" applyFill="1" applyBorder="1" applyAlignment="1" applyProtection="1">
      <alignment horizontal="center" vertical="center" wrapText="1"/>
    </xf>
    <xf numFmtId="0" fontId="99" fillId="0" borderId="9" xfId="10" applyNumberFormat="1" applyFont="1" applyFill="1" applyBorder="1" applyAlignment="1" applyProtection="1">
      <alignment horizontal="center" vertical="center" wrapText="1"/>
      <protection locked="0"/>
    </xf>
    <xf numFmtId="0" fontId="55"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center" vertical="center" wrapText="1"/>
      <protection locked="0"/>
    </xf>
    <xf numFmtId="0" fontId="72" fillId="0" borderId="9" xfId="10" applyNumberFormat="1" applyFont="1" applyFill="1" applyBorder="1" applyAlignment="1" applyProtection="1">
      <alignment horizontal="left" vertical="center" wrapText="1"/>
      <protection locked="0"/>
    </xf>
    <xf numFmtId="0" fontId="72" fillId="0" borderId="10" xfId="10" applyNumberFormat="1" applyFont="1" applyFill="1" applyBorder="1" applyAlignment="1" applyProtection="1">
      <alignment horizontal="center" vertical="center" wrapText="1"/>
      <protection locked="0"/>
    </xf>
    <xf numFmtId="0" fontId="72" fillId="6" borderId="0" xfId="10" applyNumberFormat="1" applyFont="1" applyFill="1" applyBorder="1" applyAlignment="1" applyProtection="1">
      <alignment horizontal="center" vertical="center" wrapText="1"/>
      <protection locked="0"/>
    </xf>
    <xf numFmtId="0" fontId="48" fillId="0" borderId="0" xfId="10"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vertical="center" wrapText="1"/>
    </xf>
    <xf numFmtId="0" fontId="53" fillId="6" borderId="77" xfId="10" applyNumberFormat="1" applyFont="1" applyFill="1" applyBorder="1" applyAlignment="1" applyProtection="1">
      <alignment horizontal="center" vertical="center" wrapText="1"/>
    </xf>
    <xf numFmtId="0" fontId="55" fillId="0" borderId="78" xfId="10" applyNumberFormat="1" applyFont="1" applyFill="1" applyBorder="1" applyAlignment="1" applyProtection="1">
      <alignment horizontal="center" vertical="center" wrapText="1"/>
      <protection locked="0"/>
    </xf>
    <xf numFmtId="0" fontId="55" fillId="0" borderId="79" xfId="10" applyNumberFormat="1" applyFont="1" applyFill="1" applyBorder="1" applyAlignment="1" applyProtection="1">
      <alignment horizontal="center" vertical="center" wrapText="1"/>
      <protection locked="0"/>
    </xf>
    <xf numFmtId="0" fontId="55" fillId="6" borderId="0" xfId="10" applyNumberFormat="1" applyFont="1" applyFill="1" applyBorder="1" applyAlignment="1" applyProtection="1">
      <alignment horizontal="center" vertical="center" wrapText="1"/>
      <protection locked="0"/>
    </xf>
    <xf numFmtId="0" fontId="48" fillId="6" borderId="57" xfId="10" applyNumberFormat="1" applyFont="1" applyFill="1" applyBorder="1" applyAlignment="1" applyProtection="1">
      <alignment horizontal="center" vertical="center" wrapText="1"/>
    </xf>
    <xf numFmtId="0" fontId="55"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center" vertical="center" wrapText="1"/>
    </xf>
    <xf numFmtId="0" fontId="72" fillId="6" borderId="44" xfId="10" applyNumberFormat="1" applyFont="1" applyFill="1" applyBorder="1" applyAlignment="1" applyProtection="1">
      <alignment horizontal="left" vertical="center" wrapText="1"/>
    </xf>
    <xf numFmtId="0" fontId="72" fillId="6" borderId="45" xfId="10" applyNumberFormat="1" applyFont="1" applyFill="1" applyBorder="1" applyAlignment="1" applyProtection="1">
      <alignment horizontal="center" vertical="center" wrapText="1"/>
    </xf>
    <xf numFmtId="0" fontId="48" fillId="6" borderId="77" xfId="10" applyNumberFormat="1" applyFont="1" applyFill="1" applyBorder="1" applyAlignment="1" applyProtection="1">
      <alignment horizontal="center" vertical="center" wrapText="1"/>
    </xf>
    <xf numFmtId="0" fontId="55" fillId="6" borderId="78" xfId="10" applyNumberFormat="1" applyFont="1" applyFill="1" applyBorder="1" applyAlignment="1" applyProtection="1">
      <alignment horizontal="center" vertical="center" wrapText="1"/>
    </xf>
    <xf numFmtId="0" fontId="55" fillId="6" borderId="79" xfId="10" applyNumberFormat="1" applyFont="1" applyFill="1" applyBorder="1" applyAlignment="1" applyProtection="1">
      <alignment horizontal="center" vertical="center" wrapText="1"/>
    </xf>
    <xf numFmtId="0" fontId="48" fillId="6" borderId="15" xfId="10" applyNumberFormat="1" applyFont="1" applyFill="1" applyBorder="1" applyAlignment="1" applyProtection="1">
      <alignment horizontal="center" vertical="center" wrapText="1"/>
    </xf>
    <xf numFmtId="0" fontId="55" fillId="6" borderId="2"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72" fillId="0" borderId="1" xfId="10" applyNumberFormat="1" applyFont="1" applyFill="1" applyBorder="1" applyAlignment="1" applyProtection="1">
      <alignment horizontal="center" vertical="center" wrapText="1"/>
      <protection locked="0"/>
    </xf>
    <xf numFmtId="0" fontId="72" fillId="0" borderId="1" xfId="10" applyNumberFormat="1" applyFont="1" applyFill="1" applyBorder="1" applyAlignment="1" applyProtection="1">
      <alignment horizontal="left" vertical="center" wrapText="1"/>
      <protection locked="0"/>
    </xf>
    <xf numFmtId="0" fontId="72" fillId="0" borderId="24"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wrapText="1"/>
    </xf>
    <xf numFmtId="49" fontId="138" fillId="0" borderId="7" xfId="10" applyNumberFormat="1" applyFont="1" applyFill="1" applyBorder="1" applyAlignment="1" applyProtection="1">
      <alignment horizontal="center" vertical="center" wrapText="1"/>
      <protection locked="0"/>
    </xf>
    <xf numFmtId="0" fontId="48"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left" vertical="center" wrapText="1"/>
      <protection locked="0"/>
    </xf>
    <xf numFmtId="0" fontId="53" fillId="0" borderId="45"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53" fillId="0" borderId="0" xfId="10" applyFont="1" applyFill="1" applyBorder="1" applyAlignment="1" applyProtection="1">
      <alignment horizontal="center" vertical="center" wrapText="1"/>
      <protection locked="0"/>
    </xf>
    <xf numFmtId="9" fontId="53" fillId="0" borderId="0" xfId="10" applyNumberFormat="1" applyFont="1" applyFill="1" applyBorder="1" applyAlignment="1" applyProtection="1">
      <alignment horizontal="center" vertical="center" wrapText="1"/>
      <protection locked="0"/>
    </xf>
    <xf numFmtId="0" fontId="48" fillId="0" borderId="78" xfId="10" applyNumberFormat="1" applyFont="1" applyFill="1" applyBorder="1" applyAlignment="1" applyProtection="1">
      <alignment horizontal="center" vertical="center" wrapText="1"/>
      <protection locked="0"/>
    </xf>
    <xf numFmtId="0" fontId="53" fillId="0" borderId="0" xfId="10" applyFont="1" applyFill="1" applyBorder="1" applyAlignment="1" applyProtection="1">
      <alignment horizontal="center" vertical="center"/>
      <protection locked="0"/>
    </xf>
    <xf numFmtId="9" fontId="53" fillId="0" borderId="0" xfId="10" applyNumberFormat="1" applyFont="1" applyFill="1" applyBorder="1" applyAlignment="1" applyProtection="1">
      <alignment horizontal="center" vertical="center"/>
      <protection locked="0"/>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left" vertical="center" wrapText="1"/>
      <protection locked="0"/>
    </xf>
    <xf numFmtId="0" fontId="53" fillId="0" borderId="8" xfId="10" applyNumberFormat="1" applyFont="1" applyFill="1" applyBorder="1" applyAlignment="1" applyProtection="1">
      <alignment horizontal="center" vertical="center" wrapText="1"/>
      <protection locked="0"/>
    </xf>
    <xf numFmtId="0" fontId="53" fillId="0" borderId="0" xfId="10" applyFont="1" applyFill="1" applyBorder="1" applyAlignment="1" applyProtection="1">
      <alignment vertical="center" wrapText="1"/>
      <protection locked="0"/>
    </xf>
    <xf numFmtId="0" fontId="73" fillId="6" borderId="12" xfId="10" applyNumberFormat="1" applyFont="1" applyFill="1" applyBorder="1" applyAlignment="1" applyProtection="1">
      <alignment vertical="center" wrapText="1"/>
    </xf>
    <xf numFmtId="0" fontId="48" fillId="6" borderId="74" xfId="10" applyNumberFormat="1" applyFont="1" applyFill="1" applyBorder="1" applyAlignment="1" applyProtection="1">
      <alignment horizontal="center" vertical="center" wrapText="1"/>
    </xf>
    <xf numFmtId="0" fontId="48" fillId="0" borderId="32"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8" fillId="6" borderId="9" xfId="10" applyNumberFormat="1" applyFont="1" applyFill="1" applyBorder="1" applyAlignment="1" applyProtection="1">
      <alignment horizontal="center" vertical="center" wrapText="1"/>
    </xf>
    <xf numFmtId="0" fontId="55"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center" vertical="center" wrapText="1"/>
    </xf>
    <xf numFmtId="0" fontId="72" fillId="6" borderId="9" xfId="10" applyNumberFormat="1" applyFont="1" applyFill="1" applyBorder="1" applyAlignment="1" applyProtection="1">
      <alignment horizontal="left" vertical="center" wrapText="1"/>
    </xf>
    <xf numFmtId="0" fontId="72" fillId="6" borderId="10" xfId="10" applyNumberFormat="1" applyFont="1" applyFill="1" applyBorder="1" applyAlignment="1" applyProtection="1">
      <alignment horizontal="center" vertical="center" wrapText="1"/>
    </xf>
    <xf numFmtId="0" fontId="48" fillId="0" borderId="0" xfId="10" applyFont="1" applyFill="1" applyBorder="1" applyAlignment="1" applyProtection="1">
      <alignment vertical="center" wrapText="1"/>
      <protection locked="0"/>
    </xf>
    <xf numFmtId="0" fontId="48" fillId="6" borderId="44" xfId="10" applyNumberFormat="1" applyFont="1" applyFill="1" applyBorder="1" applyAlignment="1" applyProtection="1">
      <alignment horizontal="center" vertical="center" wrapText="1"/>
    </xf>
    <xf numFmtId="0" fontId="50" fillId="6" borderId="14" xfId="10" applyNumberFormat="1" applyFont="1" applyFill="1" applyBorder="1" applyAlignment="1" applyProtection="1">
      <alignment vertical="center" wrapText="1"/>
    </xf>
    <xf numFmtId="0" fontId="48" fillId="6" borderId="44" xfId="10" applyNumberFormat="1" applyFont="1" applyFill="1" applyBorder="1" applyAlignment="1" applyProtection="1">
      <alignment horizontal="left" vertical="center" wrapText="1"/>
    </xf>
    <xf numFmtId="0" fontId="48" fillId="6" borderId="45" xfId="10" applyNumberFormat="1" applyFont="1" applyFill="1" applyBorder="1" applyAlignment="1" applyProtection="1">
      <alignment horizontal="center" vertical="center" wrapText="1"/>
    </xf>
    <xf numFmtId="0" fontId="48" fillId="6" borderId="78"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left" vertical="center" wrapText="1"/>
    </xf>
    <xf numFmtId="0" fontId="53" fillId="6" borderId="45"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55" fillId="6" borderId="15"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138" fillId="0" borderId="44" xfId="10" applyNumberFormat="1" applyFont="1" applyFill="1" applyBorder="1" applyAlignment="1" applyProtection="1">
      <alignment horizontal="center" vertical="center" wrapText="1"/>
      <protection locked="0"/>
    </xf>
    <xf numFmtId="0" fontId="55"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center" vertical="center" wrapText="1"/>
      <protection locked="0"/>
    </xf>
    <xf numFmtId="0" fontId="72" fillId="0" borderId="44" xfId="10" applyNumberFormat="1" applyFont="1" applyFill="1" applyBorder="1" applyAlignment="1" applyProtection="1">
      <alignment horizontal="left" vertical="center" wrapText="1"/>
      <protection locked="0"/>
    </xf>
    <xf numFmtId="0" fontId="72" fillId="0" borderId="45" xfId="10" applyNumberFormat="1" applyFont="1" applyFill="1" applyBorder="1" applyAlignment="1" applyProtection="1">
      <alignment horizontal="center" vertical="center" wrapText="1"/>
      <protection locked="0"/>
    </xf>
    <xf numFmtId="0" fontId="55"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center" vertical="center" wrapText="1"/>
      <protection locked="0"/>
    </xf>
    <xf numFmtId="0" fontId="72" fillId="0" borderId="2" xfId="10" applyNumberFormat="1" applyFont="1" applyFill="1" applyBorder="1" applyAlignment="1" applyProtection="1">
      <alignment horizontal="left" vertical="center" wrapText="1"/>
      <protection locked="0"/>
    </xf>
    <xf numFmtId="0" fontId="72" fillId="0" borderId="8" xfId="10" applyNumberFormat="1" applyFont="1" applyFill="1" applyBorder="1" applyAlignment="1" applyProtection="1">
      <alignment horizontal="center" vertical="center" wrapText="1"/>
      <protection locked="0"/>
    </xf>
    <xf numFmtId="0" fontId="55" fillId="0" borderId="32" xfId="10" applyNumberFormat="1" applyFont="1" applyFill="1" applyBorder="1" applyAlignment="1" applyProtection="1">
      <alignment horizontal="center" vertical="center" wrapText="1"/>
      <protection locked="0"/>
    </xf>
    <xf numFmtId="0" fontId="55" fillId="0" borderId="49" xfId="10" applyNumberFormat="1" applyFont="1" applyFill="1" applyBorder="1" applyAlignment="1" applyProtection="1">
      <alignment horizontal="center" vertical="center" wrapText="1"/>
      <protection locked="0"/>
    </xf>
    <xf numFmtId="0" fontId="73" fillId="6" borderId="14" xfId="10" applyNumberFormat="1" applyFont="1" applyFill="1" applyBorder="1" applyAlignment="1" applyProtection="1">
      <alignment vertical="center" textRotation="255" wrapText="1"/>
    </xf>
    <xf numFmtId="0" fontId="48" fillId="6" borderId="58" xfId="10" applyNumberFormat="1" applyFont="1" applyFill="1" applyBorder="1" applyAlignment="1" applyProtection="1">
      <alignment horizontal="center" vertical="center"/>
    </xf>
    <xf numFmtId="0" fontId="53" fillId="0" borderId="1" xfId="10" applyNumberFormat="1" applyFont="1" applyFill="1" applyBorder="1" applyAlignment="1" applyProtection="1">
      <alignment horizontal="center" vertical="center" wrapText="1"/>
      <protection locked="0"/>
    </xf>
    <xf numFmtId="0" fontId="53" fillId="0" borderId="1" xfId="10" applyNumberFormat="1" applyFont="1" applyFill="1" applyBorder="1" applyAlignment="1" applyProtection="1">
      <alignment horizontal="left" vertical="center" wrapText="1"/>
      <protection locked="0"/>
    </xf>
    <xf numFmtId="0" fontId="53" fillId="0" borderId="24" xfId="10" applyNumberFormat="1" applyFont="1" applyFill="1" applyBorder="1" applyAlignment="1" applyProtection="1">
      <alignment horizontal="center" vertical="center" wrapText="1"/>
      <protection locked="0"/>
    </xf>
    <xf numFmtId="0" fontId="55" fillId="0" borderId="13" xfId="10" applyNumberFormat="1" applyFont="1" applyFill="1" applyBorder="1" applyAlignment="1" applyProtection="1">
      <alignment horizontal="center" vertical="center" wrapText="1"/>
      <protection locked="0"/>
    </xf>
    <xf numFmtId="0" fontId="55" fillId="0" borderId="61"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vertical="center" textRotation="255" wrapText="1"/>
    </xf>
    <xf numFmtId="0" fontId="99"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3" fillId="6" borderId="74" xfId="10" applyNumberFormat="1" applyFont="1" applyFill="1" applyBorder="1" applyAlignment="1" applyProtection="1">
      <alignment horizontal="center" vertical="center" wrapText="1"/>
    </xf>
    <xf numFmtId="190" fontId="55" fillId="0" borderId="0" xfId="10" applyNumberFormat="1" applyFont="1" applyFill="1" applyAlignment="1" applyProtection="1">
      <alignment horizontal="center" vertical="center"/>
      <protection locked="0"/>
    </xf>
    <xf numFmtId="182" fontId="55" fillId="0" borderId="0" xfId="10" applyNumberFormat="1" applyFont="1" applyFill="1" applyAlignment="1" applyProtection="1">
      <alignment horizontal="center" vertical="center"/>
      <protection locked="0"/>
    </xf>
    <xf numFmtId="0" fontId="66" fillId="6" borderId="0" xfId="10" applyNumberFormat="1" applyFont="1" applyFill="1" applyAlignment="1" applyProtection="1">
      <alignment horizontal="center" vertical="center"/>
    </xf>
    <xf numFmtId="0" fontId="61" fillId="6" borderId="0" xfId="10" applyNumberFormat="1" applyFont="1" applyFill="1" applyBorder="1" applyAlignment="1" applyProtection="1">
      <alignment vertical="center"/>
      <protection locked="0"/>
    </xf>
    <xf numFmtId="0" fontId="61" fillId="6" borderId="13" xfId="1" applyNumberFormat="1" applyFont="1" applyFill="1" applyBorder="1" applyAlignment="1" applyProtection="1">
      <alignment vertical="center"/>
    </xf>
    <xf numFmtId="0" fontId="48" fillId="2" borderId="26" xfId="10" applyNumberFormat="1" applyFont="1" applyFill="1" applyBorder="1" applyAlignment="1" applyProtection="1">
      <alignment horizontal="center" vertical="center" wrapText="1"/>
      <protection locked="0"/>
    </xf>
    <xf numFmtId="0" fontId="55" fillId="6" borderId="40" xfId="10" applyNumberFormat="1" applyFont="1" applyFill="1" applyBorder="1" applyAlignment="1" applyProtection="1">
      <alignment horizontal="center" vertical="center" wrapText="1"/>
    </xf>
    <xf numFmtId="0" fontId="55" fillId="2" borderId="23" xfId="10" applyNumberFormat="1" applyFont="1" applyFill="1" applyBorder="1" applyAlignment="1" applyProtection="1">
      <alignment horizontal="center" vertical="center" wrapText="1"/>
      <protection locked="0"/>
    </xf>
    <xf numFmtId="0" fontId="48" fillId="2" borderId="37" xfId="10" applyNumberFormat="1" applyFont="1" applyFill="1" applyBorder="1" applyAlignment="1" applyProtection="1">
      <alignment horizontal="center" vertical="center" wrapText="1"/>
      <protection locked="0"/>
    </xf>
    <xf numFmtId="0" fontId="54" fillId="6" borderId="20" xfId="10" applyNumberFormat="1" applyFont="1" applyFill="1" applyBorder="1" applyAlignment="1" applyProtection="1">
      <alignment horizontal="right" vertical="center" wrapText="1"/>
    </xf>
    <xf numFmtId="0" fontId="54" fillId="6" borderId="52" xfId="10" applyNumberFormat="1" applyFont="1" applyFill="1" applyBorder="1" applyAlignment="1" applyProtection="1">
      <alignment vertical="center" wrapText="1"/>
    </xf>
    <xf numFmtId="0" fontId="54" fillId="6" borderId="47" xfId="10" applyNumberFormat="1" applyFont="1" applyFill="1" applyBorder="1" applyAlignment="1" applyProtection="1">
      <alignment vertical="center" wrapText="1"/>
    </xf>
    <xf numFmtId="0" fontId="55" fillId="6" borderId="0" xfId="10" applyNumberFormat="1" applyFont="1" applyFill="1" applyAlignment="1" applyProtection="1">
      <alignment horizontal="center" vertical="center"/>
      <protection locked="0"/>
    </xf>
    <xf numFmtId="0" fontId="54" fillId="6" borderId="1" xfId="10" applyNumberFormat="1" applyFont="1" applyFill="1" applyBorder="1" applyAlignment="1" applyProtection="1">
      <alignment horizontal="left" vertical="center"/>
    </xf>
    <xf numFmtId="0" fontId="55" fillId="6" borderId="0" xfId="10" applyNumberFormat="1" applyFont="1" applyFill="1" applyAlignment="1" applyProtection="1">
      <alignment horizontal="center" vertical="center"/>
    </xf>
    <xf numFmtId="0" fontId="55" fillId="5" borderId="9" xfId="10" applyNumberFormat="1" applyFont="1" applyFill="1" applyBorder="1" applyAlignment="1" applyProtection="1">
      <alignment horizontal="center" vertical="center"/>
      <protection locked="0"/>
    </xf>
    <xf numFmtId="0" fontId="57" fillId="6" borderId="1" xfId="10" applyNumberFormat="1" applyFont="1" applyFill="1" applyBorder="1" applyAlignment="1" applyProtection="1">
      <alignment horizontal="center"/>
    </xf>
    <xf numFmtId="0" fontId="57" fillId="6" borderId="1" xfId="10" applyNumberFormat="1" applyFont="1" applyFill="1" applyBorder="1" applyAlignment="1" applyProtection="1">
      <alignment horizontal="center" vertical="center" wrapText="1"/>
    </xf>
    <xf numFmtId="0" fontId="57" fillId="6" borderId="32" xfId="10" applyNumberFormat="1" applyFont="1" applyFill="1" applyBorder="1" applyAlignment="1" applyProtection="1">
      <alignment horizontal="center"/>
    </xf>
    <xf numFmtId="0" fontId="55" fillId="6" borderId="0" xfId="10" applyNumberFormat="1" applyFont="1" applyFill="1" applyBorder="1" applyAlignment="1" applyProtection="1"/>
    <xf numFmtId="0" fontId="138" fillId="0" borderId="7" xfId="10" applyNumberFormat="1" applyFont="1" applyFill="1" applyBorder="1" applyAlignment="1" applyProtection="1">
      <alignment horizontal="center" vertical="center" wrapText="1"/>
      <protection locked="0"/>
    </xf>
    <xf numFmtId="0" fontId="55"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7" borderId="1" xfId="0" applyFont="1" applyFill="1" applyBorder="1" applyAlignment="1"/>
    <xf numFmtId="9" fontId="265" fillId="17" borderId="1" xfId="0" applyNumberFormat="1" applyFont="1" applyFill="1" applyBorder="1" applyAlignment="1"/>
    <xf numFmtId="0" fontId="172" fillId="6" borderId="1" xfId="12" quotePrefix="1" applyFont="1" applyFill="1" applyBorder="1" applyAlignment="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48" fillId="0" borderId="1" xfId="0" applyFont="1" applyBorder="1" applyAlignment="1" applyProtection="1">
      <alignment horizontal="center" vertical="center"/>
      <protection locked="0"/>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6" fontId="48" fillId="5" borderId="23" xfId="0" applyNumberFormat="1" applyFont="1" applyFill="1" applyBorder="1" applyAlignment="1" applyProtection="1">
      <alignment vertical="center"/>
      <protection locked="0"/>
    </xf>
    <xf numFmtId="182" fontId="48" fillId="5" borderId="1" xfId="0" applyNumberFormat="1" applyFont="1" applyFill="1" applyBorder="1" applyAlignment="1" applyProtection="1">
      <alignment vertical="center"/>
      <protection locked="0"/>
    </xf>
    <xf numFmtId="182" fontId="48" fillId="5" borderId="5" xfId="0" applyNumberFormat="1" applyFont="1" applyFill="1" applyBorder="1" applyAlignment="1" applyProtection="1">
      <alignment horizontal="center" vertical="center"/>
    </xf>
    <xf numFmtId="182" fontId="48" fillId="5" borderId="24" xfId="0" applyNumberFormat="1" applyFont="1" applyFill="1" applyBorder="1" applyAlignment="1" applyProtection="1">
      <alignment vertical="center"/>
      <protection locked="0"/>
    </xf>
    <xf numFmtId="182" fontId="48" fillId="5" borderId="1" xfId="0" applyNumberFormat="1" applyFont="1" applyFill="1" applyBorder="1" applyAlignment="1" applyProtection="1">
      <alignment horizontal="center" vertical="center"/>
      <protection locked="0"/>
    </xf>
    <xf numFmtId="0" fontId="48" fillId="5" borderId="1" xfId="0" applyFont="1" applyFill="1" applyBorder="1" applyAlignment="1" applyProtection="1">
      <alignment horizontal="center" vertical="center"/>
      <protection locked="0"/>
    </xf>
    <xf numFmtId="14" fontId="48" fillId="6" borderId="26" xfId="1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9" fontId="107" fillId="5" borderId="37" xfId="0" applyNumberFormat="1" applyFont="1" applyFill="1" applyBorder="1" applyAlignment="1" applyProtection="1">
      <alignment horizontal="center" vertical="center" wrapText="1"/>
      <protection locked="0"/>
    </xf>
    <xf numFmtId="0" fontId="107" fillId="5" borderId="5" xfId="0" applyNumberFormat="1" applyFont="1" applyFill="1" applyBorder="1" applyAlignment="1" applyProtection="1">
      <alignment horizontal="center" vertical="center" wrapText="1"/>
    </xf>
    <xf numFmtId="0" fontId="99" fillId="5" borderId="54" xfId="0" applyNumberFormat="1" applyFont="1" applyFill="1" applyBorder="1" applyAlignment="1" applyProtection="1">
      <alignment horizontal="center" vertical="center" wrapText="1"/>
      <protection locked="0"/>
    </xf>
    <xf numFmtId="0" fontId="55" fillId="5" borderId="24" xfId="0" applyNumberFormat="1" applyFont="1" applyFill="1" applyBorder="1" applyAlignment="1" applyProtection="1">
      <alignment horizontal="center" vertical="center" wrapText="1"/>
    </xf>
    <xf numFmtId="10" fontId="121" fillId="5" borderId="1" xfId="1" applyNumberFormat="1" applyFont="1" applyFill="1" applyBorder="1" applyAlignment="1" applyProtection="1">
      <alignment horizontal="center" vertical="center"/>
      <protection locked="0"/>
    </xf>
    <xf numFmtId="176" fontId="107" fillId="5" borderId="3" xfId="0" applyNumberFormat="1" applyFont="1" applyFill="1" applyBorder="1" applyAlignment="1" applyProtection="1">
      <alignment vertical="center"/>
      <protection locked="0"/>
    </xf>
    <xf numFmtId="176" fontId="107" fillId="5" borderId="23" xfId="0" applyNumberFormat="1" applyFont="1" applyFill="1" applyBorder="1" applyAlignment="1" applyProtection="1">
      <alignment vertical="center"/>
      <protection locked="0"/>
    </xf>
    <xf numFmtId="10" fontId="48" fillId="0" borderId="37" xfId="0" applyNumberFormat="1" applyFont="1" applyFill="1" applyBorder="1" applyAlignment="1" applyProtection="1">
      <alignment horizontal="center" vertical="center" wrapText="1"/>
      <protection locked="0"/>
    </xf>
    <xf numFmtId="0" fontId="1" fillId="0" borderId="1" xfId="19" applyBorder="1" applyAlignment="1">
      <alignment horizontal="center" wrapText="1"/>
    </xf>
    <xf numFmtId="49" fontId="1" fillId="0" borderId="1" xfId="19" applyNumberFormat="1" applyBorder="1" applyAlignment="1">
      <alignment horizontal="center" wrapText="1"/>
    </xf>
    <xf numFmtId="0" fontId="1" fillId="0" borderId="0" xfId="19" applyAlignment="1">
      <alignment wrapText="1"/>
    </xf>
    <xf numFmtId="14" fontId="1" fillId="0" borderId="1" xfId="19" applyNumberFormat="1" applyBorder="1" applyAlignment="1">
      <alignment horizontal="center" wrapText="1"/>
    </xf>
    <xf numFmtId="0" fontId="267" fillId="0" borderId="1" xfId="19" applyFont="1" applyBorder="1" applyAlignment="1">
      <alignment horizontal="center" wrapText="1"/>
    </xf>
    <xf numFmtId="0" fontId="1" fillId="0" borderId="0" xfId="19" applyAlignment="1">
      <alignment horizontal="center" wrapText="1"/>
    </xf>
    <xf numFmtId="49" fontId="1" fillId="0" borderId="0" xfId="19" applyNumberFormat="1" applyAlignment="1">
      <alignment horizontal="center" wrapText="1"/>
    </xf>
    <xf numFmtId="0" fontId="268" fillId="7" borderId="60" xfId="0" applyFont="1" applyFill="1" applyBorder="1" applyAlignment="1" applyProtection="1">
      <alignment vertical="center" wrapText="1"/>
      <protection locked="0"/>
    </xf>
    <xf numFmtId="0" fontId="20" fillId="0" borderId="1" xfId="0" applyNumberFormat="1" applyFont="1" applyBorder="1" applyAlignment="1" applyProtection="1">
      <alignment horizontal="center"/>
      <protection locked="0"/>
    </xf>
    <xf numFmtId="2" fontId="271" fillId="0" borderId="0" xfId="0" applyNumberFormat="1" applyFont="1" applyAlignment="1">
      <alignment horizontal="center" vertical="center"/>
    </xf>
    <xf numFmtId="0" fontId="272" fillId="0" borderId="0" xfId="0" applyFont="1" applyAlignment="1">
      <alignment horizontal="center" vertical="center"/>
    </xf>
    <xf numFmtId="178" fontId="273" fillId="0" borderId="1" xfId="1" applyNumberFormat="1" applyFont="1" applyFill="1" applyBorder="1" applyAlignment="1" applyProtection="1">
      <alignment vertical="center"/>
      <protection locked="0" hidden="1"/>
    </xf>
    <xf numFmtId="178" fontId="175" fillId="0" borderId="1" xfId="1" applyNumberFormat="1" applyFont="1" applyFill="1" applyBorder="1" applyAlignment="1" applyProtection="1">
      <alignment vertical="center"/>
      <protection locked="0" hidden="1"/>
    </xf>
    <xf numFmtId="0" fontId="0" fillId="11" borderId="0" xfId="0" applyFill="1" applyAlignment="1"/>
    <xf numFmtId="0" fontId="274" fillId="2" borderId="41" xfId="10" applyNumberFormat="1" applyFont="1" applyFill="1" applyBorder="1" applyAlignment="1" applyProtection="1">
      <alignment horizontal="center" vertical="center" wrapText="1"/>
      <protection locked="0"/>
    </xf>
    <xf numFmtId="0" fontId="55" fillId="7" borderId="23" xfId="0" applyFont="1" applyFill="1" applyBorder="1" applyAlignment="1" applyProtection="1">
      <alignment vertical="center"/>
      <protection locked="0"/>
    </xf>
    <xf numFmtId="0" fontId="121" fillId="5" borderId="32" xfId="0" applyNumberFormat="1" applyFont="1" applyFill="1" applyBorder="1" applyAlignment="1" applyProtection="1">
      <alignment horizontal="center" vertical="center" wrapText="1"/>
      <protection locked="0"/>
    </xf>
    <xf numFmtId="178" fontId="121" fillId="18" borderId="1" xfId="1" applyNumberFormat="1" applyFont="1" applyFill="1" applyBorder="1" applyAlignment="1" applyProtection="1">
      <alignment horizontal="center" vertical="center"/>
      <protection locked="0"/>
    </xf>
    <xf numFmtId="9" fontId="275" fillId="18" borderId="1" xfId="0" applyNumberFormat="1" applyFont="1" applyFill="1" applyBorder="1" applyAlignment="1"/>
    <xf numFmtId="0" fontId="275" fillId="17" borderId="1" xfId="0" applyFont="1" applyFill="1" applyBorder="1" applyAlignment="1"/>
    <xf numFmtId="182" fontId="121" fillId="18" borderId="1" xfId="0" applyNumberFormat="1" applyFont="1" applyFill="1" applyBorder="1" applyAlignment="1" applyProtection="1">
      <alignment horizontal="center" vertical="center"/>
      <protection locked="0"/>
    </xf>
    <xf numFmtId="182" fontId="107" fillId="18" borderId="1" xfId="0" applyNumberFormat="1" applyFont="1" applyFill="1" applyBorder="1" applyAlignment="1" applyProtection="1">
      <alignment vertical="center"/>
      <protection locked="0"/>
    </xf>
    <xf numFmtId="182" fontId="48" fillId="19" borderId="1" xfId="0" applyNumberFormat="1" applyFont="1" applyFill="1" applyBorder="1" applyAlignment="1" applyProtection="1">
      <alignment horizontal="center" vertical="center"/>
      <protection locked="0"/>
    </xf>
    <xf numFmtId="178" fontId="121" fillId="19" borderId="1" xfId="1" applyNumberFormat="1" applyFont="1" applyFill="1" applyBorder="1" applyAlignment="1" applyProtection="1">
      <alignment horizontal="center" vertical="center"/>
      <protection locked="0"/>
    </xf>
    <xf numFmtId="176" fontId="48" fillId="19" borderId="3" xfId="0" applyNumberFormat="1" applyFont="1" applyFill="1" applyBorder="1" applyAlignment="1" applyProtection="1">
      <alignment vertical="center"/>
      <protection locked="0"/>
    </xf>
    <xf numFmtId="0" fontId="171" fillId="0" borderId="1" xfId="12" applyBorder="1" applyAlignment="1" applyProtection="1">
      <alignment horizontal="center"/>
      <protection locked="0"/>
    </xf>
    <xf numFmtId="0" fontId="172" fillId="0" borderId="1" xfId="12" applyFont="1" applyBorder="1" applyAlignment="1" applyProtection="1">
      <alignment horizontal="center" vertical="center" wrapText="1"/>
      <protection locked="0"/>
    </xf>
    <xf numFmtId="0" fontId="171" fillId="0" borderId="0" xfId="12" applyAlignment="1">
      <alignment horizontal="center"/>
    </xf>
    <xf numFmtId="0" fontId="1" fillId="0" borderId="0" xfId="12" applyFont="1" applyAlignment="1">
      <alignment horizontal="center"/>
    </xf>
    <xf numFmtId="0" fontId="101" fillId="0" borderId="0" xfId="12" applyFont="1" applyAlignment="1">
      <alignment horizontal="center"/>
    </xf>
    <xf numFmtId="0" fontId="81" fillId="6" borderId="0" xfId="0" applyFont="1" applyFill="1" applyAlignment="1" applyProtection="1">
      <alignment vertical="center"/>
      <protection locked="0"/>
    </xf>
    <xf numFmtId="9" fontId="146" fillId="19" borderId="1" xfId="0" applyNumberFormat="1" applyFont="1" applyFill="1" applyBorder="1" applyAlignment="1">
      <alignment horizontal="center" vertical="center"/>
    </xf>
    <xf numFmtId="0" fontId="106" fillId="19" borderId="23" xfId="0" applyFont="1" applyFill="1" applyBorder="1" applyAlignment="1" applyProtection="1">
      <alignment vertical="center"/>
      <protection locked="0"/>
    </xf>
    <xf numFmtId="182" fontId="106" fillId="19" borderId="1" xfId="0" applyNumberFormat="1" applyFont="1" applyFill="1" applyBorder="1" applyAlignment="1" applyProtection="1">
      <alignment vertical="center"/>
      <protection locked="0"/>
    </xf>
    <xf numFmtId="0" fontId="100" fillId="0" borderId="0" xfId="0" applyFont="1">
      <alignment vertical="center"/>
    </xf>
    <xf numFmtId="0" fontId="276" fillId="0" borderId="0" xfId="20">
      <alignment vertical="center"/>
    </xf>
    <xf numFmtId="0" fontId="138" fillId="6" borderId="0" xfId="0" applyFont="1" applyFill="1" applyProtection="1">
      <alignment vertical="center"/>
      <protection locked="0"/>
    </xf>
    <xf numFmtId="182" fontId="20" fillId="19" borderId="1" xfId="0" applyNumberFormat="1" applyFont="1" applyFill="1" applyBorder="1" applyAlignment="1"/>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00" fillId="6" borderId="0"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 fillId="0" borderId="0" xfId="12" applyFont="1" applyAlignment="1">
      <alignment horizontal="center"/>
    </xf>
    <xf numFmtId="0" fontId="171" fillId="0" borderId="0" xfId="12" applyAlignment="1">
      <alignment horizontal="center"/>
    </xf>
    <xf numFmtId="183" fontId="106"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257" fillId="0" borderId="1" xfId="0" applyFont="1" applyBorder="1" applyAlignment="1">
      <alignment horizontal="center" vertical="center" wrapText="1"/>
    </xf>
    <xf numFmtId="0" fontId="85" fillId="0" borderId="5" xfId="0" applyFont="1" applyBorder="1" applyAlignment="1">
      <alignment horizontal="center"/>
    </xf>
    <xf numFmtId="0" fontId="85"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9" fillId="0" borderId="1" xfId="0" applyFont="1" applyBorder="1" applyAlignment="1">
      <alignment horizontal="center" vertical="center" wrapText="1"/>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70"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07" fillId="5" borderId="13" xfId="0" applyFont="1" applyFill="1" applyBorder="1" applyAlignment="1" applyProtection="1">
      <alignment horizontal="center" vertical="center"/>
      <protection locked="0"/>
    </xf>
    <xf numFmtId="0" fontId="107" fillId="5" borderId="15" xfId="0"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0" fontId="107" fillId="5" borderId="1" xfId="0" applyFont="1" applyFill="1" applyBorder="1" applyAlignment="1" applyProtection="1">
      <alignment horizontal="center" vertical="center"/>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69" fillId="18" borderId="23" xfId="0" applyFont="1" applyFill="1" applyBorder="1" applyAlignment="1" applyProtection="1">
      <alignment horizontal="center" vertical="center" wrapText="1"/>
      <protection locked="0"/>
    </xf>
    <xf numFmtId="0" fontId="266" fillId="18"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269"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132" fillId="18" borderId="2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7" fontId="54" fillId="6" borderId="1" xfId="0" applyNumberFormat="1" applyFont="1" applyFill="1" applyBorder="1" applyAlignment="1" applyProtection="1">
      <alignment horizontal="center" vertical="center"/>
    </xf>
    <xf numFmtId="187" fontId="55" fillId="6" borderId="1" xfId="0" applyNumberFormat="1" applyFont="1" applyFill="1" applyBorder="1" applyAlignment="1" applyProtection="1">
      <alignment horizontal="center" vertical="center"/>
    </xf>
    <xf numFmtId="0" fontId="55" fillId="6" borderId="6" xfId="10" applyFont="1" applyFill="1" applyBorder="1" applyAlignment="1" applyProtection="1">
      <alignment horizontal="center" vertical="center" wrapText="1"/>
    </xf>
    <xf numFmtId="0" fontId="55" fillId="6" borderId="9" xfId="10" applyFont="1" applyFill="1" applyBorder="1" applyAlignment="1" applyProtection="1">
      <alignment horizontal="center" vertical="center" wrapText="1"/>
    </xf>
    <xf numFmtId="0" fontId="55" fillId="6" borderId="23" xfId="10" applyFont="1" applyFill="1" applyBorder="1" applyAlignment="1" applyProtection="1">
      <alignment horizontal="center" vertical="center" wrapText="1"/>
    </xf>
    <xf numFmtId="0" fontId="55" fillId="6" borderId="1" xfId="10" applyFont="1" applyFill="1" applyBorder="1" applyAlignment="1" applyProtection="1">
      <alignment horizontal="center" vertical="center" wrapText="1"/>
    </xf>
    <xf numFmtId="0" fontId="106" fillId="6" borderId="23" xfId="10" applyFont="1" applyFill="1" applyBorder="1" applyAlignment="1" applyProtection="1">
      <alignment horizontal="center" vertical="center"/>
    </xf>
    <xf numFmtId="187" fontId="55" fillId="6" borderId="1" xfId="10" applyNumberFormat="1" applyFont="1" applyFill="1" applyBorder="1" applyAlignment="1" applyProtection="1">
      <alignment horizontal="center" vertical="center"/>
    </xf>
    <xf numFmtId="0" fontId="55" fillId="6" borderId="13" xfId="10" applyFont="1" applyFill="1" applyBorder="1" applyAlignment="1" applyProtection="1">
      <alignment horizontal="center" vertical="center" wrapText="1"/>
    </xf>
    <xf numFmtId="0" fontId="55" fillId="6" borderId="15" xfId="10" applyFont="1" applyFill="1" applyBorder="1" applyAlignment="1" applyProtection="1">
      <alignment horizontal="center" vertical="center" wrapText="1"/>
    </xf>
    <xf numFmtId="0" fontId="55" fillId="6" borderId="5" xfId="10" applyFont="1" applyFill="1" applyBorder="1" applyAlignment="1" applyProtection="1">
      <alignment horizontal="center" vertical="center" wrapText="1"/>
    </xf>
    <xf numFmtId="0" fontId="55" fillId="6" borderId="3"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5" fillId="6" borderId="13" xfId="10" applyFont="1" applyFill="1" applyBorder="1" applyAlignment="1" applyProtection="1">
      <alignment horizontal="center" vertical="center" textRotation="255" wrapText="1"/>
    </xf>
    <xf numFmtId="0" fontId="55" fillId="6" borderId="15" xfId="10" applyFont="1" applyFill="1" applyBorder="1" applyAlignment="1" applyProtection="1">
      <alignment horizontal="center" vertical="center" textRotation="255" wrapText="1"/>
    </xf>
    <xf numFmtId="0" fontId="55" fillId="6" borderId="1" xfId="10" applyFont="1" applyFill="1" applyBorder="1" applyAlignment="1" applyProtection="1">
      <alignment horizontal="center" vertical="center"/>
    </xf>
    <xf numFmtId="0" fontId="48" fillId="6" borderId="5" xfId="10" applyFont="1" applyFill="1" applyBorder="1" applyAlignment="1" applyProtection="1">
      <alignment horizontal="center" vertical="center"/>
    </xf>
    <xf numFmtId="0" fontId="48" fillId="6" borderId="3" xfId="10" applyFont="1" applyFill="1" applyBorder="1" applyAlignment="1" applyProtection="1">
      <alignment horizontal="center" vertical="center"/>
    </xf>
    <xf numFmtId="0" fontId="48" fillId="6" borderId="1" xfId="10" applyFont="1" applyFill="1" applyBorder="1" applyAlignment="1" applyProtection="1">
      <alignment horizontal="center" vertical="center" wrapText="1"/>
    </xf>
    <xf numFmtId="0" fontId="55" fillId="6" borderId="46" xfId="10" applyFont="1" applyFill="1" applyBorder="1" applyAlignment="1" applyProtection="1">
      <alignment horizontal="center" vertical="center"/>
    </xf>
    <xf numFmtId="0" fontId="55" fillId="6" borderId="22" xfId="10" applyFont="1" applyFill="1" applyBorder="1" applyAlignment="1" applyProtection="1">
      <alignment horizontal="center" vertical="center"/>
    </xf>
    <xf numFmtId="0" fontId="55" fillId="6" borderId="58" xfId="10" applyFont="1" applyFill="1" applyBorder="1" applyAlignment="1" applyProtection="1">
      <alignment horizontal="center" vertical="center"/>
    </xf>
    <xf numFmtId="0" fontId="55" fillId="6" borderId="35" xfId="10" applyFont="1" applyFill="1" applyBorder="1" applyAlignment="1" applyProtection="1">
      <alignment horizontal="center" vertical="center"/>
    </xf>
    <xf numFmtId="0" fontId="55" fillId="6" borderId="4" xfId="10" applyFont="1" applyFill="1" applyBorder="1" applyAlignment="1" applyProtection="1">
      <alignment horizontal="center" vertical="center"/>
    </xf>
    <xf numFmtId="0" fontId="55" fillId="6" borderId="7" xfId="10" applyFont="1" applyFill="1" applyBorder="1" applyAlignment="1" applyProtection="1">
      <alignment horizontal="center" vertical="center"/>
    </xf>
    <xf numFmtId="0" fontId="55" fillId="6" borderId="13" xfId="10" applyFont="1" applyFill="1" applyBorder="1" applyAlignment="1" applyProtection="1">
      <alignment horizontal="center" vertical="center"/>
    </xf>
    <xf numFmtId="0" fontId="55" fillId="6" borderId="15" xfId="10" applyFont="1" applyFill="1" applyBorder="1" applyAlignment="1" applyProtection="1">
      <alignment horizontal="center" vertical="center"/>
    </xf>
    <xf numFmtId="0" fontId="55" fillId="6" borderId="2" xfId="10" applyFont="1" applyFill="1" applyBorder="1" applyAlignment="1" applyProtection="1">
      <alignment horizontal="center" vertical="center"/>
    </xf>
    <xf numFmtId="0" fontId="48" fillId="6" borderId="54" xfId="10" applyFont="1" applyFill="1" applyBorder="1" applyAlignment="1" applyProtection="1">
      <alignment horizontal="center" vertical="center"/>
    </xf>
    <xf numFmtId="0" fontId="55" fillId="6" borderId="10" xfId="10" applyFont="1" applyFill="1" applyBorder="1" applyAlignment="1" applyProtection="1">
      <alignment horizontal="center" vertical="center" wrapText="1"/>
    </xf>
    <xf numFmtId="0" fontId="55" fillId="6" borderId="30" xfId="10" applyFont="1" applyFill="1" applyBorder="1" applyAlignment="1" applyProtection="1">
      <alignment horizontal="center" vertical="center" wrapText="1"/>
    </xf>
    <xf numFmtId="0" fontId="55" fillId="6" borderId="28" xfId="10" applyFont="1" applyFill="1" applyBorder="1" applyAlignment="1" applyProtection="1">
      <alignment horizontal="center" vertical="center" wrapText="1"/>
    </xf>
    <xf numFmtId="0" fontId="55" fillId="6" borderId="46" xfId="10" applyFont="1" applyFill="1" applyBorder="1" applyAlignment="1" applyProtection="1">
      <alignment horizontal="center" vertical="center" wrapText="1"/>
    </xf>
    <xf numFmtId="0" fontId="55" fillId="6" borderId="22" xfId="10" applyFont="1" applyFill="1" applyBorder="1" applyAlignment="1" applyProtection="1">
      <alignment horizontal="center" vertical="center" wrapText="1"/>
    </xf>
    <xf numFmtId="0" fontId="55" fillId="6" borderId="58" xfId="10" applyFont="1" applyFill="1" applyBorder="1" applyAlignment="1" applyProtection="1">
      <alignment horizontal="center" vertical="center" wrapText="1"/>
    </xf>
    <xf numFmtId="0" fontId="55" fillId="6" borderId="35" xfId="10" applyFont="1" applyFill="1" applyBorder="1" applyAlignment="1" applyProtection="1">
      <alignment horizontal="center" vertical="center" wrapText="1"/>
    </xf>
    <xf numFmtId="0" fontId="55" fillId="6" borderId="4" xfId="10" applyFont="1" applyFill="1" applyBorder="1" applyAlignment="1" applyProtection="1">
      <alignment horizontal="center" vertical="center" wrapText="1"/>
    </xf>
    <xf numFmtId="0" fontId="55"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wrapText="1"/>
      <protection locked="0"/>
    </xf>
    <xf numFmtId="0" fontId="178" fillId="0" borderId="48"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3" xfId="0" applyFont="1" applyFill="1" applyBorder="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1">
    <cellStyle name="百分比" xfId="17" builtinId="5"/>
    <cellStyle name="百分比 2" xfId="14" xr:uid="{00000000-0005-0000-0000-000001000000}"/>
    <cellStyle name="常规" xfId="0" builtinId="0"/>
    <cellStyle name="常规 10" xfId="19"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8" xr:uid="{00000000-0005-0000-0000-000013000000}"/>
    <cellStyle name="超链接" xfId="20" builtinId="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67330</xdr:rowOff>
    </xdr:from>
    <xdr:to>
      <xdr:col>12</xdr:col>
      <xdr:colOff>396240</xdr:colOff>
      <xdr:row>25</xdr:row>
      <xdr:rowOff>160535</xdr:rowOff>
    </xdr:to>
    <xdr:pic>
      <xdr:nvPicPr>
        <xdr:cNvPr id="3" name="图片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433090"/>
          <a:ext cx="7711440" cy="4299445"/>
        </a:xfrm>
        <a:prstGeom prst="rect">
          <a:avLst/>
        </a:prstGeom>
      </xdr:spPr>
    </xdr:pic>
    <xdr:clientData/>
  </xdr:twoCellAnchor>
  <xdr:twoCellAnchor editAs="oneCell">
    <xdr:from>
      <xdr:col>14</xdr:col>
      <xdr:colOff>0</xdr:colOff>
      <xdr:row>2</xdr:row>
      <xdr:rowOff>88474</xdr:rowOff>
    </xdr:from>
    <xdr:to>
      <xdr:col>24</xdr:col>
      <xdr:colOff>270092</xdr:colOff>
      <xdr:row>25</xdr:row>
      <xdr:rowOff>22860</xdr:rowOff>
    </xdr:to>
    <xdr:pic>
      <xdr:nvPicPr>
        <xdr:cNvPr id="4" name="图片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8534400" y="454234"/>
          <a:ext cx="6366092" cy="4140626"/>
        </a:xfrm>
        <a:prstGeom prst="rect">
          <a:avLst/>
        </a:prstGeom>
      </xdr:spPr>
    </xdr:pic>
    <xdr:clientData/>
  </xdr:twoCellAnchor>
  <xdr:twoCellAnchor editAs="oneCell">
    <xdr:from>
      <xdr:col>1</xdr:col>
      <xdr:colOff>0</xdr:colOff>
      <xdr:row>30</xdr:row>
      <xdr:rowOff>0</xdr:rowOff>
    </xdr:from>
    <xdr:to>
      <xdr:col>12</xdr:col>
      <xdr:colOff>366373</xdr:colOff>
      <xdr:row>59</xdr:row>
      <xdr:rowOff>38563</xdr:rowOff>
    </xdr:to>
    <xdr:pic>
      <xdr:nvPicPr>
        <xdr:cNvPr id="5" name="图片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609600" y="5486400"/>
          <a:ext cx="7071973" cy="53420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7620</xdr:colOff>
      <xdr:row>1</xdr:row>
      <xdr:rowOff>129541</xdr:rowOff>
    </xdr:from>
    <xdr:to>
      <xdr:col>24</xdr:col>
      <xdr:colOff>587694</xdr:colOff>
      <xdr:row>33</xdr:row>
      <xdr:rowOff>102395</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713220" y="312421"/>
          <a:ext cx="8504874" cy="5825014"/>
        </a:xfrm>
        <a:prstGeom prst="rect">
          <a:avLst/>
        </a:prstGeom>
      </xdr:spPr>
    </xdr:pic>
    <xdr:clientData/>
  </xdr:twoCellAnchor>
  <xdr:twoCellAnchor editAs="oneCell">
    <xdr:from>
      <xdr:col>0</xdr:col>
      <xdr:colOff>1</xdr:colOff>
      <xdr:row>2</xdr:row>
      <xdr:rowOff>0</xdr:rowOff>
    </xdr:from>
    <xdr:to>
      <xdr:col>10</xdr:col>
      <xdr:colOff>457817</xdr:colOff>
      <xdr:row>31</xdr:row>
      <xdr:rowOff>76200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 y="365760"/>
          <a:ext cx="6553816" cy="53797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297180</xdr:colOff>
      <xdr:row>62</xdr:row>
      <xdr:rowOff>38100</xdr:rowOff>
    </xdr:from>
    <xdr:to>
      <xdr:col>6</xdr:col>
      <xdr:colOff>321487</xdr:colOff>
      <xdr:row>65</xdr:row>
      <xdr:rowOff>64701</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013460" y="10561320"/>
          <a:ext cx="3339007" cy="5752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0-1-0014&#21326;&#24425;&#22823;&#21414;/P03/&#23545;&#20844;&#20107;&#19994;&#37096;&#8212;&#30005;&#31639;&#34920;-&#25151;&#22320;&#20135;-&#21326;&#24425;&#22823;&#21414;-&#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80;&#20272;/2020-1-0014&#21326;&#24425;&#22823;&#21414;/P03/11.25&#27721;&#23041;&#22823;&#21414;/&#27721;&#23041;&#39640;&#26003;&#25151;&#20135;&#28165;&#213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020-1-0014&#21326;&#24425;&#22823;&#21414;/P03/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row r="37">
          <cell r="B37" t="str">
            <v>六级</v>
          </cell>
          <cell r="C37" t="str">
            <v>六级</v>
          </cell>
          <cell r="D37" t="str">
            <v>六级</v>
          </cell>
        </row>
      </sheetData>
      <sheetData sheetId="11" refreshError="1"/>
      <sheetData sheetId="12" refreshError="1"/>
      <sheetData sheetId="13">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ow r="3">
          <cell r="F3">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案例"/>
      <sheetName val="土地比较法-住宅、综合"/>
      <sheetName val="成本法"/>
      <sheetName val="比较法-商业"/>
      <sheetName val="典型户型修正"/>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9838.98</v>
          </cell>
          <cell r="E3">
            <v>42853.479999999996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sohu.com/a/370998594_100233975" TargetMode="External"/><Relationship Id="rId1" Type="http://schemas.openxmlformats.org/officeDocument/2006/relationships/hyperlink" Target="http://www.lingdizhongxin.cn/"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3" customWidth="1"/>
    <col min="2" max="2" width="81" style="1580" customWidth="1"/>
    <col min="3" max="16384" width="9" style="1578"/>
  </cols>
  <sheetData>
    <row r="1" spans="1:2" s="1566" customFormat="1" ht="16.2" thickBot="1">
      <c r="A1" s="1565" t="s">
        <v>1208</v>
      </c>
      <c r="B1" s="1564" t="s">
        <v>1287</v>
      </c>
    </row>
    <row r="2" spans="1:2" s="1569" customFormat="1" ht="16.2" thickTop="1">
      <c r="A2" s="1567" t="s">
        <v>1209</v>
      </c>
      <c r="B2" s="1568" t="str">
        <f>'预评函-封皮'!B37:I37</f>
        <v>四川省成都市青羊区西御街3号、5号房地产市场价值预评估</v>
      </c>
    </row>
    <row r="3" spans="1:2" s="1572" customFormat="1">
      <c r="A3" s="1570" t="s">
        <v>1210</v>
      </c>
      <c r="B3" s="1571">
        <f>'预评函-封皮'!B40</f>
        <v>0</v>
      </c>
    </row>
    <row r="4" spans="1:2" s="1572" customFormat="1">
      <c r="A4" s="1570" t="s">
        <v>1211</v>
      </c>
      <c r="B4" s="1571" t="str">
        <f ca="1">'预评函-封皮'!B46</f>
        <v>崔锴（注册号：1120100036)、郑燚（注册号：0)</v>
      </c>
    </row>
    <row r="5" spans="1:2" s="1566" customFormat="1" ht="16.2" thickBot="1">
      <c r="A5" s="1573" t="s">
        <v>1212</v>
      </c>
      <c r="B5" s="1574" t="str">
        <f>'预评函-封皮'!B49</f>
        <v>康正预评字号</v>
      </c>
    </row>
    <row r="6" spans="1:2" s="1569" customFormat="1" ht="16.2" thickTop="1">
      <c r="A6" s="1567" t="s">
        <v>1213</v>
      </c>
      <c r="B6" s="1568" t="str">
        <f>'预评函-1'!A4</f>
        <v>受贵公司委托，我公司对四川省成都市青羊区西御街3号、5号房地产市场价值进行了预评估。</v>
      </c>
    </row>
    <row r="7" spans="1:2" s="1572" customFormat="1">
      <c r="A7" s="1570" t="s">
        <v>1253</v>
      </c>
      <c r="B7" s="1571" t="str">
        <f>'预评函-1'!A7</f>
        <v>估价对象为四川省成都市青羊区西御街3号、5号房地产，为所有。根据《国有土地使用证》[]，估价对象（分摊）出让国有建设用地使用权面积为12224.89平方米，建筑面积为166451.09平方米。</v>
      </c>
    </row>
    <row r="8" spans="1:2" s="1572" customFormat="1">
      <c r="A8" s="1570" t="s">
        <v>1254</v>
      </c>
      <c r="B8" s="1571" t="str">
        <f>'预评函-1'!A8</f>
        <v>估价对象简述。项目推广名，项目类型（用途），估价对象分布，各用途面积明细情况：XX用途建筑面积XX平方米，XX用途建筑面积XX平方米，……。复杂面积清单需设‘附表’列示：抵押物清单详见附表</v>
      </c>
    </row>
    <row r="9" spans="1:2" s="1572" customFormat="1">
      <c r="A9" s="1570" t="s">
        <v>1255</v>
      </c>
      <c r="B9" s="1571" t="str">
        <f>'预评函-1'!A10</f>
        <v>估价对象为四川省成都市青羊区西御街3号、5号房地产,属开发建设的，该项目尚在开发建设中。根据《国有土地使用证》[]，估价对象（分摊）出让国有建设用地使用权面积为12224.89平方米，规划建筑面积为166451.09平方米。</v>
      </c>
    </row>
    <row r="10" spans="1:2" s="1572" customFormat="1">
      <c r="A10" s="1570" t="s">
        <v>1256</v>
      </c>
      <c r="B10" s="15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2" customFormat="1">
      <c r="A11" s="1570" t="s">
        <v>1214</v>
      </c>
      <c r="B11" s="1571" t="str">
        <f>'预评函-1'!A13</f>
        <v>为估价委托人了解估价对象房地产市场价值提供参考依据。</v>
      </c>
    </row>
    <row r="12" spans="1:2" s="1572" customFormat="1">
      <c r="A12" s="1570" t="s">
        <v>1215</v>
      </c>
      <c r="B12" s="1571" t="str">
        <f>'预评函-1'!A15</f>
        <v>2020年3月13日（评估专业人员实地查勘之日）</v>
      </c>
    </row>
    <row r="13" spans="1:2" s="1572" customFormat="1">
      <c r="A13" s="1570" t="s">
        <v>1216</v>
      </c>
      <c r="B13" s="1571" t="str">
        <f>'预评函-1'!A18</f>
        <v>本次估价的“房地产价值”是指在正常市场情况下，在价值时点2020年3月13日，估价对象规划用途为商业、办公，土地取得方式为出让，出让国有建设用地使用权剩余土地使用年限为，假定未设立法定优先受偿款下的房地产市场价值。</v>
      </c>
    </row>
    <row r="14" spans="1:2" s="1572" customFormat="1">
      <c r="A14" s="1570" t="s">
        <v>1217</v>
      </c>
      <c r="B14" s="1571" t="str">
        <f>'预评函-1'!A19</f>
        <v>其中，“出让国有建设用地使用权价值”是指估价对象用途为商业、办公，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2" customFormat="1">
      <c r="A15" s="1570" t="s">
        <v>1218</v>
      </c>
      <c r="B15" s="1571" t="str">
        <f>'预评函-1'!A20</f>
        <v>——</v>
      </c>
    </row>
    <row r="16" spans="1:2" s="1572" customFormat="1">
      <c r="A16" s="1570" t="s">
        <v>1219</v>
      </c>
      <c r="B16" s="1571" t="str">
        <f>'预评函-1'!A21</f>
        <v>——</v>
      </c>
    </row>
    <row r="17" spans="1:2" s="1572" customFormat="1">
      <c r="A17" s="1570" t="s">
        <v>1220</v>
      </c>
      <c r="B17" s="1571" t="str">
        <f>'预评函-1'!A22</f>
        <v>——</v>
      </c>
    </row>
    <row r="18" spans="1:2" s="1566" customFormat="1" ht="16.2" thickBot="1">
      <c r="A18" s="1573" t="s">
        <v>1221</v>
      </c>
      <c r="B18" s="1574" t="str">
        <f>'预评函-1'!A24</f>
        <v>本次评估采用的主估价方法为基准地价系数修正法和收益法。</v>
      </c>
    </row>
    <row r="19" spans="1:2" s="1569" customFormat="1" ht="16.2" thickTop="1">
      <c r="A19" s="1567" t="s">
        <v>1222</v>
      </c>
      <c r="B19" s="156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2" customFormat="1">
      <c r="A20" s="1570" t="s">
        <v>1223</v>
      </c>
      <c r="B20" s="1571">
        <f ca="1">'预评函-2'!D5</f>
        <v>53174</v>
      </c>
    </row>
    <row r="21" spans="1:2" s="1572" customFormat="1">
      <c r="A21" s="1570" t="s">
        <v>1224</v>
      </c>
      <c r="B21" s="1571">
        <f ca="1">'预评函-2'!D7</f>
        <v>53421</v>
      </c>
    </row>
    <row r="22" spans="1:2" s="1572" customFormat="1">
      <c r="A22" s="1570" t="s">
        <v>1225</v>
      </c>
      <c r="B22" s="1571" t="str">
        <f ca="1">'预评函-2'!D6</f>
        <v>伍亿叁仟壹佰柒拾肆万元整</v>
      </c>
    </row>
    <row r="23" spans="1:2" s="1572" customFormat="1">
      <c r="A23" s="1570" t="s">
        <v>1276</v>
      </c>
      <c r="B23" s="1571" t="str">
        <f>'预评函-2'!B8</f>
        <v>2.估价师知悉的法定优先受偿款</v>
      </c>
    </row>
    <row r="24" spans="1:2" s="1572" customFormat="1">
      <c r="A24" s="1570" t="s">
        <v>1282</v>
      </c>
      <c r="B24" s="1571">
        <f>'预评函-2'!D8</f>
        <v>0</v>
      </c>
    </row>
    <row r="25" spans="1:2" s="1572" customFormat="1">
      <c r="A25" s="1570" t="s">
        <v>1226</v>
      </c>
      <c r="B25" s="1571" t="str">
        <f>'预评函-2'!D9</f>
        <v>零元整</v>
      </c>
    </row>
    <row r="26" spans="1:2" s="1572" customFormat="1">
      <c r="A26" s="1570" t="s">
        <v>1227</v>
      </c>
      <c r="B26" s="1571">
        <f>'预评函-2'!D10</f>
        <v>0</v>
      </c>
    </row>
    <row r="27" spans="1:2" s="1572" customFormat="1">
      <c r="A27" s="1570" t="s">
        <v>1228</v>
      </c>
      <c r="B27" s="1571">
        <f>'预评函-2'!D11</f>
        <v>0</v>
      </c>
    </row>
    <row r="28" spans="1:2" s="1572" customFormat="1">
      <c r="A28" s="1570" t="s">
        <v>1229</v>
      </c>
      <c r="B28" s="1571">
        <f>'预评函-2'!D12</f>
        <v>0</v>
      </c>
    </row>
    <row r="29" spans="1:2" s="1572" customFormat="1">
      <c r="A29" s="1570" t="s">
        <v>1280</v>
      </c>
      <c r="B29" s="1571" t="str">
        <f>'预评函-2'!B13</f>
        <v>3.房地产抵押价值</v>
      </c>
    </row>
    <row r="30" spans="1:2" s="1572" customFormat="1">
      <c r="A30" s="1570" t="s">
        <v>1281</v>
      </c>
      <c r="B30" s="1571">
        <f ca="1">'预评函-2'!D13</f>
        <v>53174</v>
      </c>
    </row>
    <row r="31" spans="1:2" s="1572" customFormat="1">
      <c r="A31" s="1570" t="s">
        <v>1263</v>
      </c>
      <c r="B31" s="1571">
        <f ca="1">'预评函-2'!D15</f>
        <v>3195</v>
      </c>
    </row>
    <row r="32" spans="1:2" s="1572" customFormat="1">
      <c r="A32" s="1570" t="s">
        <v>1230</v>
      </c>
      <c r="B32" s="1571" t="str">
        <f ca="1">'预评函-2'!D14</f>
        <v>伍亿叁仟壹佰柒拾肆万元整</v>
      </c>
    </row>
    <row r="33" spans="1:2" s="1572" customFormat="1">
      <c r="A33" s="1570" t="s">
        <v>1265</v>
      </c>
      <c r="B33" s="1571" t="str">
        <f>'预评函-2'!B16</f>
        <v>——</v>
      </c>
    </row>
    <row r="34" spans="1:2" s="1572" customFormat="1">
      <c r="A34" s="1570" t="s">
        <v>1283</v>
      </c>
      <c r="B34" s="1571" t="str">
        <f>'预评函-2'!D16</f>
        <v>——</v>
      </c>
    </row>
    <row r="35" spans="1:2" s="1572" customFormat="1">
      <c r="A35" s="1570" t="s">
        <v>1264</v>
      </c>
      <c r="B35" s="1571" t="str">
        <f>'预评函-2'!D18</f>
        <v>——</v>
      </c>
    </row>
    <row r="36" spans="1:2" s="1572" customFormat="1">
      <c r="A36" s="1570" t="s">
        <v>1231</v>
      </c>
      <c r="B36" s="1571" t="e">
        <f>'预评函-2'!D17</f>
        <v>#VALUE!</v>
      </c>
    </row>
    <row r="37" spans="1:2" s="1572" customFormat="1">
      <c r="A37" s="1570" t="s">
        <v>1266</v>
      </c>
      <c r="B37" s="1571" t="str">
        <f>'预评函-2'!B19</f>
        <v>——</v>
      </c>
    </row>
    <row r="38" spans="1:2" s="1572" customFormat="1">
      <c r="A38" s="1570" t="s">
        <v>1284</v>
      </c>
      <c r="B38" s="1571" t="str">
        <f>'预评函-2'!D19</f>
        <v>——</v>
      </c>
    </row>
    <row r="39" spans="1:2" s="1572" customFormat="1">
      <c r="A39" s="1570" t="s">
        <v>1232</v>
      </c>
      <c r="B39" s="1571" t="str">
        <f>'预评函-2'!D21</f>
        <v>——</v>
      </c>
    </row>
    <row r="40" spans="1:2" s="1572" customFormat="1">
      <c r="A40" s="1570" t="s">
        <v>1233</v>
      </c>
      <c r="B40" s="1571" t="e">
        <f>'预评函-2'!D20</f>
        <v>#VALUE!</v>
      </c>
    </row>
    <row r="41" spans="1:2" s="1572" customFormat="1">
      <c r="A41" s="1570" t="s">
        <v>1279</v>
      </c>
      <c r="B41" s="1571" t="str">
        <f>'预评函-3'!A4</f>
        <v>四川省成都市青羊区西御街3号、5号房地产</v>
      </c>
    </row>
    <row r="42" spans="1:2" s="1572" customFormat="1" ht="31.2">
      <c r="A42" s="1570" t="s">
        <v>1277</v>
      </c>
      <c r="B42" s="1571" t="str">
        <f>'预评函-3'!B2</f>
        <v>建筑面积</v>
      </c>
    </row>
    <row r="43" spans="1:2" s="1572" customFormat="1">
      <c r="A43" s="1570" t="s">
        <v>1278</v>
      </c>
      <c r="B43" s="1571">
        <f>'预评函-3'!B4</f>
        <v>166451.09</v>
      </c>
    </row>
    <row r="44" spans="1:2" s="1572" customFormat="1" ht="31.2">
      <c r="A44" s="1570" t="s">
        <v>1262</v>
      </c>
      <c r="B44" s="1571" t="str">
        <f>'预评函-3'!C2</f>
        <v>(分摊)土地面积</v>
      </c>
    </row>
    <row r="45" spans="1:2" s="1572" customFormat="1">
      <c r="A45" s="1570" t="s">
        <v>1234</v>
      </c>
      <c r="B45" s="1571">
        <f>'预评函-3'!C4</f>
        <v>12224.89</v>
      </c>
    </row>
    <row r="46" spans="1:2" s="1572" customFormat="1">
      <c r="A46" s="1570" t="s">
        <v>1260</v>
      </c>
      <c r="B46" s="1571" t="str">
        <f>'预评函-3'!D2</f>
        <v>出让国有建设用地使用权价值</v>
      </c>
    </row>
    <row r="47" spans="1:2" s="1572" customFormat="1">
      <c r="A47" s="1570" t="s">
        <v>1235</v>
      </c>
      <c r="B47" s="1571">
        <f ca="1">'预评函-3'!D4</f>
        <v>39242</v>
      </c>
    </row>
    <row r="48" spans="1:2" s="1572" customFormat="1">
      <c r="A48" s="1570" t="s">
        <v>1236</v>
      </c>
      <c r="B48" s="1571">
        <f ca="1">'预评函-3'!E4</f>
        <v>39424</v>
      </c>
    </row>
    <row r="49" spans="1:2" s="1572" customFormat="1">
      <c r="A49" s="1570" t="s">
        <v>1237</v>
      </c>
      <c r="B49" s="1571" t="str">
        <f ca="1">'预评函-3'!D5</f>
        <v>叁亿玖仟贰佰肆拾贰万元整</v>
      </c>
    </row>
    <row r="50" spans="1:2" s="1572" customFormat="1">
      <c r="A50" s="1570" t="s">
        <v>1261</v>
      </c>
      <c r="B50" s="1571" t="str">
        <f>'预评函-3'!F2</f>
        <v>在建建筑物价值</v>
      </c>
    </row>
    <row r="51" spans="1:2" s="1572" customFormat="1">
      <c r="A51" s="1570" t="s">
        <v>1238</v>
      </c>
      <c r="B51" s="1571">
        <f ca="1">'预评函-3'!F4</f>
        <v>13932</v>
      </c>
    </row>
    <row r="52" spans="1:2" s="1572" customFormat="1">
      <c r="A52" s="1570" t="s">
        <v>1239</v>
      </c>
      <c r="B52" s="1571">
        <f ca="1">'预评函-3'!G4</f>
        <v>13997</v>
      </c>
    </row>
    <row r="53" spans="1:2" s="1572" customFormat="1">
      <c r="A53" s="1570" t="s">
        <v>1267</v>
      </c>
      <c r="B53" s="1571" t="str">
        <f ca="1">'预评函-3'!F5</f>
        <v>壹亿叁仟玖佰叁拾贰万元整</v>
      </c>
    </row>
    <row r="54" spans="1:2" s="1572" customFormat="1">
      <c r="A54" s="1570" t="s">
        <v>1285</v>
      </c>
      <c r="B54" s="1571" t="str">
        <f>'预评函-3'!A8</f>
        <v/>
      </c>
    </row>
    <row r="55" spans="1:2" s="1572" customFormat="1">
      <c r="A55" s="1570" t="s">
        <v>1268</v>
      </c>
      <c r="B55" s="1571" t="str">
        <f>'预评函-3'!A10</f>
        <v/>
      </c>
    </row>
    <row r="56" spans="1:2" s="1572" customFormat="1">
      <c r="A56" s="1570" t="s">
        <v>1269</v>
      </c>
      <c r="B56" s="1571" t="str">
        <f>'预评函-3'!A12</f>
        <v/>
      </c>
    </row>
    <row r="57" spans="1:2" s="1566" customFormat="1" ht="16.2" thickBot="1">
      <c r="A57" s="1573" t="s">
        <v>1286</v>
      </c>
      <c r="B57" s="1574" t="str">
        <f>'预评函-3'!A6</f>
        <v/>
      </c>
    </row>
    <row r="58" spans="1:2" s="1569" customFormat="1" ht="16.2" thickTop="1">
      <c r="A58" s="1567" t="s">
        <v>1240</v>
      </c>
      <c r="B58" s="1568" t="str">
        <f>'预评函-4'!A12</f>
        <v>2.本次评估设定估价对象房地产权属无争议，未被查封或者以其他形式限制其房地产权利，未设定抵押权等他项权利，不涉及第三方权利义务。</v>
      </c>
    </row>
    <row r="59" spans="1:2" s="1572" customFormat="1">
      <c r="A59" s="1570" t="s">
        <v>1241</v>
      </c>
      <c r="B59" s="1571" t="str">
        <f>'预评函-4'!A13</f>
        <v>——</v>
      </c>
    </row>
    <row r="60" spans="1:2" s="1572" customFormat="1">
      <c r="A60" s="1570" t="s">
        <v>1242</v>
      </c>
      <c r="B60" s="1571" t="str">
        <f>'预评函-4'!A14</f>
        <v>——</v>
      </c>
    </row>
    <row r="61" spans="1:2" s="1572" customFormat="1">
      <c r="A61" s="1570" t="s">
        <v>1243</v>
      </c>
      <c r="B61" s="1571" t="str">
        <f>'预评函-4'!A15</f>
        <v>——</v>
      </c>
    </row>
    <row r="62" spans="1:2" s="1572" customFormat="1">
      <c r="A62" s="1570" t="s">
        <v>1244</v>
      </c>
      <c r="B62" s="1571" t="str">
        <f>'预评函-4'!A16</f>
        <v>（2）根据《工程款支付情况说明》，截至价值时点，估价对象不存在应付未付工程款项。（只要没有施工方盖章的，均“设定”进行表述）</v>
      </c>
    </row>
    <row r="63" spans="1:2" s="1572" customFormat="1">
      <c r="A63" s="1570" t="s">
        <v>1245</v>
      </c>
      <c r="B63" s="15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2" customFormat="1">
      <c r="A64" s="1570" t="s">
        <v>1257</v>
      </c>
      <c r="B64" s="1571" t="str">
        <f>'预评函-4'!A18</f>
        <v>——</v>
      </c>
    </row>
    <row r="65" spans="1:2" s="1572" customFormat="1">
      <c r="A65" s="1570" t="s">
        <v>1246</v>
      </c>
      <c r="B65" s="157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2" customFormat="1">
      <c r="A66" s="1570" t="s">
        <v>1247</v>
      </c>
      <c r="B66" s="1571" t="str">
        <f>'预评函-4'!A20</f>
        <v>——</v>
      </c>
    </row>
    <row r="67" spans="1:2" s="1572" customFormat="1">
      <c r="A67" s="1570" t="s">
        <v>1258</v>
      </c>
      <c r="B67" s="1571" t="str">
        <f>'预评函-4'!A21</f>
        <v>——</v>
      </c>
    </row>
    <row r="68" spans="1:2" s="1572" customFormat="1">
      <c r="A68" s="1570" t="s">
        <v>1259</v>
      </c>
      <c r="B68" s="1571" t="str">
        <f>'预评函-4'!A22</f>
        <v>8.其他需特殊说明事项：无（注意调整序号）</v>
      </c>
    </row>
    <row r="69" spans="1:2" s="1566" customFormat="1" ht="16.2" thickBot="1">
      <c r="A69" s="1573" t="s">
        <v>1248</v>
      </c>
      <c r="B69" s="1575">
        <f>'预评函-4'!C31</f>
        <v>42551</v>
      </c>
    </row>
    <row r="70" spans="1:2" ht="16.2" thickTop="1">
      <c r="A70" s="1576" t="s">
        <v>1249</v>
      </c>
      <c r="B70" s="1577" t="str">
        <f>'预评函-4'!A4</f>
        <v>崔锴</v>
      </c>
    </row>
    <row r="71" spans="1:2">
      <c r="A71" s="1570" t="s">
        <v>1250</v>
      </c>
      <c r="B71" s="1571">
        <f ca="1">'预评函-4'!B4</f>
        <v>1120100036</v>
      </c>
    </row>
    <row r="72" spans="1:2">
      <c r="A72" s="1570" t="s">
        <v>1251</v>
      </c>
      <c r="B72" s="1579" t="str">
        <f>'预评函-4'!A5</f>
        <v>郑燚</v>
      </c>
    </row>
    <row r="73" spans="1:2" s="1566" customFormat="1" ht="16.2" thickBot="1">
      <c r="A73" s="1573" t="s">
        <v>1252</v>
      </c>
      <c r="B73" s="1574">
        <f ca="1">'预评函-4'!B5</f>
        <v>0</v>
      </c>
    </row>
    <row r="74" spans="1:2" ht="16.2" thickTop="1">
      <c r="A74" s="1563" t="s">
        <v>1288</v>
      </c>
      <c r="B74" s="158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8671875" style="2009" customWidth="1"/>
    <col min="2" max="2" width="13.6640625" style="2009" bestFit="1" customWidth="1"/>
    <col min="3" max="3" width="11.44140625" style="2009" customWidth="1"/>
    <col min="4" max="4" width="14.44140625" style="2009" customWidth="1"/>
    <col min="5" max="5" width="16.33203125" style="2009" bestFit="1" customWidth="1"/>
    <col min="6" max="6" width="15.109375" style="2009" customWidth="1"/>
    <col min="7" max="7" width="15" style="2009" customWidth="1"/>
    <col min="8" max="8" width="16.109375" style="2009" bestFit="1" customWidth="1"/>
    <col min="9" max="9" width="11.109375" style="2131" customWidth="1"/>
    <col min="10" max="10" width="10" style="2009" customWidth="1"/>
    <col min="11" max="11" width="10" style="2132" customWidth="1"/>
    <col min="12" max="13" width="10" style="2133" customWidth="1"/>
    <col min="14" max="14" width="10" style="2009" customWidth="1"/>
    <col min="15" max="15" width="10" style="2131" customWidth="1"/>
    <col min="16" max="17" width="10" style="2009"/>
    <col min="18" max="18" width="10" style="2009" customWidth="1"/>
    <col min="19" max="16384" width="10" style="2009"/>
  </cols>
  <sheetData>
    <row r="1" spans="1:19" ht="38.25" customHeight="1" thickBot="1">
      <c r="A1" s="2002" t="s">
        <v>1759</v>
      </c>
      <c r="B1" s="3494" t="str">
        <f>IF(B10="北京市","北京市",C10)&amp;F10&amp;IF(结果表商!G1="在建","出让国有建设用地使用权及在建建筑物",IF(结果表商!G1="土地","出让国有建设用地使用权",))&amp;B9&amp;"预评估"</f>
        <v>四川省成都市青羊区西御街3号、5号房地产市场价值预评估</v>
      </c>
      <c r="C1" s="3495"/>
      <c r="D1" s="3495"/>
      <c r="E1" s="3495"/>
      <c r="F1" s="3495"/>
      <c r="G1" s="3495"/>
      <c r="H1" s="3495"/>
      <c r="I1" s="3496"/>
      <c r="J1" s="2003"/>
      <c r="K1" s="2004"/>
      <c r="L1" s="2005"/>
      <c r="M1" s="2005"/>
      <c r="N1" s="2006"/>
      <c r="O1" s="2007"/>
      <c r="P1" s="2006"/>
      <c r="Q1" s="2006"/>
      <c r="R1" s="2006"/>
      <c r="S1" s="2008" t="str">
        <f>IF(B10="北京市","北京市",C10)&amp;F10&amp;IF(结果表商!G1="在建","出让国有建设用地使用权及在建建筑物房地产抵押价值",IF(结果表商!G1="土地","出让国有建设用地使用权抵押价值",B9))</f>
        <v>四川省成都市青羊区西御街3号、5号房地产市场价值</v>
      </c>
    </row>
    <row r="2" spans="1:19" ht="18" customHeight="1">
      <c r="A2" s="2003" t="s">
        <v>1760</v>
      </c>
      <c r="B2" s="1028"/>
      <c r="C2" s="2010"/>
      <c r="D2" s="2003"/>
      <c r="E2" s="2011"/>
      <c r="F2" s="2011"/>
      <c r="G2" s="2003"/>
      <c r="H2" s="2003"/>
      <c r="I2" s="2003"/>
      <c r="J2" s="2003"/>
      <c r="K2" s="2004"/>
      <c r="L2" s="2005"/>
      <c r="M2" s="2005"/>
      <c r="N2" s="2006"/>
      <c r="O2" s="2007"/>
      <c r="P2" s="2006"/>
      <c r="Q2" s="2006"/>
      <c r="R2" s="2006"/>
      <c r="S2" s="2008" t="str">
        <f>IF(B10="北京市","北京市",C10)&amp;F10&amp;IF(结果表商!G1="在建","出让国有建设用地使用权及在建建筑物房地产",IF(结果表商!G1="土地","出让国有建设用地使用权","房地产"))</f>
        <v>四川省成都市青羊区西御街3号、5号房地产</v>
      </c>
    </row>
    <row r="3" spans="1:19" ht="18" customHeight="1">
      <c r="A3" s="2012" t="s">
        <v>1761</v>
      </c>
      <c r="B3" s="2013">
        <v>43903</v>
      </c>
      <c r="C3" s="2014" t="s">
        <v>1762</v>
      </c>
      <c r="D3" s="2013">
        <f>B3</f>
        <v>43903</v>
      </c>
      <c r="E3" s="2003"/>
      <c r="F3" s="2003"/>
      <c r="G3" s="2003"/>
      <c r="H3" s="2003"/>
      <c r="I3" s="2003"/>
      <c r="J3" s="2003"/>
      <c r="K3" s="2004"/>
      <c r="L3" s="2005"/>
      <c r="M3" s="2005"/>
      <c r="N3" s="2006"/>
      <c r="O3" s="2007"/>
      <c r="P3" s="2006"/>
      <c r="Q3" s="2006"/>
      <c r="R3" s="2006"/>
      <c r="S3" s="2008"/>
    </row>
    <row r="4" spans="1:19" ht="18" customHeight="1" thickBot="1">
      <c r="A4" s="2015" t="s">
        <v>1763</v>
      </c>
      <c r="B4" s="2016" t="s">
        <v>3162</v>
      </c>
      <c r="C4" s="1026">
        <f ca="1">SUMIF(注册房地产估价师,B4,估价师及机构信息!B3:B24)</f>
        <v>1120100036</v>
      </c>
      <c r="D4" s="2016" t="s">
        <v>3163</v>
      </c>
      <c r="E4" s="1027">
        <f ca="1">SUMIF(注册房地产估价师,D4,估价师及机构信息!B3:B24)</f>
        <v>0</v>
      </c>
      <c r="F4" s="2016" t="s">
        <v>70</v>
      </c>
      <c r="G4" s="2017">
        <f>SUMIF(注册房地产估价师,F4,估价师及机构信息!B3:B24)</f>
        <v>0</v>
      </c>
      <c r="H4" s="2016" t="s">
        <v>70</v>
      </c>
      <c r="I4" s="2018">
        <f>SUMIF(注册房地产估价师,H4,估价师及机构信息!B3:B24)</f>
        <v>0</v>
      </c>
      <c r="J4" s="2019"/>
      <c r="K4" s="2020" t="str">
        <f ca="1">CONCATENATE(B4,"（注册号：",C4,")、",D4,"（注册号：",E4,")")</f>
        <v>崔锴（注册号：1120100036)、郑燚（注册号：0)</v>
      </c>
      <c r="L4" s="2005"/>
      <c r="M4" s="2005"/>
      <c r="N4" s="2006"/>
      <c r="O4" s="2007"/>
      <c r="P4" s="2006"/>
      <c r="Q4" s="2006"/>
      <c r="R4" s="2006"/>
      <c r="S4" s="2008"/>
    </row>
    <row r="5" spans="1:19" ht="18" customHeight="1" thickTop="1">
      <c r="A5" s="2021" t="s">
        <v>1764</v>
      </c>
      <c r="B5" s="2940"/>
      <c r="C5" s="2022"/>
      <c r="D5" s="2023"/>
      <c r="E5" s="2019"/>
      <c r="F5" s="2019"/>
      <c r="G5" s="2019"/>
      <c r="H5" s="2019"/>
      <c r="I5" s="2019"/>
      <c r="J5" s="2019"/>
      <c r="K5" s="2020" t="str">
        <f>IF(F4="——","",IF(H4="——",F4&amp;"（注册号："&amp;G4&amp;")",CONCATENATE(F4,"（注册号：",G4,")、",H4,"（注册号：",I4,")")))</f>
        <v/>
      </c>
      <c r="L5" s="2005"/>
      <c r="M5" s="2005"/>
      <c r="N5" s="2006"/>
      <c r="O5" s="2007"/>
      <c r="P5" s="2006"/>
      <c r="Q5" s="2006"/>
      <c r="R5" s="2006"/>
    </row>
    <row r="6" spans="1:19" ht="18" customHeight="1" thickBot="1">
      <c r="A6" s="2024" t="s">
        <v>1765</v>
      </c>
      <c r="B6" s="2941"/>
      <c r="C6" s="2025"/>
      <c r="D6" s="2026"/>
      <c r="E6" s="2011"/>
      <c r="F6" s="2019"/>
      <c r="G6" s="2019"/>
      <c r="H6" s="2019"/>
      <c r="I6" s="2019"/>
      <c r="J6" s="2019"/>
      <c r="K6" s="2027" t="str">
        <f>IF(COUNTIF(B6,"*上海银行*"),"上海银行","")</f>
        <v/>
      </c>
      <c r="L6" s="2005"/>
      <c r="M6" s="2005"/>
      <c r="N6" s="2006"/>
      <c r="O6" s="2007"/>
      <c r="P6" s="2006"/>
      <c r="Q6" s="2006"/>
      <c r="R6" s="2006"/>
    </row>
    <row r="7" spans="1:19" ht="18" customHeight="1" thickTop="1">
      <c r="A7" s="2024" t="s">
        <v>1766</v>
      </c>
      <c r="B7" s="2940"/>
      <c r="C7" s="2025"/>
      <c r="D7" s="2026"/>
      <c r="E7" s="2011"/>
      <c r="F7" s="2019"/>
      <c r="G7" s="2019"/>
      <c r="H7" s="2019"/>
      <c r="I7" s="2019"/>
      <c r="J7" s="2019"/>
      <c r="K7" s="2028"/>
      <c r="L7" s="2005"/>
      <c r="M7" s="2005"/>
      <c r="N7" s="2006"/>
      <c r="O7" s="2007"/>
      <c r="P7" s="2006"/>
      <c r="Q7" s="2006"/>
      <c r="R7" s="2006"/>
    </row>
    <row r="8" spans="1:19" ht="18" customHeight="1">
      <c r="A8" s="2024" t="s">
        <v>1767</v>
      </c>
      <c r="B8" s="2942" t="s">
        <v>3515</v>
      </c>
      <c r="C8" s="2029"/>
      <c r="D8" s="3497" t="s">
        <v>1768</v>
      </c>
      <c r="E8" s="2030"/>
      <c r="F8" s="2031"/>
      <c r="G8" s="2003"/>
      <c r="H8" s="2003"/>
      <c r="I8" s="2003"/>
      <c r="J8" s="2019"/>
      <c r="K8" s="2020"/>
      <c r="L8" s="2005"/>
      <c r="M8" s="2005"/>
      <c r="N8" s="2006"/>
      <c r="O8" s="2007"/>
      <c r="P8" s="2006"/>
      <c r="Q8" s="2006"/>
      <c r="R8" s="2006"/>
    </row>
    <row r="9" spans="1:19" ht="18" customHeight="1" thickBot="1">
      <c r="A9" s="2017" t="s">
        <v>1769</v>
      </c>
      <c r="B9" s="2943" t="s">
        <v>3514</v>
      </c>
      <c r="C9" s="2033"/>
      <c r="D9" s="3498"/>
      <c r="E9" s="2032"/>
      <c r="F9" s="2034"/>
      <c r="G9" s="2035"/>
      <c r="H9" s="2035"/>
      <c r="I9" s="2035"/>
      <c r="J9" s="2019"/>
      <c r="K9" s="2028"/>
      <c r="L9" s="2005"/>
      <c r="M9" s="2005"/>
      <c r="N9" s="2006"/>
      <c r="O9" s="2007"/>
      <c r="P9" s="2006"/>
      <c r="Q9" s="2006"/>
      <c r="R9" s="2006"/>
    </row>
    <row r="10" spans="1:19" ht="18" customHeight="1" thickTop="1">
      <c r="A10" s="2036" t="s">
        <v>1770</v>
      </c>
      <c r="B10" s="2037" t="s">
        <v>3417</v>
      </c>
      <c r="C10" s="3412" t="s">
        <v>3418</v>
      </c>
      <c r="D10" s="2023"/>
      <c r="E10" s="2038" t="s">
        <v>1771</v>
      </c>
      <c r="F10" s="2988" t="s">
        <v>3419</v>
      </c>
      <c r="G10" s="2039"/>
      <c r="H10" s="2040"/>
      <c r="I10" s="2023"/>
      <c r="J10" s="2019"/>
      <c r="K10" s="2028"/>
      <c r="L10" s="2005"/>
      <c r="M10" s="2005"/>
      <c r="N10" s="2006"/>
      <c r="O10" s="2007"/>
      <c r="P10" s="2006"/>
      <c r="Q10" s="2006"/>
      <c r="R10" s="2006"/>
    </row>
    <row r="11" spans="1:19" ht="18" customHeight="1">
      <c r="A11" s="2041" t="s">
        <v>1772</v>
      </c>
      <c r="B11" s="2042" t="s">
        <v>3026</v>
      </c>
      <c r="C11" s="2043"/>
      <c r="D11" s="2044"/>
      <c r="E11" s="2019"/>
      <c r="F11" s="2019"/>
      <c r="G11" s="2019"/>
      <c r="H11" s="2019"/>
      <c r="I11" s="2019"/>
      <c r="J11" s="2019"/>
      <c r="K11" s="2028"/>
      <c r="L11" s="2005"/>
      <c r="M11" s="2005"/>
      <c r="N11" s="2006"/>
      <c r="O11" s="2007"/>
      <c r="P11" s="2006"/>
      <c r="Q11" s="2006"/>
      <c r="R11" s="2006"/>
    </row>
    <row r="12" spans="1:19" ht="18" customHeight="1">
      <c r="A12" s="2045" t="s">
        <v>1773</v>
      </c>
      <c r="B12" s="2042" t="s">
        <v>3027</v>
      </c>
      <c r="C12" s="2046" t="s">
        <v>1774</v>
      </c>
      <c r="D12" s="2047" t="s">
        <v>1775</v>
      </c>
      <c r="E12" s="2047" t="s">
        <v>1776</v>
      </c>
      <c r="F12" s="2047" t="s">
        <v>1777</v>
      </c>
      <c r="G12" s="2047" t="s">
        <v>1778</v>
      </c>
      <c r="H12" s="2047" t="s">
        <v>1779</v>
      </c>
      <c r="I12" s="2047" t="s">
        <v>1780</v>
      </c>
      <c r="J12" s="2019"/>
      <c r="K12" s="2028"/>
      <c r="L12" s="2005"/>
      <c r="M12" s="2005"/>
      <c r="N12" s="2006"/>
      <c r="O12" s="2007"/>
      <c r="P12" s="2006"/>
      <c r="Q12" s="2006"/>
      <c r="R12" s="2006"/>
    </row>
    <row r="13" spans="1:19" ht="18" customHeight="1">
      <c r="A13" s="2048"/>
      <c r="B13" s="2049"/>
      <c r="C13" s="2050" t="s">
        <v>1781</v>
      </c>
      <c r="D13" s="2051"/>
      <c r="E13" s="2944">
        <v>54184</v>
      </c>
      <c r="F13" s="2944">
        <v>54184</v>
      </c>
      <c r="G13" s="2944">
        <v>54184</v>
      </c>
      <c r="H13" s="2944"/>
      <c r="I13" s="1036">
        <v>47422</v>
      </c>
      <c r="J13" s="2019"/>
      <c r="K13" s="2028"/>
      <c r="L13" s="2005"/>
      <c r="M13" s="2005"/>
      <c r="N13" s="2006"/>
      <c r="O13" s="2007"/>
      <c r="P13" s="2006"/>
      <c r="Q13" s="2006"/>
      <c r="R13" s="2006"/>
    </row>
    <row r="14" spans="1:19" ht="18" customHeight="1">
      <c r="A14" s="2048"/>
      <c r="B14" s="2049"/>
      <c r="C14" s="2050" t="s">
        <v>1782</v>
      </c>
      <c r="D14" s="1039"/>
      <c r="E14" s="1039">
        <v>40</v>
      </c>
      <c r="F14" s="1039">
        <v>40</v>
      </c>
      <c r="G14" s="1039">
        <v>40</v>
      </c>
      <c r="H14" s="1039">
        <v>50</v>
      </c>
      <c r="I14" s="1039"/>
      <c r="J14" s="2019"/>
      <c r="K14" s="2052"/>
      <c r="L14" s="2005"/>
      <c r="M14" s="2005"/>
      <c r="N14" s="2006"/>
      <c r="O14" s="2007"/>
      <c r="P14" s="2006"/>
      <c r="Q14" s="2006"/>
      <c r="R14" s="2006"/>
    </row>
    <row r="15" spans="1:19" ht="18" customHeight="1">
      <c r="A15" s="2036"/>
      <c r="B15" s="2053"/>
      <c r="C15" s="2050" t="s">
        <v>1783</v>
      </c>
      <c r="D15" s="1038" t="str">
        <f>IF(B12="出让",IF(D13="","",ROUNDDOWN(MIN((D13-$D$3)/365,D14),2)),D14)</f>
        <v/>
      </c>
      <c r="E15" s="1038">
        <f>IF(B12="出让",IF(E13="","",ROUNDDOWN(MIN((E13-$D$3)/365,E14),2)),E14)</f>
        <v>28.16</v>
      </c>
      <c r="F15" s="1038">
        <f>IF(B12="出让",IF(F13="","",ROUNDDOWN(MIN((F13-$D$3)/365,F14),2)),F14)</f>
        <v>28.16</v>
      </c>
      <c r="G15" s="1038">
        <f>IF(B12="出让",IF(G13="","",ROUNDDOWN(MIN((G13-$D$3)/365,G14),2)),G14)</f>
        <v>28.16</v>
      </c>
      <c r="H15" s="1038" t="str">
        <f>IF(B12="出让",IF(H13="","",ROUNDDOWN(MIN((H13-$D$3)/365,H14),2)),H14)</f>
        <v/>
      </c>
      <c r="I15" s="1038">
        <f>IF(B12="出让",IF(I13="","",ROUNDDOWN(MIN((I13-$D$3)/365,I14),2)),I14)</f>
        <v>9.64</v>
      </c>
      <c r="J15" s="2019"/>
      <c r="K15" s="2054"/>
      <c r="L15" s="2055"/>
      <c r="M15" s="2055"/>
      <c r="N15" s="2056"/>
      <c r="O15" s="2055"/>
      <c r="P15" s="2056"/>
      <c r="Q15" s="2006"/>
      <c r="R15" s="2006"/>
    </row>
    <row r="16" spans="1:19" ht="30.75" customHeight="1">
      <c r="A16" s="2038" t="s">
        <v>1784</v>
      </c>
      <c r="B16" s="3504" t="s">
        <v>3028</v>
      </c>
      <c r="C16" s="3505"/>
      <c r="D16" s="3506"/>
      <c r="E16" s="2057" t="s">
        <v>1785</v>
      </c>
      <c r="F16" s="3507"/>
      <c r="G16" s="3508"/>
      <c r="H16" s="3508"/>
      <c r="I16" s="3509"/>
      <c r="J16" s="2006"/>
      <c r="K16" s="2054"/>
      <c r="L16" s="2055"/>
      <c r="M16" s="2055"/>
      <c r="N16" s="2056"/>
      <c r="O16" s="2055"/>
      <c r="P16" s="2056"/>
      <c r="Q16" s="2006"/>
      <c r="R16" s="2006"/>
    </row>
    <row r="17" spans="1:22" ht="18" customHeight="1">
      <c r="A17" s="2058" t="s">
        <v>1786</v>
      </c>
      <c r="B17" s="2012" t="s">
        <v>1787</v>
      </c>
      <c r="C17" s="1043">
        <f>'数据-汇总表'!E3</f>
        <v>166451.09</v>
      </c>
      <c r="D17" s="2059" t="s">
        <v>1788</v>
      </c>
      <c r="E17" s="3510" t="s">
        <v>1789</v>
      </c>
      <c r="F17" s="3511"/>
      <c r="G17" s="3511"/>
      <c r="H17" s="3511"/>
      <c r="I17" s="3512"/>
      <c r="J17" s="2006"/>
      <c r="K17" s="2060"/>
      <c r="L17" s="2055"/>
      <c r="M17" s="2055"/>
      <c r="N17" s="2056"/>
      <c r="O17" s="2055"/>
      <c r="P17" s="2056"/>
      <c r="Q17" s="2006"/>
      <c r="R17" s="2006"/>
      <c r="S17" s="2006"/>
      <c r="T17" s="2006"/>
      <c r="U17" s="2006"/>
      <c r="V17" s="2006"/>
    </row>
    <row r="18" spans="1:22" ht="36" customHeight="1" thickBot="1">
      <c r="A18" s="2061" t="s">
        <v>1790</v>
      </c>
      <c r="B18" s="2015" t="s">
        <v>1791</v>
      </c>
      <c r="C18" s="1424">
        <f>'数据-汇总表'!D3</f>
        <v>12224.89</v>
      </c>
      <c r="D18" s="2062" t="s">
        <v>1788</v>
      </c>
      <c r="E18" s="3513" t="s">
        <v>1792</v>
      </c>
      <c r="F18" s="3514"/>
      <c r="G18" s="3514"/>
      <c r="H18" s="3514"/>
      <c r="I18" s="3515"/>
      <c r="J18" s="2006"/>
      <c r="K18" s="2060"/>
      <c r="L18" s="2055"/>
      <c r="M18" s="2055"/>
      <c r="N18" s="2056"/>
      <c r="O18" s="2055"/>
      <c r="P18" s="2056"/>
      <c r="Q18" s="2006"/>
      <c r="R18" s="2006"/>
      <c r="S18" s="2006"/>
      <c r="T18" s="2006"/>
      <c r="U18" s="2006"/>
      <c r="V18" s="2006"/>
    </row>
    <row r="19" spans="1:22" ht="37.5" customHeight="1" thickTop="1" thickBot="1">
      <c r="A19" s="373" t="s">
        <v>1793</v>
      </c>
      <c r="B19" s="352" t="s">
        <v>1794</v>
      </c>
      <c r="C19" s="2063"/>
      <c r="D19" s="2064" t="s">
        <v>1795</v>
      </c>
      <c r="E19" s="2065"/>
      <c r="F19" s="2066" t="str">
        <f>IF(AND(C19="是",E19="否"),"是否提供他项权证或相关说明","")</f>
        <v/>
      </c>
      <c r="G19" s="2067"/>
      <c r="H19" s="2019"/>
      <c r="I19" s="2019"/>
      <c r="J19" s="2019"/>
      <c r="K19" s="2028"/>
      <c r="L19" s="2005"/>
      <c r="M19" s="2005"/>
      <c r="N19" s="2056"/>
      <c r="O19" s="2055"/>
      <c r="P19" s="2056"/>
      <c r="Q19" s="2006"/>
      <c r="R19" s="2006"/>
      <c r="S19" s="2006"/>
      <c r="T19" s="2006"/>
      <c r="U19" s="2006"/>
      <c r="V19" s="2006"/>
    </row>
    <row r="20" spans="1:22" ht="18" customHeight="1">
      <c r="A20" s="2068" t="s">
        <v>1796</v>
      </c>
      <c r="B20" s="3500" t="s">
        <v>1797</v>
      </c>
      <c r="C20" s="3501"/>
      <c r="D20" s="3502" t="s">
        <v>1798</v>
      </c>
      <c r="E20" s="3503"/>
      <c r="F20" s="2069" t="s">
        <v>1799</v>
      </c>
      <c r="G20" s="2019"/>
      <c r="H20" s="2019"/>
      <c r="I20" s="2019"/>
      <c r="J20" s="2019"/>
      <c r="K20" s="3499" t="s">
        <v>1800</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6"/>
      <c r="O20" s="2055"/>
      <c r="P20" s="2056"/>
      <c r="Q20" s="2006"/>
      <c r="R20" s="2006"/>
      <c r="S20" s="2006"/>
      <c r="T20" s="2006"/>
      <c r="U20" s="2006"/>
      <c r="V20" s="2006"/>
    </row>
    <row r="21" spans="1:22" ht="24.75" customHeight="1">
      <c r="A21" s="2068"/>
      <c r="B21" s="2070" t="s">
        <v>1801</v>
      </c>
      <c r="C21" s="2071" t="s">
        <v>1802</v>
      </c>
      <c r="D21" s="2072" t="s">
        <v>1803</v>
      </c>
      <c r="E21" s="2073" t="s">
        <v>1802</v>
      </c>
      <c r="F21" s="2074"/>
      <c r="G21" s="2019"/>
      <c r="H21" s="2019"/>
      <c r="I21" s="2019"/>
      <c r="J21" s="2019"/>
      <c r="K21" s="349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6"/>
      <c r="O21" s="2055"/>
      <c r="P21" s="2056"/>
      <c r="Q21" s="2006"/>
      <c r="R21" s="2006"/>
      <c r="S21" s="2006"/>
      <c r="T21" s="2006"/>
      <c r="U21" s="2006"/>
      <c r="V21" s="2006"/>
    </row>
    <row r="22" spans="1:22" ht="24.75" customHeight="1" thickBot="1">
      <c r="A22" s="2068"/>
      <c r="B22" s="2075" t="s">
        <v>1804</v>
      </c>
      <c r="C22" s="2071" t="s">
        <v>1805</v>
      </c>
      <c r="D22" s="2003"/>
      <c r="E22" s="2003"/>
      <c r="F22" s="2076"/>
      <c r="G22" s="2019"/>
      <c r="H22" s="2019"/>
      <c r="I22" s="2019"/>
      <c r="J22" s="2019"/>
      <c r="K22" s="3499"/>
      <c r="L22" s="744"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6"/>
      <c r="O22" s="2055"/>
      <c r="P22" s="2056"/>
      <c r="Q22" s="2006"/>
      <c r="R22" s="2006"/>
      <c r="S22" s="2006"/>
      <c r="T22" s="2006"/>
      <c r="U22" s="2006"/>
      <c r="V22" s="2006"/>
    </row>
    <row r="23" spans="1:22" ht="18" customHeight="1">
      <c r="A23" s="2077" t="s">
        <v>1806</v>
      </c>
      <c r="B23" s="183" t="s">
        <v>1807</v>
      </c>
      <c r="C23" s="2078"/>
      <c r="D23" s="2079" t="s">
        <v>1807</v>
      </c>
      <c r="E23" s="2080"/>
      <c r="F23" s="2076"/>
      <c r="G23" s="2019"/>
      <c r="H23" s="2019"/>
      <c r="I23" s="2019"/>
      <c r="J23" s="2019"/>
      <c r="K23" s="2081"/>
      <c r="L23" s="744"/>
      <c r="M23" s="2005"/>
      <c r="N23" s="2056"/>
      <c r="O23" s="2055"/>
      <c r="P23" s="2056"/>
      <c r="Q23" s="2006"/>
      <c r="R23" s="2006"/>
      <c r="S23" s="2006"/>
      <c r="T23" s="2006"/>
      <c r="U23" s="2006"/>
      <c r="V23" s="2006"/>
    </row>
    <row r="24" spans="1:22" ht="18" customHeight="1">
      <c r="A24" s="2082"/>
      <c r="B24" s="183" t="s">
        <v>1808</v>
      </c>
      <c r="C24" s="2083"/>
      <c r="D24" s="2077" t="s">
        <v>1808</v>
      </c>
      <c r="E24" s="2084"/>
      <c r="F24" s="2076"/>
      <c r="G24" s="2019"/>
      <c r="H24" s="2019"/>
      <c r="I24" s="2019"/>
      <c r="J24" s="2019"/>
      <c r="K24" s="2081"/>
      <c r="L24" s="744"/>
      <c r="M24" s="2005"/>
      <c r="N24" s="2056"/>
      <c r="O24" s="2055"/>
      <c r="P24" s="2056"/>
      <c r="Q24" s="2006"/>
      <c r="R24" s="2006"/>
      <c r="S24" s="2006"/>
      <c r="T24" s="2006"/>
      <c r="U24" s="2006"/>
      <c r="V24" s="2006"/>
    </row>
    <row r="25" spans="1:22" ht="18" customHeight="1">
      <c r="A25" s="2082"/>
      <c r="B25" s="183" t="s">
        <v>1809</v>
      </c>
      <c r="C25" s="2083"/>
      <c r="D25" s="2077" t="s">
        <v>1809</v>
      </c>
      <c r="E25" s="2084"/>
      <c r="F25" s="2076"/>
      <c r="G25" s="2019"/>
      <c r="H25" s="2019"/>
      <c r="I25" s="2019"/>
      <c r="J25" s="2019"/>
      <c r="K25" s="2028"/>
      <c r="L25" s="2005"/>
      <c r="M25" s="2005"/>
      <c r="N25" s="2056"/>
      <c r="O25" s="2055"/>
      <c r="P25" s="2056"/>
      <c r="Q25" s="2006"/>
      <c r="R25" s="2006"/>
      <c r="S25" s="2006"/>
      <c r="T25" s="2006"/>
      <c r="U25" s="2006"/>
      <c r="V25" s="2006"/>
    </row>
    <row r="26" spans="1:22" ht="18" customHeight="1" thickBot="1">
      <c r="A26" s="2085"/>
      <c r="B26" s="2086" t="s">
        <v>1810</v>
      </c>
      <c r="C26" s="2087"/>
      <c r="D26" s="2088" t="s">
        <v>1811</v>
      </c>
      <c r="E26" s="2089"/>
      <c r="F26" s="2090"/>
      <c r="G26" s="2035"/>
      <c r="H26" s="2035"/>
      <c r="I26" s="2035"/>
      <c r="J26" s="2019"/>
      <c r="K26" s="2028"/>
      <c r="L26" s="2005"/>
      <c r="M26" s="2005"/>
      <c r="N26" s="2056"/>
      <c r="O26" s="2055"/>
      <c r="P26" s="2056"/>
      <c r="Q26" s="2006"/>
      <c r="R26" s="2006"/>
      <c r="S26" s="2006"/>
      <c r="T26" s="2006"/>
      <c r="U26" s="2006"/>
      <c r="V26" s="2006"/>
    </row>
    <row r="27" spans="1:22" ht="18" customHeight="1" thickTop="1">
      <c r="A27" s="3487" t="s">
        <v>1812</v>
      </c>
      <c r="B27" s="2036" t="s">
        <v>1813</v>
      </c>
      <c r="C27" s="2091"/>
      <c r="D27" s="2092"/>
      <c r="E27" s="2019"/>
      <c r="F27" s="2019"/>
      <c r="G27" s="2019"/>
      <c r="H27" s="2019"/>
      <c r="I27" s="2019"/>
      <c r="J27" s="2006"/>
      <c r="K27" s="2054"/>
      <c r="L27" s="2055"/>
      <c r="M27" s="2055"/>
      <c r="N27" s="2056"/>
      <c r="O27" s="2055"/>
      <c r="P27" s="2056"/>
      <c r="Q27" s="2006"/>
      <c r="R27" s="2006"/>
      <c r="S27" s="2006"/>
      <c r="T27" s="2006"/>
      <c r="U27" s="2006"/>
      <c r="V27" s="2006"/>
    </row>
    <row r="28" spans="1:22" ht="18" customHeight="1">
      <c r="A28" s="3487"/>
      <c r="B28" s="2012" t="s">
        <v>1814</v>
      </c>
      <c r="C28" s="2093"/>
      <c r="D28" s="2094"/>
      <c r="E28" s="2019"/>
      <c r="F28" s="2019"/>
      <c r="G28" s="2019"/>
      <c r="H28" s="2019"/>
      <c r="I28" s="2019"/>
      <c r="J28" s="2006"/>
      <c r="K28" s="2095"/>
      <c r="L28" s="2005"/>
      <c r="M28" s="2005"/>
      <c r="N28" s="2006"/>
      <c r="O28" s="2007"/>
      <c r="P28" s="2006"/>
      <c r="Q28" s="2006"/>
      <c r="R28" s="2006"/>
      <c r="S28" s="2006"/>
      <c r="T28" s="2006"/>
      <c r="U28" s="2006"/>
      <c r="V28" s="2006"/>
    </row>
    <row r="29" spans="1:22" ht="18" customHeight="1">
      <c r="A29" s="3487"/>
      <c r="B29" s="2012" t="s">
        <v>1815</v>
      </c>
      <c r="C29" s="2096"/>
      <c r="D29" s="2097"/>
      <c r="E29" s="2019"/>
      <c r="F29" s="2019"/>
      <c r="G29" s="2019"/>
      <c r="H29" s="2019"/>
      <c r="I29" s="2019"/>
      <c r="J29" s="2006"/>
      <c r="K29" s="2095"/>
      <c r="L29" s="2005"/>
      <c r="M29" s="2005"/>
      <c r="N29" s="2006"/>
      <c r="O29" s="2007"/>
      <c r="P29" s="2006"/>
      <c r="Q29" s="2006"/>
      <c r="R29" s="2006"/>
      <c r="S29" s="2006"/>
      <c r="T29" s="2006"/>
      <c r="U29" s="2006"/>
      <c r="V29" s="2006"/>
    </row>
    <row r="30" spans="1:22" ht="18" customHeight="1">
      <c r="A30" s="3488"/>
      <c r="B30" s="2012" t="s">
        <v>1816</v>
      </c>
      <c r="C30" s="3489"/>
      <c r="D30" s="3490"/>
      <c r="E30" s="2019"/>
      <c r="F30" s="2019"/>
      <c r="G30" s="2019"/>
      <c r="H30" s="2019"/>
      <c r="I30" s="2019"/>
      <c r="J30" s="2006"/>
      <c r="K30" s="2095"/>
      <c r="L30" s="2005"/>
      <c r="M30" s="2005"/>
      <c r="N30" s="2006"/>
      <c r="O30" s="2007"/>
      <c r="P30" s="2006"/>
      <c r="Q30" s="2006"/>
      <c r="R30" s="2006"/>
      <c r="S30" s="2006"/>
      <c r="T30" s="2006"/>
      <c r="U30" s="2006"/>
      <c r="V30" s="2006"/>
    </row>
    <row r="31" spans="1:22" ht="18" customHeight="1">
      <c r="A31" s="3491" t="s">
        <v>1817</v>
      </c>
      <c r="B31" s="2098"/>
      <c r="C31" s="2099" t="str">
        <f>IF(B31="现房","成新及维护状况正常否",IF(B31="在建","工程状态是否正常",IF(B31="土地","是否闲置","-")))</f>
        <v>-</v>
      </c>
      <c r="D31" s="2100"/>
      <c r="E31" s="2101"/>
      <c r="F31" s="2019"/>
      <c r="G31" s="2019"/>
      <c r="H31" s="2019"/>
      <c r="I31" s="2019"/>
      <c r="J31" s="2019"/>
      <c r="K31" s="2027"/>
      <c r="L31" s="2005"/>
      <c r="M31" s="2005"/>
      <c r="N31" s="2006"/>
      <c r="O31" s="2007"/>
      <c r="P31" s="2006"/>
      <c r="Q31" s="2006"/>
      <c r="R31" s="2006"/>
      <c r="S31" s="2006"/>
      <c r="T31" s="2006"/>
      <c r="U31" s="2006"/>
      <c r="V31" s="2006"/>
    </row>
    <row r="32" spans="1:22" ht="18" customHeight="1">
      <c r="A32" s="3492"/>
      <c r="B32" s="2098"/>
      <c r="C32" s="2099" t="str">
        <f>IF(B32="现房","成新及维护状况是否正常",IF(B32="在建","工程状态是否正常",IF(B32="土地","是否闲置","-")))</f>
        <v>-</v>
      </c>
      <c r="D32" s="2100"/>
      <c r="E32" s="2101"/>
      <c r="F32" s="2019"/>
      <c r="G32" s="2019"/>
      <c r="H32" s="2019"/>
      <c r="I32" s="2019"/>
      <c r="J32" s="2019"/>
      <c r="K32" s="2028"/>
      <c r="L32" s="2005"/>
      <c r="M32" s="2005"/>
      <c r="N32" s="2006"/>
      <c r="O32" s="2007"/>
      <c r="P32" s="2006"/>
      <c r="Q32" s="2006"/>
      <c r="R32" s="2006"/>
      <c r="S32" s="2006"/>
      <c r="T32" s="2006"/>
      <c r="U32" s="2006"/>
      <c r="V32" s="2006"/>
    </row>
    <row r="33" spans="1:22" ht="18" customHeight="1">
      <c r="A33" s="3492"/>
      <c r="B33" s="2102"/>
      <c r="C33" s="2041" t="str">
        <f>IF(B33="现房","成新及维护状况是否正常",IF(B33="在建","工程状态是否正常",IF(B33="土地","是否闲置","-")))</f>
        <v>-</v>
      </c>
      <c r="D33" s="2103"/>
      <c r="E33" s="2104"/>
      <c r="F33" s="2019"/>
      <c r="G33" s="2019"/>
      <c r="H33" s="2019"/>
      <c r="I33" s="2019"/>
      <c r="J33" s="2019"/>
      <c r="K33" s="2028"/>
      <c r="L33" s="2005"/>
      <c r="M33" s="2005"/>
      <c r="N33" s="2006"/>
      <c r="O33" s="2007"/>
      <c r="P33" s="2006"/>
      <c r="Q33" s="2006"/>
      <c r="R33" s="2006"/>
      <c r="S33" s="2006"/>
      <c r="T33" s="2006"/>
      <c r="U33" s="2006"/>
      <c r="V33" s="2006"/>
    </row>
    <row r="34" spans="1:22" ht="18" customHeight="1">
      <c r="A34" s="2012" t="s">
        <v>1818</v>
      </c>
      <c r="B34" s="2105" t="s">
        <v>3164</v>
      </c>
      <c r="C34" s="2105" t="s">
        <v>3165</v>
      </c>
      <c r="D34" s="2105" t="s">
        <v>3166</v>
      </c>
      <c r="E34" s="2105" t="s">
        <v>3167</v>
      </c>
      <c r="F34" s="2105" t="s">
        <v>3168</v>
      </c>
      <c r="G34" s="2105" t="s">
        <v>3169</v>
      </c>
      <c r="H34" s="2105"/>
      <c r="I34" s="2019"/>
      <c r="J34" s="2019"/>
      <c r="K34" s="1773">
        <f>COUNTIF(B34:H34,"——")</f>
        <v>0</v>
      </c>
      <c r="L34" s="2046" t="s">
        <v>1819</v>
      </c>
      <c r="M34" s="2046" t="s">
        <v>1820</v>
      </c>
      <c r="N34" s="2046" t="s">
        <v>1821</v>
      </c>
      <c r="O34" s="2046" t="s">
        <v>1822</v>
      </c>
      <c r="P34" s="2046" t="s">
        <v>1823</v>
      </c>
      <c r="Q34" s="2046" t="s">
        <v>1824</v>
      </c>
      <c r="R34" s="2046" t="s">
        <v>1825</v>
      </c>
      <c r="S34" s="3486" t="s">
        <v>1826</v>
      </c>
      <c r="T34" s="2106" t="str">
        <f>NUMBERSTRING(7-K34,1)&amp;"通"</f>
        <v>七通</v>
      </c>
      <c r="U34" s="2006"/>
      <c r="V34" s="2006"/>
    </row>
    <row r="35" spans="1:22" ht="18" customHeight="1">
      <c r="A35" s="2107"/>
      <c r="B35" s="3493" t="s">
        <v>1827</v>
      </c>
      <c r="C35" s="3493"/>
      <c r="D35" s="3493"/>
      <c r="E35" s="3493"/>
      <c r="F35" s="2108" t="str">
        <f>C10</f>
        <v>四川省</v>
      </c>
      <c r="G35" s="2019"/>
      <c r="H35" s="2019"/>
      <c r="I35" s="2019"/>
      <c r="J35" s="2019"/>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86"/>
      <c r="T35" s="48" t="str">
        <f>IF(T34="一通",L35,IF(T34="二通",M35,IF(T34="三通",N35,IF(T34="四通",O35,IF(T34="五通",P35,IF(T34="六通",Q35,R35))))))</f>
        <v>通路、通电、通讯、通上水、通下水、燃气、</v>
      </c>
      <c r="U35" s="2006"/>
      <c r="V35" s="2006"/>
    </row>
    <row r="36" spans="1:22" ht="18" customHeight="1">
      <c r="A36" s="2109"/>
      <c r="B36" s="2108" t="s">
        <v>1828</v>
      </c>
      <c r="C36" s="2108" t="s">
        <v>1829</v>
      </c>
      <c r="D36" s="2108" t="s">
        <v>1830</v>
      </c>
      <c r="E36" s="2108" t="s">
        <v>1831</v>
      </c>
      <c r="F36" s="2110"/>
      <c r="G36" s="2019"/>
      <c r="H36" s="2019"/>
      <c r="I36" s="2019"/>
      <c r="J36" s="2019"/>
      <c r="K36" s="2028"/>
      <c r="L36" s="2005"/>
      <c r="M36" s="2005"/>
      <c r="N36" s="2006"/>
      <c r="O36" s="2007"/>
      <c r="P36" s="2006"/>
      <c r="Q36" s="2006"/>
      <c r="R36" s="2006"/>
      <c r="S36" s="2006"/>
      <c r="T36" s="2006"/>
      <c r="U36" s="2006"/>
      <c r="V36" s="2006"/>
    </row>
    <row r="37" spans="1:22" ht="18" customHeight="1">
      <c r="A37" s="2111" t="s">
        <v>1832</v>
      </c>
      <c r="B37" s="2945" t="s">
        <v>137</v>
      </c>
      <c r="C37" s="2945" t="s">
        <v>137</v>
      </c>
      <c r="D37" s="2112"/>
      <c r="E37" s="2112"/>
      <c r="F37" s="2110"/>
      <c r="G37" s="2019"/>
      <c r="H37" s="2019"/>
      <c r="I37" s="2019"/>
      <c r="J37" s="2019"/>
      <c r="K37" s="2028"/>
      <c r="L37" s="2005"/>
      <c r="M37" s="2005"/>
      <c r="N37" s="2006"/>
      <c r="O37" s="2007"/>
      <c r="P37" s="2006"/>
      <c r="Q37" s="2006"/>
      <c r="R37" s="2006"/>
      <c r="S37" s="2006"/>
      <c r="T37" s="2006"/>
      <c r="U37" s="2006"/>
      <c r="V37" s="2006"/>
    </row>
    <row r="38" spans="1:22" ht="18" customHeight="1" thickBot="1">
      <c r="A38" s="2113" t="s">
        <v>1833</v>
      </c>
      <c r="B38" s="2946" t="s">
        <v>384</v>
      </c>
      <c r="C38" s="2946" t="s">
        <v>384</v>
      </c>
      <c r="D38" s="2114"/>
      <c r="E38" s="2114"/>
      <c r="F38" s="2115"/>
      <c r="G38" s="2035"/>
      <c r="H38" s="2035"/>
      <c r="I38" s="2035"/>
      <c r="J38" s="2019"/>
      <c r="K38" s="2028"/>
      <c r="L38" s="2005"/>
      <c r="M38" s="2005"/>
      <c r="N38" s="2006"/>
      <c r="O38" s="2007"/>
      <c r="P38" s="2006"/>
      <c r="Q38" s="2006"/>
      <c r="R38" s="2006"/>
      <c r="S38" s="2006"/>
      <c r="T38" s="2006"/>
      <c r="U38" s="2006"/>
      <c r="V38" s="2006"/>
    </row>
    <row r="39" spans="1:22" s="2120" customFormat="1" ht="18" customHeight="1" thickTop="1" thickBot="1">
      <c r="A39" s="2116" t="s">
        <v>1834</v>
      </c>
      <c r="B39" s="2117"/>
      <c r="C39" s="2117"/>
      <c r="D39" s="2117"/>
      <c r="E39" s="2117"/>
      <c r="F39" s="2117"/>
      <c r="G39" s="2117"/>
      <c r="H39" s="2117"/>
      <c r="I39" s="2117"/>
      <c r="J39" s="2117"/>
      <c r="K39" s="2118"/>
      <c r="L39" s="2117"/>
      <c r="M39" s="2117"/>
      <c r="N39" s="2117"/>
      <c r="O39" s="2119"/>
      <c r="P39" s="2117"/>
      <c r="Q39" s="2117"/>
      <c r="R39" s="2117"/>
      <c r="S39" s="2117"/>
      <c r="T39" s="2117"/>
      <c r="U39" s="2117"/>
      <c r="V39" s="2117"/>
    </row>
    <row r="40" spans="1:22" ht="18" customHeight="1">
      <c r="A40" s="2006"/>
      <c r="B40" s="2006"/>
      <c r="C40" s="2006"/>
      <c r="D40" s="2006"/>
      <c r="E40" s="2006"/>
      <c r="F40" s="2006"/>
      <c r="G40" s="2006"/>
      <c r="H40" s="2006"/>
      <c r="I40" s="2121"/>
      <c r="J40" s="2056"/>
      <c r="K40" s="665"/>
      <c r="L40" s="2055"/>
      <c r="M40" s="2055"/>
      <c r="N40" s="2056"/>
      <c r="O40" s="2055"/>
      <c r="P40" s="2006"/>
      <c r="Q40" s="2006"/>
      <c r="R40" s="2006"/>
      <c r="S40" s="2006"/>
      <c r="T40" s="2006"/>
      <c r="U40" s="2006"/>
      <c r="V40" s="2006"/>
    </row>
    <row r="41" spans="1:22" ht="18" customHeight="1">
      <c r="A41" s="8" t="s">
        <v>1835</v>
      </c>
      <c r="B41" s="2122"/>
      <c r="C41" s="2123"/>
      <c r="D41" s="2006"/>
      <c r="E41" s="2006"/>
      <c r="F41" s="2006"/>
      <c r="G41" s="2006"/>
      <c r="H41" s="2006"/>
      <c r="I41" s="2007"/>
      <c r="J41" s="2006"/>
      <c r="K41" s="2095"/>
      <c r="L41" s="2005"/>
      <c r="M41" s="2005"/>
      <c r="N41" s="2006"/>
      <c r="O41" s="2007"/>
      <c r="P41" s="2006"/>
      <c r="Q41" s="2006"/>
      <c r="R41" s="2006"/>
      <c r="S41" s="2006"/>
      <c r="T41" s="2006"/>
      <c r="U41" s="2006"/>
      <c r="V41" s="2006"/>
    </row>
    <row r="42" spans="1:22" ht="18" customHeight="1">
      <c r="A42" s="2046" t="s">
        <v>1836</v>
      </c>
      <c r="B42" s="1773" t="s">
        <v>1837</v>
      </c>
      <c r="C42" s="1773" t="s">
        <v>1838</v>
      </c>
      <c r="D42" s="1773" t="s">
        <v>1839</v>
      </c>
      <c r="E42" s="1773" t="s">
        <v>1840</v>
      </c>
      <c r="F42" s="1773" t="s">
        <v>1841</v>
      </c>
      <c r="G42" s="1773" t="s">
        <v>1842</v>
      </c>
      <c r="H42" s="1773" t="s">
        <v>1843</v>
      </c>
      <c r="I42" s="1773" t="s">
        <v>1844</v>
      </c>
      <c r="J42" s="2124" t="s">
        <v>1845</v>
      </c>
      <c r="K42" s="2047" t="s">
        <v>1846</v>
      </c>
      <c r="L42" s="2047" t="s">
        <v>1847</v>
      </c>
      <c r="M42" s="2047" t="s">
        <v>1848</v>
      </c>
      <c r="N42" s="1773" t="s">
        <v>1849</v>
      </c>
      <c r="O42" s="1773" t="s">
        <v>1850</v>
      </c>
      <c r="P42" s="1773" t="s">
        <v>1851</v>
      </c>
      <c r="Q42" s="2046" t="s">
        <v>1852</v>
      </c>
      <c r="R42" s="2046" t="s">
        <v>1853</v>
      </c>
      <c r="S42" s="2006"/>
      <c r="T42" s="2006"/>
      <c r="U42" s="2006"/>
      <c r="V42" s="2006"/>
    </row>
    <row r="43" spans="1:22" s="2129" customFormat="1" ht="18" customHeight="1">
      <c r="A43" s="2125"/>
      <c r="B43" s="1253"/>
      <c r="C43" s="1253"/>
      <c r="D43" s="1253"/>
      <c r="E43" s="1253"/>
      <c r="F43" s="1253"/>
      <c r="G43" s="1253"/>
      <c r="H43" s="9"/>
      <c r="I43" s="9"/>
      <c r="J43" s="2126"/>
      <c r="K43" s="2127"/>
      <c r="L43" s="2127"/>
      <c r="M43" s="9"/>
      <c r="N43" s="1253"/>
      <c r="O43" s="9"/>
      <c r="P43" s="1253"/>
      <c r="Q43" s="1253"/>
      <c r="R43" s="1253"/>
      <c r="S43" s="2128"/>
      <c r="T43" s="2128"/>
      <c r="U43" s="2128"/>
      <c r="V43" s="2128"/>
    </row>
    <row r="44" spans="1:22" s="2129" customFormat="1" ht="18" customHeight="1">
      <c r="A44" s="2125"/>
      <c r="B44" s="2125"/>
      <c r="C44" s="1253"/>
      <c r="D44" s="1253"/>
      <c r="E44" s="1253"/>
      <c r="F44" s="1253"/>
      <c r="G44" s="1253"/>
      <c r="H44" s="9"/>
      <c r="I44" s="9"/>
      <c r="J44" s="2126"/>
      <c r="K44" s="2127"/>
      <c r="L44" s="2127"/>
      <c r="M44" s="9"/>
      <c r="N44" s="1253"/>
      <c r="O44" s="9"/>
      <c r="P44" s="1253"/>
      <c r="Q44" s="1253"/>
      <c r="R44" s="1253"/>
      <c r="S44" s="2128"/>
      <c r="T44" s="2128"/>
      <c r="U44" s="2128"/>
      <c r="V44" s="2128"/>
    </row>
    <row r="45" spans="1:22" s="2129" customFormat="1" ht="18" customHeight="1">
      <c r="A45" s="2125"/>
      <c r="B45" s="2125"/>
      <c r="C45" s="1253"/>
      <c r="D45" s="1253"/>
      <c r="E45" s="1253"/>
      <c r="F45" s="1253"/>
      <c r="G45" s="1253"/>
      <c r="H45" s="9"/>
      <c r="I45" s="9"/>
      <c r="J45" s="2126"/>
      <c r="K45" s="2127"/>
      <c r="L45" s="2127"/>
      <c r="M45" s="9"/>
      <c r="N45" s="1253"/>
      <c r="O45" s="9"/>
      <c r="P45" s="1253"/>
      <c r="Q45" s="1253"/>
      <c r="R45" s="1253"/>
      <c r="S45" s="2128"/>
      <c r="T45" s="2128"/>
      <c r="U45" s="2128"/>
      <c r="V45" s="2128"/>
    </row>
    <row r="46" spans="1:22" s="2129" customFormat="1" ht="18" customHeight="1">
      <c r="A46" s="2125"/>
      <c r="B46" s="2125"/>
      <c r="C46" s="1253"/>
      <c r="D46" s="1253"/>
      <c r="E46" s="1253"/>
      <c r="F46" s="1253"/>
      <c r="G46" s="1253"/>
      <c r="H46" s="9"/>
      <c r="I46" s="9"/>
      <c r="J46" s="2126"/>
      <c r="K46" s="2127"/>
      <c r="L46" s="2127"/>
      <c r="M46" s="9"/>
      <c r="N46" s="1253"/>
      <c r="O46" s="9"/>
      <c r="P46" s="1253"/>
      <c r="Q46" s="1253"/>
      <c r="R46" s="1253"/>
      <c r="S46" s="2128"/>
      <c r="T46" s="2128"/>
      <c r="U46" s="2128"/>
      <c r="V46" s="2128"/>
    </row>
    <row r="47" spans="1:22" s="2129" customFormat="1" ht="18" customHeight="1">
      <c r="A47" s="2125"/>
      <c r="B47" s="2125"/>
      <c r="C47" s="1253"/>
      <c r="D47" s="1253"/>
      <c r="E47" s="1253"/>
      <c r="F47" s="1253"/>
      <c r="G47" s="1253"/>
      <c r="H47" s="9"/>
      <c r="I47" s="9"/>
      <c r="J47" s="2126"/>
      <c r="K47" s="2127"/>
      <c r="L47" s="2127"/>
      <c r="M47" s="9"/>
      <c r="N47" s="1253"/>
      <c r="O47" s="9"/>
      <c r="P47" s="1253"/>
      <c r="Q47" s="1253"/>
      <c r="R47" s="1253"/>
      <c r="S47" s="2128"/>
      <c r="T47" s="2128"/>
      <c r="U47" s="2128"/>
      <c r="V47" s="2128"/>
    </row>
    <row r="48" spans="1:22" s="2129" customFormat="1" ht="18" customHeight="1">
      <c r="A48" s="2125"/>
      <c r="B48" s="2125"/>
      <c r="C48" s="1253"/>
      <c r="D48" s="1253"/>
      <c r="E48" s="1253"/>
      <c r="F48" s="1253"/>
      <c r="G48" s="1253"/>
      <c r="H48" s="9"/>
      <c r="I48" s="9"/>
      <c r="J48" s="2126"/>
      <c r="K48" s="2127"/>
      <c r="L48" s="2127"/>
      <c r="M48" s="9"/>
      <c r="N48" s="1253"/>
      <c r="O48" s="9"/>
      <c r="P48" s="1253"/>
      <c r="Q48" s="1253"/>
      <c r="R48" s="1253"/>
      <c r="S48" s="2128"/>
      <c r="T48" s="2128"/>
      <c r="U48" s="2128"/>
      <c r="V48" s="2128"/>
    </row>
    <row r="49" spans="1:22" s="2129" customFormat="1" ht="18" customHeight="1">
      <c r="A49" s="2125"/>
      <c r="B49" s="2125"/>
      <c r="C49" s="1253"/>
      <c r="D49" s="1253"/>
      <c r="E49" s="1253"/>
      <c r="F49" s="1253"/>
      <c r="G49" s="1253"/>
      <c r="H49" s="9"/>
      <c r="I49" s="9"/>
      <c r="J49" s="2126"/>
      <c r="K49" s="2127"/>
      <c r="L49" s="2127"/>
      <c r="M49" s="9"/>
      <c r="N49" s="1253"/>
      <c r="O49" s="9"/>
      <c r="P49" s="1253"/>
      <c r="Q49" s="1253"/>
      <c r="R49" s="1253"/>
      <c r="S49" s="2128"/>
      <c r="T49" s="2128"/>
      <c r="U49" s="2128"/>
      <c r="V49" s="2128"/>
    </row>
    <row r="50" spans="1:22" s="2129" customFormat="1" ht="18" customHeight="1">
      <c r="A50" s="2125"/>
      <c r="B50" s="2125"/>
      <c r="C50" s="1253"/>
      <c r="D50" s="1253"/>
      <c r="E50" s="1253"/>
      <c r="F50" s="1253"/>
      <c r="G50" s="1253"/>
      <c r="H50" s="9"/>
      <c r="I50" s="9"/>
      <c r="J50" s="2126"/>
      <c r="K50" s="2127"/>
      <c r="L50" s="2127"/>
      <c r="M50" s="9"/>
      <c r="N50" s="1253"/>
      <c r="O50" s="9"/>
      <c r="P50" s="1253"/>
      <c r="Q50" s="1253"/>
      <c r="R50" s="1253"/>
      <c r="S50" s="2128"/>
      <c r="T50" s="2128"/>
      <c r="U50" s="2128"/>
      <c r="V50" s="2128"/>
    </row>
    <row r="51" spans="1:22" s="2129" customFormat="1" ht="18" customHeight="1">
      <c r="A51" s="2125"/>
      <c r="B51" s="2125"/>
      <c r="C51" s="1253"/>
      <c r="D51" s="1253"/>
      <c r="E51" s="1253"/>
      <c r="F51" s="1253"/>
      <c r="G51" s="1253"/>
      <c r="H51" s="9"/>
      <c r="I51" s="9"/>
      <c r="J51" s="2126"/>
      <c r="K51" s="2127"/>
      <c r="L51" s="2127"/>
      <c r="M51" s="9"/>
      <c r="N51" s="1253"/>
      <c r="O51" s="9"/>
      <c r="P51" s="1253"/>
      <c r="Q51" s="1253"/>
      <c r="R51" s="1253"/>
    </row>
    <row r="52" spans="1:22" s="2129" customFormat="1" ht="18" customHeight="1">
      <c r="A52" s="10"/>
      <c r="B52" s="10"/>
      <c r="C52" s="10"/>
      <c r="D52" s="10"/>
      <c r="E52" s="10"/>
      <c r="F52" s="9"/>
      <c r="G52" s="10"/>
      <c r="H52" s="10"/>
      <c r="I52" s="10"/>
      <c r="J52" s="2130"/>
      <c r="K52" s="2127"/>
      <c r="L52" s="2127"/>
      <c r="M52" s="2127"/>
      <c r="N52" s="10"/>
      <c r="O52" s="10"/>
      <c r="P52" s="10"/>
      <c r="Q52" s="10"/>
      <c r="R52" s="10"/>
    </row>
    <row r="53" spans="1:22" s="2129" customFormat="1" ht="18" customHeight="1">
      <c r="A53" s="10"/>
      <c r="B53" s="10"/>
      <c r="C53" s="10"/>
      <c r="D53" s="10"/>
      <c r="E53" s="10"/>
      <c r="F53" s="9"/>
      <c r="G53" s="10"/>
      <c r="H53" s="10"/>
      <c r="I53" s="10"/>
      <c r="J53" s="2130"/>
      <c r="K53" s="2127"/>
      <c r="L53" s="2127"/>
      <c r="M53" s="2127"/>
      <c r="N53" s="10"/>
      <c r="O53" s="10"/>
      <c r="P53" s="10"/>
      <c r="Q53" s="10"/>
      <c r="R53" s="10"/>
    </row>
    <row r="54" spans="1:22" s="2129" customFormat="1" ht="18" customHeight="1">
      <c r="A54" s="10"/>
      <c r="B54" s="10"/>
      <c r="C54" s="10"/>
      <c r="D54" s="10"/>
      <c r="E54" s="10"/>
      <c r="F54" s="9"/>
      <c r="G54" s="10"/>
      <c r="H54" s="10"/>
      <c r="I54" s="10"/>
      <c r="J54" s="2130"/>
      <c r="K54" s="2127"/>
      <c r="L54" s="2127"/>
      <c r="M54" s="2127"/>
      <c r="N54" s="10"/>
      <c r="O54" s="10"/>
      <c r="P54" s="10"/>
      <c r="Q54" s="10"/>
      <c r="R54" s="10"/>
    </row>
    <row r="55" spans="1:22" s="2129" customFormat="1" ht="18" customHeight="1">
      <c r="A55" s="10"/>
      <c r="B55" s="10"/>
      <c r="C55" s="10"/>
      <c r="D55" s="10"/>
      <c r="E55" s="10"/>
      <c r="F55" s="9"/>
      <c r="G55" s="10"/>
      <c r="H55" s="10"/>
      <c r="I55" s="10"/>
      <c r="J55" s="2130"/>
      <c r="K55" s="2127"/>
      <c r="L55" s="2127"/>
      <c r="M55" s="2127"/>
      <c r="N55" s="10"/>
      <c r="O55" s="10"/>
      <c r="P55" s="10"/>
      <c r="Q55" s="10"/>
      <c r="R55" s="10"/>
    </row>
    <row r="56" spans="1:22" s="2129" customFormat="1" ht="18" customHeight="1">
      <c r="A56" s="10"/>
      <c r="B56" s="10"/>
      <c r="C56" s="10"/>
      <c r="D56" s="10"/>
      <c r="E56" s="10"/>
      <c r="F56" s="9"/>
      <c r="G56" s="10"/>
      <c r="H56" s="10"/>
      <c r="I56" s="10"/>
      <c r="J56" s="2130"/>
      <c r="K56" s="2127"/>
      <c r="L56" s="2127"/>
      <c r="M56" s="212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27" xr:uid="{00000000-0002-0000-0900-000002000000}">
      <formula1>"居住项目,商业项目,办公项目,工业项目,综合项目（居住、综合）,综合项目（商业、办公）"</formula1>
    </dataValidation>
    <dataValidation type="list" allowBlank="1" showInputMessage="1" showErrorMessage="1" sqref="C29" xr:uid="{00000000-0002-0000-0900-000003000000}">
      <formula1>"否,全部为保障性住房,含保障性住房"</formula1>
    </dataValidation>
    <dataValidation type="list" allowBlank="1" showInputMessage="1" showErrorMessage="1" sqref="C28" xr:uid="{00000000-0002-0000-0900-000004000000}">
      <formula1>"无,低密度住宅,商场,酒店,旅游地产,仓储物流,高新技术产业用地,其他特殊："</formula1>
    </dataValidation>
    <dataValidation type="list" showInputMessage="1" showErrorMessage="1" sqref="B31:B33" xr:uid="{00000000-0002-0000-0900-000005000000}">
      <formula1>"现房,在建,土地,-"</formula1>
    </dataValidation>
    <dataValidation type="list" allowBlank="1" showInputMessage="1" showErrorMessage="1" sqref="B37:E37" xr:uid="{00000000-0002-0000-0900-000006000000}">
      <formula1>土地级别</formula1>
    </dataValidation>
    <dataValidation type="list" allowBlank="1" showInputMessage="1" showErrorMessage="1" sqref="E38" xr:uid="{00000000-0002-0000-0900-000007000000}">
      <formula1>INDIRECT($E$37)</formula1>
    </dataValidation>
    <dataValidation type="list" allowBlank="1" showInputMessage="1" showErrorMessage="1" sqref="B38" xr:uid="{00000000-0002-0000-0900-000008000000}">
      <formula1>INDIRECT(B37)</formula1>
    </dataValidation>
    <dataValidation type="list" allowBlank="1" showInputMessage="1" showErrorMessage="1" sqref="C38" xr:uid="{00000000-0002-0000-0900-000009000000}">
      <formula1>INDIRECT($C$37)</formula1>
    </dataValidation>
    <dataValidation type="list" allowBlank="1" showInputMessage="1" showErrorMessage="1" sqref="D38" xr:uid="{00000000-0002-0000-0900-00000A000000}">
      <formula1>INDIRECT($D$37)</formula1>
    </dataValidation>
    <dataValidation type="list" allowBlank="1" showInputMessage="1" showErrorMessage="1" sqref="B9" xr:uid="{00000000-0002-0000-0900-00000B000000}">
      <formula1>"房地产抵押价值,房地产市场价值"</formula1>
    </dataValidation>
    <dataValidation type="list" allowBlank="1" showInputMessage="1" showErrorMessage="1" sqref="B8" xr:uid="{00000000-0002-0000-0900-00000C000000}">
      <formula1>"抵押,核定资产,出让"</formula1>
    </dataValidation>
    <dataValidation type="list" allowBlank="1" showInputMessage="1" showErrorMessage="1" sqref="D4 B4 F4 H4" xr:uid="{00000000-0002-0000-0900-00000D000000}">
      <formula1>注册房地产估价师</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34:H34" xr:uid="{00000000-0002-0000-0900-000010000000}">
      <formula1>七通一平</formula1>
    </dataValidation>
    <dataValidation type="list" allowBlank="1" showInputMessage="1" showErrorMessage="1" sqref="C19 E19 G19" xr:uid="{00000000-0002-0000-0900-000011000000}">
      <formula1>判定</formula1>
    </dataValidation>
    <dataValidation type="list" allowBlank="1" showInputMessage="1" showErrorMessage="1" sqref="B21:B22" xr:uid="{00000000-0002-0000-0900-000012000000}">
      <formula1>"《房屋所有权证》,《国有土地使用证》,《不动产权证书》,——"</formula1>
    </dataValidation>
    <dataValidation type="list" allowBlank="1" showInputMessage="1" showErrorMessage="1" sqref="C21:C22 E21" xr:uid="{00000000-0002-0000-0900-000013000000}">
      <formula1>"原件,复印件,——"</formula1>
    </dataValidation>
    <dataValidation type="list" allowBlank="1" showInputMessage="1" showErrorMessage="1" sqref="B12" xr:uid="{00000000-0002-0000-0900-000014000000}">
      <formula1>"出让,划拨"</formula1>
    </dataValidation>
    <dataValidation type="list" allowBlank="1" showInputMessage="1" showErrorMessage="1" sqref="D14:I14" xr:uid="{00000000-0002-0000-0900-000015000000}">
      <formula1>法定最高年限</formula1>
    </dataValidation>
    <dataValidation type="list" allowBlank="1" showInputMessage="1" showErrorMessage="1" sqref="A18" xr:uid="{00000000-0002-0000-09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W127"/>
  <sheetViews>
    <sheetView workbookViewId="0">
      <selection activeCell="B16" sqref="B16"/>
    </sheetView>
  </sheetViews>
  <sheetFormatPr defaultColWidth="9" defaultRowHeight="14.4"/>
  <cols>
    <col min="1" max="1" width="13.44140625" style="2001" customWidth="1"/>
    <col min="2" max="2" width="23.21875" style="1952" customWidth="1"/>
    <col min="3" max="3" width="13" style="1996" customWidth="1"/>
    <col min="4" max="4" width="5.77734375" style="1993" customWidth="1"/>
    <col min="5" max="5" width="7.109375" style="1993" customWidth="1"/>
    <col min="6" max="6" width="10.6640625" style="1993" customWidth="1"/>
    <col min="7" max="7" width="7.44140625" style="1993" customWidth="1"/>
    <col min="8" max="8" width="9" style="1996" customWidth="1"/>
    <col min="9" max="9" width="11.6640625" style="1996" customWidth="1"/>
    <col min="10" max="10" width="9" style="1996" customWidth="1"/>
    <col min="11" max="19" width="9" style="1993" customWidth="1"/>
    <col min="20" max="23" width="9" style="1996" customWidth="1"/>
    <col min="24" max="24" width="21.109375" style="1952" customWidth="1"/>
    <col min="25" max="16384" width="9" style="1952"/>
  </cols>
  <sheetData>
    <row r="1" spans="1:23" s="1990" customFormat="1" ht="28.8">
      <c r="A1" s="1984" t="s">
        <v>71</v>
      </c>
      <c r="B1" s="1985" t="s">
        <v>1674</v>
      </c>
      <c r="C1" s="1986" t="s">
        <v>759</v>
      </c>
      <c r="D1" s="1987" t="s">
        <v>1675</v>
      </c>
      <c r="E1" s="1987" t="s">
        <v>1676</v>
      </c>
      <c r="F1" s="1987" t="s">
        <v>1677</v>
      </c>
      <c r="G1" s="1987" t="s">
        <v>1678</v>
      </c>
      <c r="H1" s="1987" t="s">
        <v>1679</v>
      </c>
      <c r="I1" s="1987" t="s">
        <v>1680</v>
      </c>
      <c r="J1" s="1987" t="s">
        <v>1681</v>
      </c>
      <c r="K1" s="1987" t="s">
        <v>1682</v>
      </c>
      <c r="L1" s="1987" t="s">
        <v>1683</v>
      </c>
      <c r="M1" s="1987" t="s">
        <v>1684</v>
      </c>
      <c r="N1" s="1987" t="s">
        <v>1685</v>
      </c>
      <c r="O1" s="1987" t="s">
        <v>1686</v>
      </c>
      <c r="P1" s="1988" t="s">
        <v>753</v>
      </c>
      <c r="Q1" s="1988" t="s">
        <v>1134</v>
      </c>
      <c r="R1" s="1987" t="s">
        <v>1128</v>
      </c>
      <c r="S1" s="1987" t="s">
        <v>1687</v>
      </c>
      <c r="T1" s="1989" t="s">
        <v>1688</v>
      </c>
      <c r="U1" s="1987" t="s">
        <v>1689</v>
      </c>
      <c r="V1" s="1987" t="s">
        <v>1690</v>
      </c>
      <c r="W1" s="1987" t="s">
        <v>755</v>
      </c>
    </row>
    <row r="2" spans="1:23">
      <c r="A2" s="1991" t="s">
        <v>22</v>
      </c>
      <c r="B2" s="1991" t="s">
        <v>1691</v>
      </c>
      <c r="C2" s="1992" t="s">
        <v>760</v>
      </c>
      <c r="D2" s="1993" t="s">
        <v>1692</v>
      </c>
      <c r="E2" s="1993" t="s">
        <v>1693</v>
      </c>
      <c r="F2" s="1993" t="s">
        <v>1694</v>
      </c>
      <c r="G2" s="1993">
        <v>40</v>
      </c>
      <c r="H2" s="1993" t="s">
        <v>1694</v>
      </c>
      <c r="I2" s="1993" t="s">
        <v>1695</v>
      </c>
      <c r="J2" s="1993" t="s">
        <v>1696</v>
      </c>
      <c r="K2" s="1993" t="s">
        <v>1697</v>
      </c>
      <c r="L2" s="1993" t="s">
        <v>1697</v>
      </c>
      <c r="M2" s="1993" t="s">
        <v>1697</v>
      </c>
      <c r="N2" s="1993" t="s">
        <v>1697</v>
      </c>
      <c r="O2" s="1993" t="s">
        <v>1697</v>
      </c>
      <c r="P2" s="1993" t="s">
        <v>1697</v>
      </c>
      <c r="Q2" s="1993" t="s">
        <v>1697</v>
      </c>
      <c r="R2" s="1993" t="s">
        <v>1130</v>
      </c>
      <c r="S2" s="1993" t="s">
        <v>1697</v>
      </c>
      <c r="T2" s="1993" t="s">
        <v>1698</v>
      </c>
      <c r="U2" s="1993" t="s">
        <v>1697</v>
      </c>
      <c r="V2" s="1993" t="s">
        <v>1699</v>
      </c>
      <c r="W2" s="1993" t="s">
        <v>1697</v>
      </c>
    </row>
    <row r="3" spans="1:23">
      <c r="A3" s="1991" t="s">
        <v>1700</v>
      </c>
      <c r="B3" s="1994" t="s">
        <v>1135</v>
      </c>
      <c r="C3" s="1995" t="s">
        <v>761</v>
      </c>
      <c r="D3" s="1993" t="s">
        <v>1701</v>
      </c>
      <c r="E3" s="1993" t="s">
        <v>16</v>
      </c>
      <c r="F3" s="1993" t="s">
        <v>1702</v>
      </c>
      <c r="G3" s="1993">
        <v>50</v>
      </c>
      <c r="H3" s="1993" t="s">
        <v>1702</v>
      </c>
      <c r="I3" s="1993" t="s">
        <v>1703</v>
      </c>
      <c r="J3" s="1993" t="s">
        <v>1704</v>
      </c>
      <c r="K3" s="1993" t="s">
        <v>1705</v>
      </c>
      <c r="L3" s="1993" t="s">
        <v>1705</v>
      </c>
      <c r="M3" s="1993" t="s">
        <v>1705</v>
      </c>
      <c r="N3" s="1993" t="s">
        <v>1705</v>
      </c>
      <c r="O3" s="1993" t="s">
        <v>1705</v>
      </c>
      <c r="P3" s="1993" t="s">
        <v>1705</v>
      </c>
      <c r="Q3" s="1993" t="s">
        <v>1705</v>
      </c>
      <c r="R3" s="1993" t="s">
        <v>1129</v>
      </c>
      <c r="S3" s="1993" t="s">
        <v>1705</v>
      </c>
      <c r="T3" s="1993" t="s">
        <v>1706</v>
      </c>
      <c r="U3" s="1993" t="s">
        <v>1705</v>
      </c>
      <c r="V3" s="1993" t="s">
        <v>1707</v>
      </c>
      <c r="W3" s="1993" t="s">
        <v>1705</v>
      </c>
    </row>
    <row r="4" spans="1:23">
      <c r="A4" s="1991" t="s">
        <v>1708</v>
      </c>
      <c r="B4" s="1991" t="s">
        <v>1709</v>
      </c>
      <c r="C4" s="1992" t="s">
        <v>762</v>
      </c>
      <c r="D4" s="1993" t="s">
        <v>865</v>
      </c>
      <c r="E4" s="1993" t="s">
        <v>1710</v>
      </c>
      <c r="F4" s="1993" t="s">
        <v>1711</v>
      </c>
      <c r="G4" s="1993">
        <v>70</v>
      </c>
      <c r="H4" s="1993" t="s">
        <v>1711</v>
      </c>
      <c r="I4" s="1993" t="s">
        <v>1712</v>
      </c>
      <c r="K4" s="1993" t="s">
        <v>1713</v>
      </c>
      <c r="L4" s="1993" t="s">
        <v>1713</v>
      </c>
      <c r="M4" s="1993" t="s">
        <v>1713</v>
      </c>
      <c r="N4" s="1993" t="s">
        <v>1713</v>
      </c>
      <c r="O4" s="1993" t="s">
        <v>1713</v>
      </c>
      <c r="P4" s="1993" t="s">
        <v>1713</v>
      </c>
      <c r="Q4" s="1993" t="s">
        <v>1713</v>
      </c>
      <c r="R4" s="1993" t="s">
        <v>1131</v>
      </c>
      <c r="S4" s="1993" t="s">
        <v>1713</v>
      </c>
      <c r="T4" s="1993" t="s">
        <v>1714</v>
      </c>
      <c r="U4" s="1993" t="s">
        <v>1713</v>
      </c>
      <c r="W4" s="1993" t="s">
        <v>1713</v>
      </c>
    </row>
    <row r="5" spans="1:23">
      <c r="A5" s="1991" t="s">
        <v>1715</v>
      </c>
      <c r="B5" s="1991" t="s">
        <v>1716</v>
      </c>
      <c r="C5" s="1992" t="s">
        <v>763</v>
      </c>
      <c r="F5" s="1993" t="s">
        <v>1717</v>
      </c>
      <c r="H5" s="1993" t="s">
        <v>1718</v>
      </c>
      <c r="I5" s="1993" t="s">
        <v>1719</v>
      </c>
      <c r="K5" s="1993" t="s">
        <v>1720</v>
      </c>
      <c r="L5" s="1993" t="s">
        <v>1720</v>
      </c>
      <c r="M5" s="1993" t="s">
        <v>1720</v>
      </c>
      <c r="N5" s="1993" t="s">
        <v>1720</v>
      </c>
      <c r="O5" s="1993" t="s">
        <v>1720</v>
      </c>
      <c r="P5" s="1993" t="s">
        <v>1720</v>
      </c>
      <c r="Q5" s="1993" t="s">
        <v>1720</v>
      </c>
      <c r="R5" s="1993" t="s">
        <v>1132</v>
      </c>
      <c r="S5" s="1993" t="s">
        <v>1720</v>
      </c>
      <c r="T5" s="1993" t="s">
        <v>1721</v>
      </c>
      <c r="U5" s="1993" t="s">
        <v>1720</v>
      </c>
      <c r="W5" s="1993" t="s">
        <v>1720</v>
      </c>
    </row>
    <row r="6" spans="1:23">
      <c r="A6" s="1991" t="s">
        <v>1722</v>
      </c>
      <c r="B6" s="1994" t="s">
        <v>1136</v>
      </c>
      <c r="C6" s="1997" t="s">
        <v>30</v>
      </c>
      <c r="F6" s="1993" t="s">
        <v>1718</v>
      </c>
      <c r="H6" s="1993" t="s">
        <v>1723</v>
      </c>
      <c r="I6" s="1993" t="s">
        <v>1724</v>
      </c>
      <c r="K6" s="1993" t="s">
        <v>1725</v>
      </c>
      <c r="L6" s="1993" t="s">
        <v>1725</v>
      </c>
      <c r="M6" s="1993" t="s">
        <v>1725</v>
      </c>
      <c r="N6" s="1993" t="s">
        <v>1725</v>
      </c>
      <c r="O6" s="1993" t="s">
        <v>1725</v>
      </c>
      <c r="P6" s="1993" t="s">
        <v>1725</v>
      </c>
      <c r="Q6" s="1993" t="s">
        <v>1725</v>
      </c>
      <c r="R6" s="1993" t="s">
        <v>1133</v>
      </c>
      <c r="S6" s="1993" t="s">
        <v>1725</v>
      </c>
      <c r="T6" s="1993"/>
      <c r="U6" s="1993" t="s">
        <v>1725</v>
      </c>
      <c r="W6" s="1993" t="s">
        <v>1725</v>
      </c>
    </row>
    <row r="7" spans="1:23">
      <c r="A7" s="1991" t="s">
        <v>1726</v>
      </c>
      <c r="B7" s="1994" t="s">
        <v>1137</v>
      </c>
      <c r="C7" s="1992" t="s">
        <v>31</v>
      </c>
      <c r="F7" s="1993" t="s">
        <v>1727</v>
      </c>
      <c r="H7" s="1993" t="s">
        <v>1728</v>
      </c>
      <c r="I7" s="1993" t="s">
        <v>1729</v>
      </c>
    </row>
    <row r="8" spans="1:23">
      <c r="A8" s="1991" t="s">
        <v>1730</v>
      </c>
      <c r="B8" s="1991" t="s">
        <v>1731</v>
      </c>
      <c r="C8" s="1992" t="s">
        <v>764</v>
      </c>
      <c r="F8" s="1993" t="s">
        <v>1732</v>
      </c>
      <c r="H8" s="1993"/>
      <c r="I8" s="1993" t="s">
        <v>1733</v>
      </c>
    </row>
    <row r="9" spans="1:23">
      <c r="A9" s="1991" t="s">
        <v>1734</v>
      </c>
      <c r="B9" s="1991" t="s">
        <v>1735</v>
      </c>
      <c r="C9" s="1992" t="s">
        <v>765</v>
      </c>
      <c r="F9" s="1993" t="s">
        <v>1736</v>
      </c>
      <c r="H9" s="1993"/>
    </row>
    <row r="10" spans="1:23">
      <c r="A10" s="1991" t="s">
        <v>1737</v>
      </c>
      <c r="B10" s="1991" t="s">
        <v>1738</v>
      </c>
      <c r="C10" s="1992" t="s">
        <v>766</v>
      </c>
      <c r="F10" s="1993" t="s">
        <v>16</v>
      </c>
    </row>
    <row r="11" spans="1:23">
      <c r="A11" s="1991" t="s">
        <v>1739</v>
      </c>
      <c r="B11" s="1991" t="s">
        <v>1740</v>
      </c>
      <c r="C11" s="1992" t="s">
        <v>767</v>
      </c>
    </row>
    <row r="12" spans="1:23">
      <c r="A12" s="1991" t="s">
        <v>1741</v>
      </c>
      <c r="B12" s="1991" t="s">
        <v>1742</v>
      </c>
      <c r="C12" s="1992" t="s">
        <v>768</v>
      </c>
    </row>
    <row r="13" spans="1:23">
      <c r="A13" s="1991" t="s">
        <v>1743</v>
      </c>
      <c r="B13" s="1991" t="s">
        <v>1744</v>
      </c>
      <c r="C13" s="1992" t="s">
        <v>769</v>
      </c>
    </row>
    <row r="14" spans="1:23">
      <c r="A14" s="1991" t="s">
        <v>1745</v>
      </c>
      <c r="B14" s="1991" t="s">
        <v>1746</v>
      </c>
      <c r="C14" s="1993" t="s">
        <v>16</v>
      </c>
    </row>
    <row r="15" spans="1:23">
      <c r="A15" s="1991" t="s">
        <v>1747</v>
      </c>
      <c r="B15" s="1994" t="s">
        <v>3434</v>
      </c>
      <c r="C15" s="1992"/>
    </row>
    <row r="16" spans="1:23">
      <c r="A16" s="1991" t="s">
        <v>1748</v>
      </c>
      <c r="B16" s="1991" t="s">
        <v>756</v>
      </c>
      <c r="C16" s="1992"/>
    </row>
    <row r="17" spans="1:3">
      <c r="A17" s="1991" t="s">
        <v>1749</v>
      </c>
      <c r="B17" s="1994" t="s">
        <v>3425</v>
      </c>
      <c r="C17" s="1992"/>
    </row>
    <row r="18" spans="1:3">
      <c r="A18" s="1991" t="s">
        <v>1750</v>
      </c>
      <c r="B18" s="1991" t="s">
        <v>3431</v>
      </c>
      <c r="C18" s="1992"/>
    </row>
    <row r="19" spans="1:3">
      <c r="A19" s="1991" t="s">
        <v>1751</v>
      </c>
      <c r="B19" s="1991" t="s">
        <v>3363</v>
      </c>
      <c r="C19" s="1992"/>
    </row>
    <row r="20" spans="1:3">
      <c r="A20" s="1991" t="s">
        <v>1752</v>
      </c>
      <c r="B20" s="1991" t="s">
        <v>3346</v>
      </c>
      <c r="C20" s="1992"/>
    </row>
    <row r="21" spans="1:3">
      <c r="A21" s="1991" t="s">
        <v>1753</v>
      </c>
      <c r="B21" s="1991" t="s">
        <v>3347</v>
      </c>
      <c r="C21" s="1992"/>
    </row>
    <row r="22" spans="1:3">
      <c r="A22" s="1991" t="s">
        <v>1754</v>
      </c>
      <c r="B22" s="1991" t="s">
        <v>3365</v>
      </c>
      <c r="C22" s="1992"/>
    </row>
    <row r="23" spans="1:3">
      <c r="A23" s="1991" t="s">
        <v>1755</v>
      </c>
      <c r="B23" s="1991" t="s">
        <v>3386</v>
      </c>
      <c r="C23" s="1992"/>
    </row>
    <row r="24" spans="1:3">
      <c r="A24" s="1991" t="s">
        <v>1756</v>
      </c>
      <c r="B24" s="1994" t="s">
        <v>3387</v>
      </c>
      <c r="C24" s="1992"/>
    </row>
    <row r="25" spans="1:3">
      <c r="A25" s="1991" t="s">
        <v>1757</v>
      </c>
      <c r="B25" s="1991" t="s">
        <v>3388</v>
      </c>
      <c r="C25" s="1992"/>
    </row>
    <row r="26" spans="1:3">
      <c r="A26" s="1991" t="s">
        <v>1758</v>
      </c>
      <c r="B26" s="1991" t="s">
        <v>3389</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854</v>
      </c>
      <c r="B51" s="19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成都市青羊区西御街3号、5号房地产作为抵押担保物，向办理贷款手续。特委托北京康正宏基房地产评估有限公司对上述抵押物进行评估。本次评估为确定房地产抵押贷款额度提供参考依据而评估房地产抵押价值。</v>
      </c>
      <c r="D51" s="1999" t="s">
        <v>1273</v>
      </c>
    </row>
    <row r="52" spans="1:4">
      <c r="A52" s="1998" t="s">
        <v>855</v>
      </c>
      <c r="B52" s="1998" t="s">
        <v>856</v>
      </c>
      <c r="C52" s="1996" t="s">
        <v>857</v>
      </c>
      <c r="D52" s="1996" t="s">
        <v>858</v>
      </c>
    </row>
    <row r="53" spans="1:4">
      <c r="A53" s="3516" t="s">
        <v>859</v>
      </c>
      <c r="B53" s="1999" t="s">
        <v>860</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16"/>
      <c r="B54" s="1999" t="s">
        <v>861</v>
      </c>
      <c r="C54" s="1996" t="s">
        <v>1270</v>
      </c>
    </row>
    <row r="55" spans="1:4">
      <c r="A55" s="3516"/>
      <c r="B55" s="1999" t="s">
        <v>862</v>
      </c>
      <c r="C55" s="1996" t="s">
        <v>1271</v>
      </c>
    </row>
    <row r="56" spans="1:4">
      <c r="A56" s="3516"/>
      <c r="B56" s="1999" t="s">
        <v>863</v>
      </c>
      <c r="C56" s="1996" t="s">
        <v>1275</v>
      </c>
    </row>
    <row r="57" spans="1:4">
      <c r="A57" s="3516"/>
      <c r="B57" s="1999" t="s">
        <v>864</v>
      </c>
      <c r="C57" s="1996" t="s">
        <v>1272</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K25"/>
  <sheetViews>
    <sheetView workbookViewId="0">
      <selection activeCell="E13" sqref="E13"/>
    </sheetView>
  </sheetViews>
  <sheetFormatPr defaultColWidth="8.88671875" defaultRowHeight="14.4"/>
  <cols>
    <col min="1" max="1" width="8.88671875" style="3410"/>
    <col min="2" max="2" width="22.6640625" style="3410" bestFit="1" customWidth="1"/>
    <col min="3" max="3" width="23.44140625" style="3410" customWidth="1"/>
    <col min="4" max="4" width="13.21875" style="3410" customWidth="1"/>
    <col min="5" max="5" width="12.44140625" style="3411" customWidth="1"/>
    <col min="6" max="6" width="8.88671875" style="3410"/>
    <col min="7" max="7" width="13.44140625" style="3410" customWidth="1"/>
    <col min="8" max="9" width="12.44140625" style="3410" customWidth="1"/>
    <col min="10" max="10" width="8.88671875" style="3407"/>
    <col min="11" max="11" width="12.44140625" style="3410" customWidth="1"/>
    <col min="12" max="16384" width="8.88671875" style="3407"/>
  </cols>
  <sheetData>
    <row r="2" spans="1:11">
      <c r="A2" s="3405" t="s">
        <v>3390</v>
      </c>
      <c r="B2" s="3405" t="s">
        <v>3391</v>
      </c>
      <c r="C2" s="3405" t="s">
        <v>3392</v>
      </c>
      <c r="D2" s="3405" t="s">
        <v>3393</v>
      </c>
      <c r="E2" s="3406" t="s">
        <v>3394</v>
      </c>
      <c r="F2" s="3405" t="s">
        <v>3142</v>
      </c>
      <c r="G2" s="3405" t="s">
        <v>3395</v>
      </c>
      <c r="H2" s="3405" t="s">
        <v>3396</v>
      </c>
      <c r="I2" s="3405" t="s">
        <v>3397</v>
      </c>
      <c r="K2" s="3405" t="s">
        <v>3396</v>
      </c>
    </row>
    <row r="3" spans="1:11" ht="28.8">
      <c r="A3" s="3405">
        <v>1</v>
      </c>
      <c r="B3" s="3405" t="s">
        <v>3398</v>
      </c>
      <c r="C3" s="3405" t="s">
        <v>3399</v>
      </c>
      <c r="D3" s="3405">
        <v>40</v>
      </c>
      <c r="E3" s="3406" t="s">
        <v>3400</v>
      </c>
      <c r="F3" s="3405" t="s">
        <v>3151</v>
      </c>
      <c r="G3" s="3405">
        <v>472.52</v>
      </c>
      <c r="H3" s="3405">
        <v>9953.84</v>
      </c>
      <c r="I3" s="3408">
        <v>54184</v>
      </c>
      <c r="K3" s="3405">
        <v>9953.84</v>
      </c>
    </row>
    <row r="4" spans="1:11" ht="28.8">
      <c r="A4" s="3405">
        <v>2</v>
      </c>
      <c r="B4" s="3405" t="s">
        <v>3398</v>
      </c>
      <c r="C4" s="3405" t="s">
        <v>3401</v>
      </c>
      <c r="D4" s="3405">
        <v>40</v>
      </c>
      <c r="E4" s="3406" t="s">
        <v>3402</v>
      </c>
      <c r="F4" s="3405" t="s">
        <v>3403</v>
      </c>
      <c r="G4" s="3405">
        <v>1827.82</v>
      </c>
      <c r="H4" s="3405">
        <v>39599.300000000003</v>
      </c>
      <c r="I4" s="3408">
        <v>54184</v>
      </c>
      <c r="K4" s="3405">
        <v>37211.31</v>
      </c>
    </row>
    <row r="5" spans="1:11" ht="27.6" customHeight="1">
      <c r="A5" s="3405">
        <v>3</v>
      </c>
      <c r="B5" s="3405" t="s">
        <v>3398</v>
      </c>
      <c r="C5" s="3409" t="s">
        <v>3404</v>
      </c>
      <c r="D5" s="3405">
        <v>40</v>
      </c>
      <c r="E5" s="3406" t="s">
        <v>3405</v>
      </c>
      <c r="F5" s="3405" t="s">
        <v>3154</v>
      </c>
      <c r="G5" s="3405">
        <v>2676.22</v>
      </c>
      <c r="H5" s="3405">
        <v>82629.64</v>
      </c>
      <c r="I5" s="3408">
        <v>54184</v>
      </c>
      <c r="K5" s="3405">
        <v>82629.64</v>
      </c>
    </row>
    <row r="6" spans="1:11" ht="28.8">
      <c r="A6" s="3405">
        <v>4</v>
      </c>
      <c r="B6" s="3405" t="s">
        <v>3398</v>
      </c>
      <c r="C6" s="3405" t="s">
        <v>3406</v>
      </c>
      <c r="D6" s="3405">
        <v>40</v>
      </c>
      <c r="E6" s="3406" t="s">
        <v>3407</v>
      </c>
      <c r="F6" s="3405" t="s">
        <v>3408</v>
      </c>
      <c r="G6" s="3405">
        <v>7218.2</v>
      </c>
      <c r="H6" s="3405">
        <v>34125.879999999997</v>
      </c>
      <c r="I6" s="3408">
        <v>54184</v>
      </c>
      <c r="J6" s="3407">
        <f>H6/650</f>
        <v>52.50135384615384</v>
      </c>
      <c r="K6" s="3405">
        <v>25065.03</v>
      </c>
    </row>
    <row r="7" spans="1:11" ht="28.8">
      <c r="A7" s="3405">
        <v>5</v>
      </c>
      <c r="B7" s="3405" t="s">
        <v>3398</v>
      </c>
      <c r="C7" s="3405" t="s">
        <v>3409</v>
      </c>
      <c r="D7" s="3405">
        <v>40</v>
      </c>
      <c r="E7" s="3406" t="s">
        <v>3410</v>
      </c>
      <c r="F7" s="3405" t="s">
        <v>3411</v>
      </c>
      <c r="G7" s="3405">
        <v>30.13</v>
      </c>
      <c r="H7" s="3405">
        <v>142.43</v>
      </c>
      <c r="I7" s="3408">
        <v>54184</v>
      </c>
      <c r="K7" s="3405">
        <v>11909.88</v>
      </c>
    </row>
    <row r="8" spans="1:11">
      <c r="A8" s="3405"/>
      <c r="B8" s="3405"/>
      <c r="C8" s="3405"/>
      <c r="D8" s="3405"/>
      <c r="E8" s="3406"/>
      <c r="F8" s="3405"/>
      <c r="G8" s="3405">
        <f>SUM(G3:G7)</f>
        <v>12224.889999999998</v>
      </c>
      <c r="H8" s="3405">
        <f>SUM(H3:H7)</f>
        <v>166451.09</v>
      </c>
      <c r="I8" s="3405"/>
      <c r="K8" s="3405">
        <f>SUM(K3:K7)</f>
        <v>166769.70000000001</v>
      </c>
    </row>
    <row r="12" spans="1:11" ht="16.95" customHeight="1">
      <c r="B12" s="3410" t="s">
        <v>3151</v>
      </c>
      <c r="C12" s="3405"/>
      <c r="D12" s="3405" t="s">
        <v>3395</v>
      </c>
      <c r="E12" s="3405" t="s">
        <v>3396</v>
      </c>
      <c r="F12" s="3414" t="s">
        <v>3429</v>
      </c>
      <c r="G12" s="3414" t="s">
        <v>3430</v>
      </c>
    </row>
    <row r="13" spans="1:11" ht="15">
      <c r="C13" s="3405" t="s">
        <v>3412</v>
      </c>
      <c r="D13" s="3405">
        <v>188.12</v>
      </c>
      <c r="E13" s="3405">
        <v>889.42</v>
      </c>
      <c r="F13" s="3414">
        <v>0.5</v>
      </c>
      <c r="G13" s="3414">
        <f>$G$14*F13</f>
        <v>7.5</v>
      </c>
    </row>
    <row r="14" spans="1:11" ht="15">
      <c r="C14" s="3405" t="s">
        <v>3413</v>
      </c>
      <c r="D14" s="3405">
        <f>4.95+27.81</f>
        <v>32.76</v>
      </c>
      <c r="E14" s="3405">
        <f>157.85+886.23</f>
        <v>1044.08</v>
      </c>
      <c r="F14" s="3414">
        <v>1</v>
      </c>
      <c r="G14" s="3414">
        <v>15</v>
      </c>
    </row>
    <row r="15" spans="1:11" ht="15">
      <c r="C15" s="3405" t="s">
        <v>3170</v>
      </c>
      <c r="D15" s="3405">
        <v>43.69</v>
      </c>
      <c r="E15" s="3405">
        <v>1392.6</v>
      </c>
      <c r="F15" s="3414">
        <v>0.75</v>
      </c>
      <c r="G15" s="3414">
        <f>$G$14*F15</f>
        <v>11.25</v>
      </c>
    </row>
    <row r="16" spans="1:11" ht="15">
      <c r="C16" s="3405" t="s">
        <v>3171</v>
      </c>
      <c r="D16" s="3405">
        <v>70.37</v>
      </c>
      <c r="E16" s="3405">
        <v>2242.9</v>
      </c>
      <c r="F16" s="3414">
        <v>0.6</v>
      </c>
      <c r="G16" s="3414">
        <f t="shared" ref="G16:G18" si="0">$G$14*F16</f>
        <v>9</v>
      </c>
    </row>
    <row r="17" spans="2:7" ht="15">
      <c r="C17" s="3405" t="s">
        <v>3172</v>
      </c>
      <c r="D17" s="3405">
        <v>72.31</v>
      </c>
      <c r="E17" s="3405">
        <v>2304.6999999999998</v>
      </c>
      <c r="F17" s="3414">
        <v>0.45</v>
      </c>
      <c r="G17" s="3414">
        <f t="shared" si="0"/>
        <v>6.75</v>
      </c>
    </row>
    <row r="18" spans="2:7" ht="15">
      <c r="C18" s="3405" t="s">
        <v>3414</v>
      </c>
      <c r="D18" s="3405">
        <v>65.27</v>
      </c>
      <c r="E18" s="3405">
        <v>2080.14</v>
      </c>
      <c r="F18" s="3414">
        <v>0.4</v>
      </c>
      <c r="G18" s="3414">
        <f t="shared" si="0"/>
        <v>6</v>
      </c>
    </row>
    <row r="19" spans="2:7" ht="15">
      <c r="C19" s="3405" t="s">
        <v>3159</v>
      </c>
      <c r="D19" s="3405">
        <f>SUM(D13:D18)</f>
        <v>472.52</v>
      </c>
      <c r="E19" s="3405">
        <f>SUM(E13:E18)</f>
        <v>9953.84</v>
      </c>
      <c r="F19" s="3414"/>
      <c r="G19" s="3415">
        <f>ROUND(SUMPRODUCT(G13:G18,E13:E18)/SUM(E13:E18),2)</f>
        <v>8.66</v>
      </c>
    </row>
    <row r="22" spans="2:7">
      <c r="B22" s="3410" t="s">
        <v>3403</v>
      </c>
      <c r="C22" s="3405"/>
      <c r="D22" s="3405" t="s">
        <v>3395</v>
      </c>
      <c r="E22" s="3405" t="s">
        <v>3396</v>
      </c>
    </row>
    <row r="23" spans="2:7">
      <c r="C23" s="3405" t="s">
        <v>3415</v>
      </c>
      <c r="D23" s="3405">
        <f>G4-D24</f>
        <v>505.06999999999994</v>
      </c>
      <c r="E23" s="3405">
        <f>H4-E24</f>
        <v>2387.9900000000052</v>
      </c>
    </row>
    <row r="24" spans="2:7">
      <c r="C24" s="3405" t="s">
        <v>3416</v>
      </c>
      <c r="D24" s="3405">
        <v>1322.75</v>
      </c>
      <c r="E24" s="3405">
        <v>37211.31</v>
      </c>
    </row>
    <row r="25" spans="2:7">
      <c r="C25" s="3405" t="s">
        <v>3159</v>
      </c>
      <c r="D25" s="3405">
        <f>D23+D24</f>
        <v>1827.82</v>
      </c>
      <c r="E25" s="3405">
        <f>E23+E24</f>
        <v>39599.300000000003</v>
      </c>
    </row>
  </sheetData>
  <phoneticPr fontId="144" type="noConversion"/>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8671875" defaultRowHeight="13.8"/>
  <cols>
    <col min="1" max="1" width="10.6640625" style="2131" customWidth="1"/>
    <col min="2" max="2" width="11" style="2131" customWidth="1"/>
    <col min="3" max="3" width="10.33203125" style="2131" customWidth="1"/>
    <col min="4" max="4" width="9.109375" style="2131" customWidth="1"/>
    <col min="5" max="6" width="10" style="2194" customWidth="1"/>
    <col min="7" max="8" width="10" style="2131" customWidth="1"/>
    <col min="9" max="9" width="10.6640625" style="2131" customWidth="1"/>
    <col min="10" max="10" width="9.44140625" style="2131" customWidth="1"/>
    <col min="11" max="11" width="11" style="2131" customWidth="1"/>
    <col min="12" max="12" width="9.44140625" style="2131" customWidth="1"/>
    <col min="13" max="13" width="11.33203125" style="2131" customWidth="1"/>
    <col min="14" max="14" width="9.44140625" style="2131" customWidth="1"/>
    <col min="15" max="15" width="9.88671875" style="2131" customWidth="1"/>
    <col min="16" max="16" width="9.77734375" style="2131" customWidth="1"/>
    <col min="17" max="17" width="12.21875" style="2131" customWidth="1"/>
    <col min="18" max="18" width="9.21875" style="2131" customWidth="1"/>
    <col min="19" max="19" width="10.88671875" style="2131" customWidth="1"/>
    <col min="20" max="21" width="10.77734375" style="2131" customWidth="1"/>
    <col min="22" max="22" width="10.88671875" style="2131" customWidth="1"/>
    <col min="23" max="27" width="10.77734375" style="2131" customWidth="1"/>
    <col min="28" max="28" width="10.88671875" style="2131" customWidth="1"/>
    <col min="29" max="29" width="11" style="2131" bestFit="1" customWidth="1"/>
    <col min="30" max="30" width="10" style="2131" bestFit="1" customWidth="1"/>
    <col min="31" max="31" width="9.77734375" style="2131" customWidth="1"/>
    <col min="32" max="46" width="9.44140625" style="2131" customWidth="1"/>
    <col min="47" max="47" width="18.109375" style="2131" customWidth="1"/>
    <col min="48" max="50" width="9.77734375" style="2131" customWidth="1"/>
    <col min="51" max="55" width="10.44140625" style="2131" bestFit="1" customWidth="1"/>
    <col min="56" max="56" width="9.44140625" style="2131" bestFit="1" customWidth="1"/>
    <col min="57" max="63" width="9.109375" style="2131" bestFit="1" customWidth="1"/>
    <col min="64" max="64" width="9.44140625" style="2131" bestFit="1" customWidth="1"/>
    <col min="65" max="65" width="9.109375" style="2131" bestFit="1" customWidth="1"/>
    <col min="66" max="66" width="9.44140625" style="2131" bestFit="1" customWidth="1"/>
    <col min="67" max="69" width="9.109375" style="2131" bestFit="1" customWidth="1"/>
    <col min="70" max="70" width="9.44140625" style="2131" bestFit="1" customWidth="1"/>
    <col min="71" max="71" width="9" style="2131" customWidth="1"/>
    <col min="72" max="72" width="9.109375" style="2131" bestFit="1" customWidth="1"/>
    <col min="73" max="16384" width="8.88671875" style="2131"/>
  </cols>
  <sheetData>
    <row r="1" spans="1:72" ht="21">
      <c r="A1" s="2134" t="s">
        <v>1854</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5" t="s">
        <v>1855</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9" customFormat="1" ht="24">
      <c r="A2" s="11" t="s">
        <v>1856</v>
      </c>
      <c r="B2" s="11" t="s">
        <v>1857</v>
      </c>
      <c r="C2" s="11" t="s">
        <v>1858</v>
      </c>
      <c r="D2" s="2136"/>
      <c r="E2" s="2137"/>
      <c r="F2" s="2138"/>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1250" t="s">
        <v>1859</v>
      </c>
      <c r="AZ2" s="1251" t="s">
        <v>1860</v>
      </c>
      <c r="BA2" s="11" t="s">
        <v>1861</v>
      </c>
      <c r="BB2" s="2136"/>
      <c r="BC2" s="2136"/>
      <c r="BD2" s="2136"/>
      <c r="BE2" s="2136"/>
      <c r="BF2" s="2136"/>
      <c r="BG2" s="2136"/>
      <c r="BH2" s="2136"/>
      <c r="BI2" s="2136"/>
      <c r="BJ2" s="2136"/>
      <c r="BK2" s="2136"/>
      <c r="BL2" s="2136"/>
      <c r="BM2" s="2136"/>
      <c r="BN2" s="2136"/>
      <c r="BO2" s="2136"/>
      <c r="BP2" s="2136"/>
      <c r="BQ2" s="2136"/>
      <c r="BR2" s="2136"/>
      <c r="BS2" s="2136"/>
      <c r="BT2" s="2136"/>
    </row>
    <row r="3" spans="1:72" s="2139" customFormat="1" ht="13.2">
      <c r="A3" s="13">
        <f>面积表!G8</f>
        <v>12224.889999999998</v>
      </c>
      <c r="B3" s="14">
        <f>IF(C3="否",G5-AT5,G5)</f>
        <v>166451.09</v>
      </c>
      <c r="C3" s="2140" t="s">
        <v>1862</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1252"/>
      <c r="AZ3" s="1253"/>
      <c r="BA3" s="1254"/>
      <c r="BB3" s="2136"/>
      <c r="BC3" s="2136"/>
      <c r="BD3" s="2136"/>
      <c r="BE3" s="2136"/>
      <c r="BF3" s="2136"/>
      <c r="BG3" s="2136"/>
      <c r="BH3" s="2136"/>
      <c r="BI3" s="2136"/>
      <c r="BJ3" s="2136"/>
      <c r="BK3" s="2136"/>
      <c r="BL3" s="2136"/>
      <c r="BM3" s="2136"/>
      <c r="BN3" s="2136"/>
      <c r="BO3" s="2136"/>
      <c r="BP3" s="2136"/>
      <c r="BQ3" s="2136"/>
      <c r="BR3" s="2136"/>
      <c r="BS3" s="2136"/>
      <c r="BT3" s="2136"/>
    </row>
    <row r="4" spans="1:72" s="2145" customFormat="1" thickBot="1">
      <c r="A4" s="2141"/>
      <c r="B4" s="2142"/>
      <c r="C4" s="2143"/>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144"/>
      <c r="BB4" s="2136"/>
      <c r="BC4" s="2136"/>
      <c r="BD4" s="2136"/>
      <c r="BE4" s="2136"/>
      <c r="BF4" s="2136"/>
      <c r="BG4" s="2136"/>
      <c r="BH4" s="2136"/>
      <c r="BI4" s="2136"/>
      <c r="BJ4" s="2136"/>
      <c r="BK4" s="2136"/>
      <c r="BL4" s="2136"/>
      <c r="BM4" s="2136"/>
      <c r="BN4" s="2136"/>
      <c r="BO4" s="2136"/>
      <c r="BP4" s="2136"/>
      <c r="BQ4" s="2136"/>
      <c r="BR4" s="2136"/>
      <c r="BS4" s="2136"/>
      <c r="BT4" s="2136"/>
    </row>
    <row r="5" spans="1:72" s="2139" customFormat="1" ht="13.2">
      <c r="A5" s="15" t="s">
        <v>1863</v>
      </c>
      <c r="B5" s="1781"/>
      <c r="C5" s="1781"/>
      <c r="D5" s="1784"/>
      <c r="E5" s="16" t="s">
        <v>1</v>
      </c>
      <c r="F5" s="16">
        <f>SUM(F13:F587)</f>
        <v>0</v>
      </c>
      <c r="G5" s="16">
        <f>SUM(G13:G587)</f>
        <v>166451.09</v>
      </c>
      <c r="H5" s="16">
        <f t="shared" ref="H5:AT5" si="0">SUM(H13:H656)</f>
        <v>166308.66</v>
      </c>
      <c r="I5" s="16">
        <f t="shared" si="0"/>
        <v>9064.42</v>
      </c>
      <c r="J5" s="16">
        <f t="shared" si="0"/>
        <v>0</v>
      </c>
      <c r="K5" s="16">
        <f t="shared" si="0"/>
        <v>889.42</v>
      </c>
      <c r="L5" s="16">
        <f t="shared" si="0"/>
        <v>0</v>
      </c>
      <c r="M5" s="16">
        <f t="shared" si="0"/>
        <v>82629.64</v>
      </c>
      <c r="N5" s="16">
        <f t="shared" si="0"/>
        <v>0</v>
      </c>
      <c r="O5" s="16">
        <f t="shared" si="0"/>
        <v>37211.31</v>
      </c>
      <c r="P5" s="16">
        <f t="shared" si="0"/>
        <v>0</v>
      </c>
      <c r="Q5" s="16">
        <f t="shared" si="0"/>
        <v>2387.9900000000052</v>
      </c>
      <c r="R5" s="16">
        <f t="shared" si="0"/>
        <v>0</v>
      </c>
      <c r="S5" s="16">
        <f t="shared" si="0"/>
        <v>34125.879999999997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142.43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142.43</v>
      </c>
      <c r="AO5" s="16">
        <f t="shared" si="0"/>
        <v>0</v>
      </c>
      <c r="AP5" s="16">
        <f t="shared" si="0"/>
        <v>0</v>
      </c>
      <c r="AQ5" s="16">
        <f t="shared" si="0"/>
        <v>0</v>
      </c>
      <c r="AR5" s="16">
        <f t="shared" si="0"/>
        <v>0</v>
      </c>
      <c r="AS5" s="16">
        <f t="shared" si="0"/>
        <v>0</v>
      </c>
      <c r="AT5" s="16">
        <f t="shared" si="0"/>
        <v>0</v>
      </c>
      <c r="AU5" s="1780"/>
      <c r="AV5" s="15" t="s">
        <v>1863</v>
      </c>
      <c r="AW5" s="1781"/>
      <c r="AX5" s="1781"/>
      <c r="AY5" s="17" t="s">
        <v>3</v>
      </c>
      <c r="AZ5" s="18">
        <f t="shared" ref="AZ5:BT5" si="1">SUM(AZ13:AZ656)</f>
        <v>166451.09</v>
      </c>
      <c r="BA5" s="18">
        <f t="shared" si="1"/>
        <v>166308.66</v>
      </c>
      <c r="BB5" s="18">
        <f t="shared" si="1"/>
        <v>9064.42</v>
      </c>
      <c r="BC5" s="18">
        <f t="shared" si="1"/>
        <v>889.42</v>
      </c>
      <c r="BD5" s="18">
        <f t="shared" si="1"/>
        <v>82629.64</v>
      </c>
      <c r="BE5" s="18">
        <f t="shared" si="1"/>
        <v>37211.31</v>
      </c>
      <c r="BF5" s="18">
        <f t="shared" si="1"/>
        <v>2387.9900000000052</v>
      </c>
      <c r="BG5" s="18">
        <f t="shared" si="1"/>
        <v>34125.879999999997</v>
      </c>
      <c r="BH5" s="18">
        <f t="shared" si="1"/>
        <v>0</v>
      </c>
      <c r="BI5" s="18">
        <f t="shared" si="1"/>
        <v>0</v>
      </c>
      <c r="BJ5" s="18">
        <f t="shared" si="1"/>
        <v>0</v>
      </c>
      <c r="BK5" s="18">
        <f t="shared" si="1"/>
        <v>0</v>
      </c>
      <c r="BL5" s="18">
        <f t="shared" si="1"/>
        <v>142.43</v>
      </c>
      <c r="BM5" s="18">
        <f t="shared" si="1"/>
        <v>0</v>
      </c>
      <c r="BN5" s="18">
        <f t="shared" si="1"/>
        <v>0</v>
      </c>
      <c r="BO5" s="18">
        <f t="shared" si="1"/>
        <v>0</v>
      </c>
      <c r="BP5" s="18">
        <f t="shared" si="1"/>
        <v>0</v>
      </c>
      <c r="BQ5" s="18">
        <f t="shared" si="1"/>
        <v>0</v>
      </c>
      <c r="BR5" s="18">
        <f t="shared" si="1"/>
        <v>142.43</v>
      </c>
      <c r="BS5" s="18">
        <f t="shared" si="1"/>
        <v>0</v>
      </c>
      <c r="BT5" s="19">
        <f t="shared" si="1"/>
        <v>0</v>
      </c>
    </row>
    <row r="6" spans="1:72" s="2149" customFormat="1" ht="13.2">
      <c r="A6" s="15" t="s">
        <v>1864</v>
      </c>
      <c r="B6" s="2146"/>
      <c r="C6" s="2146"/>
      <c r="D6" s="2147"/>
      <c r="E6" s="16">
        <f>H6+AC6+AT6</f>
        <v>12224.88</v>
      </c>
      <c r="F6" s="16" t="s">
        <v>1</v>
      </c>
      <c r="G6" s="16" t="s">
        <v>2</v>
      </c>
      <c r="H6" s="20">
        <f>SUMIF(I$12:AB$12,"总值",I6:AB6)</f>
        <v>12214.42</v>
      </c>
      <c r="I6" s="16">
        <f t="shared" ref="I6:AB6" si="2">ROUND($A$3*I5/$B$3,2)</f>
        <v>665.73</v>
      </c>
      <c r="J6" s="16">
        <f t="shared" si="2"/>
        <v>0</v>
      </c>
      <c r="K6" s="16">
        <f t="shared" si="2"/>
        <v>65.319999999999993</v>
      </c>
      <c r="L6" s="16">
        <f t="shared" si="2"/>
        <v>0</v>
      </c>
      <c r="M6" s="16">
        <f t="shared" si="2"/>
        <v>6068.68</v>
      </c>
      <c r="N6" s="16">
        <f t="shared" si="2"/>
        <v>0</v>
      </c>
      <c r="O6" s="16">
        <f t="shared" si="2"/>
        <v>2732.96</v>
      </c>
      <c r="P6" s="16">
        <f t="shared" si="2"/>
        <v>0</v>
      </c>
      <c r="Q6" s="16">
        <f t="shared" si="2"/>
        <v>175.38</v>
      </c>
      <c r="R6" s="16">
        <f t="shared" si="2"/>
        <v>0</v>
      </c>
      <c r="S6" s="16">
        <f t="shared" si="2"/>
        <v>2506.35</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10.46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10.46</v>
      </c>
      <c r="AO6" s="16">
        <f t="shared" si="3"/>
        <v>0</v>
      </c>
      <c r="AP6" s="16">
        <f t="shared" si="3"/>
        <v>0</v>
      </c>
      <c r="AQ6" s="16">
        <f t="shared" si="3"/>
        <v>0</v>
      </c>
      <c r="AR6" s="16">
        <f t="shared" si="3"/>
        <v>0</v>
      </c>
      <c r="AS6" s="16">
        <f t="shared" si="3"/>
        <v>0</v>
      </c>
      <c r="AT6" s="20">
        <f>IF(C3="是",ROUND($A$3*AT5/$B$3,2),0)</f>
        <v>0</v>
      </c>
      <c r="AU6" s="2148"/>
      <c r="AV6" s="15" t="s">
        <v>1864</v>
      </c>
      <c r="AW6" s="2146"/>
      <c r="AX6" s="2146"/>
      <c r="AY6" s="21">
        <f>IF(AY3&gt;0,AY3,ROUND($A$3*AZ5/$B$3,2))</f>
        <v>12224.89</v>
      </c>
      <c r="AZ6" s="16" t="s">
        <v>3</v>
      </c>
      <c r="BA6" s="16">
        <f>ROUND($AY$6*BA5/$AZ$5,2)</f>
        <v>12214.43</v>
      </c>
      <c r="BB6" s="16">
        <f>ROUND($AY$6*BB5/$AZ$5,2)</f>
        <v>665.73</v>
      </c>
      <c r="BC6" s="16">
        <f t="shared" ref="BC6:BH6" si="4">ROUND($AY$6*BC5/$AZ$5,2)</f>
        <v>65.319999999999993</v>
      </c>
      <c r="BD6" s="16">
        <f t="shared" si="4"/>
        <v>6068.68</v>
      </c>
      <c r="BE6" s="16">
        <f t="shared" si="4"/>
        <v>2732.96</v>
      </c>
      <c r="BF6" s="16">
        <f t="shared" si="4"/>
        <v>175.38</v>
      </c>
      <c r="BG6" s="16">
        <f t="shared" si="4"/>
        <v>2506.35</v>
      </c>
      <c r="BH6" s="16">
        <f t="shared" si="4"/>
        <v>0</v>
      </c>
      <c r="BI6" s="16">
        <f t="shared" ref="BI6:BT6" si="5">ROUND($AY$6*BI5/$AZ$5,2)</f>
        <v>0</v>
      </c>
      <c r="BJ6" s="16">
        <f t="shared" si="5"/>
        <v>0</v>
      </c>
      <c r="BK6" s="16">
        <f t="shared" si="5"/>
        <v>0</v>
      </c>
      <c r="BL6" s="16">
        <f t="shared" si="5"/>
        <v>10.46</v>
      </c>
      <c r="BM6" s="16">
        <f t="shared" si="5"/>
        <v>0</v>
      </c>
      <c r="BN6" s="16">
        <f t="shared" si="5"/>
        <v>0</v>
      </c>
      <c r="BO6" s="16">
        <f t="shared" si="5"/>
        <v>0</v>
      </c>
      <c r="BP6" s="16">
        <f t="shared" si="5"/>
        <v>0</v>
      </c>
      <c r="BQ6" s="16">
        <f t="shared" si="5"/>
        <v>0</v>
      </c>
      <c r="BR6" s="16">
        <f t="shared" si="5"/>
        <v>10.46</v>
      </c>
      <c r="BS6" s="16">
        <f t="shared" si="5"/>
        <v>0</v>
      </c>
      <c r="BT6" s="22">
        <f t="shared" si="5"/>
        <v>0</v>
      </c>
    </row>
    <row r="7" spans="1:72" s="2139" customFormat="1" ht="25.2">
      <c r="A7" s="2081" t="s">
        <v>1865</v>
      </c>
      <c r="B7" s="2081" t="s">
        <v>1866</v>
      </c>
      <c r="C7" s="2081" t="s">
        <v>1867</v>
      </c>
      <c r="D7" s="2081" t="s">
        <v>1868</v>
      </c>
      <c r="E7" s="2081" t="s">
        <v>1869</v>
      </c>
      <c r="F7" s="2081" t="s">
        <v>1870</v>
      </c>
      <c r="G7" s="2150" t="s">
        <v>1871</v>
      </c>
      <c r="H7" s="2151"/>
      <c r="I7" s="2151"/>
      <c r="J7" s="2151"/>
      <c r="K7" s="2151"/>
      <c r="L7" s="2151"/>
      <c r="M7" s="2151"/>
      <c r="N7" s="2151"/>
      <c r="O7" s="2151"/>
      <c r="P7" s="2151"/>
      <c r="Q7" s="2151"/>
      <c r="R7" s="2151"/>
      <c r="S7" s="2151"/>
      <c r="T7" s="2151"/>
      <c r="U7" s="2151"/>
      <c r="V7" s="2151"/>
      <c r="W7" s="2151"/>
      <c r="X7" s="2151"/>
      <c r="Y7" s="2151"/>
      <c r="Z7" s="2151"/>
      <c r="AA7" s="2151"/>
      <c r="AB7" s="2151"/>
      <c r="AC7" s="2151"/>
      <c r="AD7" s="2151"/>
      <c r="AE7" s="2151"/>
      <c r="AF7" s="2151"/>
      <c r="AG7" s="2151"/>
      <c r="AH7" s="2151"/>
      <c r="AI7" s="2151"/>
      <c r="AJ7" s="2151"/>
      <c r="AK7" s="2151"/>
      <c r="AL7" s="2151"/>
      <c r="AM7" s="2151"/>
      <c r="AN7" s="2151"/>
      <c r="AO7" s="2151"/>
      <c r="AP7" s="2151"/>
      <c r="AQ7" s="2151"/>
      <c r="AR7" s="2151"/>
      <c r="AS7" s="2151"/>
      <c r="AT7" s="1784"/>
      <c r="AU7" s="2151" t="s">
        <v>1872</v>
      </c>
      <c r="AV7" s="23" t="s">
        <v>1873</v>
      </c>
      <c r="AW7" s="2138" t="s">
        <v>1874</v>
      </c>
      <c r="AX7" s="23" t="s">
        <v>1867</v>
      </c>
      <c r="AY7" s="1781" t="s">
        <v>1875</v>
      </c>
      <c r="AZ7" s="2152"/>
      <c r="BA7" s="2151"/>
      <c r="BB7" s="2151"/>
      <c r="BC7" s="2151"/>
      <c r="BD7" s="2151"/>
      <c r="BE7" s="2151"/>
      <c r="BF7" s="2151"/>
      <c r="BG7" s="2151"/>
      <c r="BH7" s="2151"/>
      <c r="BI7" s="2151"/>
      <c r="BJ7" s="2151"/>
      <c r="BK7" s="2151"/>
      <c r="BL7" s="2151"/>
      <c r="BM7" s="2151"/>
      <c r="BN7" s="2151"/>
      <c r="BO7" s="2151"/>
      <c r="BP7" s="2151"/>
      <c r="BQ7" s="2151"/>
      <c r="BR7" s="2151"/>
      <c r="BS7" s="2151"/>
      <c r="BT7" s="2153"/>
    </row>
    <row r="8" spans="1:72" s="2161" customFormat="1" ht="24">
      <c r="A8" s="2154"/>
      <c r="B8" s="2154"/>
      <c r="C8" s="2154"/>
      <c r="D8" s="2154"/>
      <c r="E8" s="2154"/>
      <c r="F8" s="2154"/>
      <c r="G8" s="2155" t="s">
        <v>1876</v>
      </c>
      <c r="H8" s="2156" t="s">
        <v>1877</v>
      </c>
      <c r="I8" s="2157"/>
      <c r="J8" s="1796"/>
      <c r="K8" s="1796"/>
      <c r="L8" s="1796"/>
      <c r="M8" s="1796"/>
      <c r="N8" s="1796"/>
      <c r="O8" s="1796"/>
      <c r="P8" s="1796"/>
      <c r="Q8" s="1796"/>
      <c r="R8" s="1796"/>
      <c r="S8" s="1796"/>
      <c r="T8" s="1796"/>
      <c r="U8" s="1796"/>
      <c r="V8" s="2158"/>
      <c r="W8" s="1796"/>
      <c r="X8" s="1796"/>
      <c r="Y8" s="1796"/>
      <c r="Z8" s="1796"/>
      <c r="AA8" s="2158"/>
      <c r="AB8" s="2159"/>
      <c r="AC8" s="970" t="s">
        <v>1878</v>
      </c>
      <c r="AD8" s="2160"/>
      <c r="AE8" s="2152"/>
      <c r="AF8" s="1796"/>
      <c r="AG8" s="1796"/>
      <c r="AH8" s="1796"/>
      <c r="AI8" s="1796"/>
      <c r="AJ8" s="1796"/>
      <c r="AK8" s="1796"/>
      <c r="AL8" s="1796"/>
      <c r="AM8" s="1796"/>
      <c r="AN8" s="1796"/>
      <c r="AO8" s="1796"/>
      <c r="AP8" s="1796"/>
      <c r="AQ8" s="1796"/>
      <c r="AR8" s="1796"/>
      <c r="AS8" s="1796"/>
      <c r="AT8" s="1273" t="s">
        <v>1879</v>
      </c>
      <c r="AU8" s="2154" t="s">
        <v>1880</v>
      </c>
      <c r="AV8" s="1273"/>
      <c r="AW8" s="2137"/>
      <c r="AX8" s="1273"/>
      <c r="AY8" s="2138" t="s">
        <v>1881</v>
      </c>
      <c r="AZ8" s="1795" t="s">
        <v>1882</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1" customFormat="1" ht="13.2">
      <c r="A9" s="2154"/>
      <c r="B9" s="2154"/>
      <c r="C9" s="2154"/>
      <c r="D9" s="2154"/>
      <c r="E9" s="2154"/>
      <c r="F9" s="2154"/>
      <c r="G9" s="1273"/>
      <c r="H9" s="2162" t="s">
        <v>1883</v>
      </c>
      <c r="I9" s="2947" t="s">
        <v>3029</v>
      </c>
      <c r="J9" s="970"/>
      <c r="K9" s="2947" t="s">
        <v>3032</v>
      </c>
      <c r="L9" s="970"/>
      <c r="M9" s="2947" t="s">
        <v>3029</v>
      </c>
      <c r="N9" s="970"/>
      <c r="O9" s="2163" t="s">
        <v>3029</v>
      </c>
      <c r="P9" s="970"/>
      <c r="Q9" s="2163" t="s">
        <v>3032</v>
      </c>
      <c r="R9" s="970"/>
      <c r="S9" s="2947" t="s">
        <v>3032</v>
      </c>
      <c r="T9" s="970"/>
      <c r="U9" s="2163"/>
      <c r="V9" s="970"/>
      <c r="W9" s="2163"/>
      <c r="X9" s="2164"/>
      <c r="Y9" s="2163"/>
      <c r="Z9" s="970"/>
      <c r="AA9" s="2163"/>
      <c r="AB9" s="970"/>
      <c r="AC9" s="2155" t="s">
        <v>1883</v>
      </c>
      <c r="AD9" s="15" t="s">
        <v>1884</v>
      </c>
      <c r="AE9" s="1279"/>
      <c r="AF9" s="15" t="s">
        <v>1885</v>
      </c>
      <c r="AG9" s="1279"/>
      <c r="AH9" s="15" t="s">
        <v>1884</v>
      </c>
      <c r="AI9" s="1279"/>
      <c r="AJ9" s="15" t="s">
        <v>1885</v>
      </c>
      <c r="AK9" s="1279"/>
      <c r="AL9" s="15" t="s">
        <v>1884</v>
      </c>
      <c r="AM9" s="1279"/>
      <c r="AN9" s="15" t="s">
        <v>1885</v>
      </c>
      <c r="AO9" s="1279"/>
      <c r="AP9" s="15" t="s">
        <v>1884</v>
      </c>
      <c r="AQ9" s="1279"/>
      <c r="AR9" s="15" t="s">
        <v>1885</v>
      </c>
      <c r="AS9" s="2165"/>
      <c r="AT9" s="2154"/>
      <c r="AU9" s="2154" t="s">
        <v>1886</v>
      </c>
      <c r="AV9" s="1273"/>
      <c r="AW9" s="2137"/>
      <c r="AX9" s="1273"/>
      <c r="AY9" s="28"/>
      <c r="AZ9" s="28" t="s">
        <v>1876</v>
      </c>
      <c r="BA9" s="2166" t="s">
        <v>1887</v>
      </c>
      <c r="BB9" s="2167"/>
      <c r="BC9" s="1319"/>
      <c r="BD9" s="1319"/>
      <c r="BE9" s="1319"/>
      <c r="BF9" s="1319"/>
      <c r="BG9" s="1319"/>
      <c r="BH9" s="1319"/>
      <c r="BI9" s="1319"/>
      <c r="BJ9" s="1319"/>
      <c r="BK9" s="2168"/>
      <c r="BL9" s="15" t="s">
        <v>1888</v>
      </c>
      <c r="BM9" s="1796"/>
      <c r="BN9" s="2157"/>
      <c r="BO9" s="1796"/>
      <c r="BP9" s="1796"/>
      <c r="BQ9" s="1796"/>
      <c r="BR9" s="1796"/>
      <c r="BS9" s="1796"/>
      <c r="BT9" s="26"/>
    </row>
    <row r="10" spans="1:72" s="2161" customFormat="1" ht="13.2">
      <c r="A10" s="2154"/>
      <c r="B10" s="2154"/>
      <c r="C10" s="2154"/>
      <c r="D10" s="2154"/>
      <c r="E10" s="2154"/>
      <c r="F10" s="2154"/>
      <c r="G10" s="1273"/>
      <c r="H10" s="28"/>
      <c r="I10" s="2947" t="s">
        <v>1362</v>
      </c>
      <c r="J10" s="970"/>
      <c r="K10" s="2947" t="s">
        <v>1362</v>
      </c>
      <c r="L10" s="970"/>
      <c r="M10" s="2949" t="s">
        <v>1362</v>
      </c>
      <c r="N10" s="970"/>
      <c r="O10" s="2169" t="s">
        <v>1362</v>
      </c>
      <c r="P10" s="970"/>
      <c r="Q10" s="2169" t="s">
        <v>1362</v>
      </c>
      <c r="R10" s="970"/>
      <c r="S10" s="2949" t="s">
        <v>3173</v>
      </c>
      <c r="T10" s="970"/>
      <c r="U10" s="2169"/>
      <c r="V10" s="970"/>
      <c r="W10" s="2169"/>
      <c r="X10" s="970"/>
      <c r="Y10" s="2169"/>
      <c r="Z10" s="970"/>
      <c r="AA10" s="2169"/>
      <c r="AB10" s="970"/>
      <c r="AC10" s="1273"/>
      <c r="AD10" s="15" t="s">
        <v>1889</v>
      </c>
      <c r="AE10" s="2170"/>
      <c r="AF10" s="15" t="s">
        <v>1889</v>
      </c>
      <c r="AG10" s="2170"/>
      <c r="AH10" s="15" t="s">
        <v>1890</v>
      </c>
      <c r="AI10" s="2170"/>
      <c r="AJ10" s="15" t="s">
        <v>1890</v>
      </c>
      <c r="AK10" s="2170"/>
      <c r="AL10" s="15" t="s">
        <v>1891</v>
      </c>
      <c r="AM10" s="1279"/>
      <c r="AN10" s="15" t="s">
        <v>1891</v>
      </c>
      <c r="AO10" s="1279"/>
      <c r="AP10" s="15" t="s">
        <v>1892</v>
      </c>
      <c r="AQ10" s="1279"/>
      <c r="AR10" s="15" t="s">
        <v>1892</v>
      </c>
      <c r="AS10" s="1279"/>
      <c r="AT10" s="2154"/>
      <c r="AU10" s="2154"/>
      <c r="AV10" s="1273"/>
      <c r="AW10" s="2137"/>
      <c r="AX10" s="1273"/>
      <c r="AY10" s="28"/>
      <c r="AZ10" s="28"/>
      <c r="BA10" s="2171" t="s">
        <v>1883</v>
      </c>
      <c r="BB10" s="2172" t="str">
        <f>I9</f>
        <v>地上</v>
      </c>
      <c r="BC10" s="29" t="str">
        <f>K9</f>
        <v>地下</v>
      </c>
      <c r="BD10" s="29" t="str">
        <f>M9</f>
        <v>地上</v>
      </c>
      <c r="BE10" s="29" t="str">
        <f>O9</f>
        <v>地上</v>
      </c>
      <c r="BF10" s="29" t="str">
        <f>Q9</f>
        <v>地下</v>
      </c>
      <c r="BG10" s="29" t="str">
        <f>S9</f>
        <v>地下</v>
      </c>
      <c r="BH10" s="29">
        <f>U9</f>
        <v>0</v>
      </c>
      <c r="BI10" s="29">
        <f>W9</f>
        <v>0</v>
      </c>
      <c r="BJ10" s="29">
        <f>Y9</f>
        <v>0</v>
      </c>
      <c r="BK10" s="29">
        <f>AA9</f>
        <v>0</v>
      </c>
      <c r="BL10" s="25" t="s">
        <v>1883</v>
      </c>
      <c r="BM10" s="1795" t="str">
        <f>AD9</f>
        <v>地上</v>
      </c>
      <c r="BN10" s="29" t="str">
        <f>AF9</f>
        <v>地下</v>
      </c>
      <c r="BO10" s="1795" t="str">
        <f>AH9</f>
        <v>地上</v>
      </c>
      <c r="BP10" s="29" t="str">
        <f>AJ9</f>
        <v>地下</v>
      </c>
      <c r="BQ10" s="1795" t="str">
        <f>AL9</f>
        <v>地上</v>
      </c>
      <c r="BR10" s="29" t="str">
        <f>AN9</f>
        <v>地下</v>
      </c>
      <c r="BS10" s="1795" t="str">
        <f>AP9</f>
        <v>地上</v>
      </c>
      <c r="BT10" s="2173" t="str">
        <f>AR9</f>
        <v>地下</v>
      </c>
    </row>
    <row r="11" spans="1:72" s="2161" customFormat="1" ht="13.2">
      <c r="A11" s="2154"/>
      <c r="B11" s="2154"/>
      <c r="C11" s="2154"/>
      <c r="D11" s="2154"/>
      <c r="E11" s="2154"/>
      <c r="F11" s="2154"/>
      <c r="G11" s="1273"/>
      <c r="H11" s="2171"/>
      <c r="I11" s="2948" t="s">
        <v>3030</v>
      </c>
      <c r="J11" s="2175"/>
      <c r="K11" s="2948" t="s">
        <v>3030</v>
      </c>
      <c r="L11" s="2175"/>
      <c r="M11" s="2948" t="s">
        <v>3031</v>
      </c>
      <c r="N11" s="2175"/>
      <c r="O11" s="2174" t="s">
        <v>3350</v>
      </c>
      <c r="P11" s="2175"/>
      <c r="Q11" s="2174" t="s">
        <v>3350</v>
      </c>
      <c r="R11" s="2175"/>
      <c r="S11" s="2948" t="s">
        <v>3173</v>
      </c>
      <c r="T11" s="2175"/>
      <c r="U11" s="2174"/>
      <c r="V11" s="2175"/>
      <c r="W11" s="2174"/>
      <c r="X11" s="2175"/>
      <c r="Y11" s="2174"/>
      <c r="Z11" s="2175"/>
      <c r="AA11" s="2174"/>
      <c r="AB11" s="2175"/>
      <c r="AC11" s="1273"/>
      <c r="AD11" s="2176" t="s">
        <v>1893</v>
      </c>
      <c r="AE11" s="1797"/>
      <c r="AF11" s="2176" t="s">
        <v>1893</v>
      </c>
      <c r="AG11" s="1797"/>
      <c r="AH11" s="2176" t="s">
        <v>1894</v>
      </c>
      <c r="AI11" s="2177"/>
      <c r="AJ11" s="2176" t="s">
        <v>1894</v>
      </c>
      <c r="AK11" s="1797"/>
      <c r="AL11" s="1795"/>
      <c r="AM11" s="1797"/>
      <c r="AN11" s="1795"/>
      <c r="AO11" s="1797"/>
      <c r="AP11" s="1795"/>
      <c r="AQ11" s="1797"/>
      <c r="AR11" s="1795"/>
      <c r="AS11" s="1797"/>
      <c r="AT11" s="2137"/>
      <c r="AU11" s="2154"/>
      <c r="AV11" s="1273"/>
      <c r="AW11" s="2137"/>
      <c r="AX11" s="1273"/>
      <c r="AY11" s="28"/>
      <c r="AZ11" s="28"/>
      <c r="BA11" s="28"/>
      <c r="BB11" s="2159" t="str">
        <f>I10</f>
        <v>商业</v>
      </c>
      <c r="BC11" s="2159" t="str">
        <f>K10</f>
        <v>商业</v>
      </c>
      <c r="BD11" s="2159" t="str">
        <f>M10</f>
        <v>商业</v>
      </c>
      <c r="BE11" s="2159" t="str">
        <f>O10</f>
        <v>商业</v>
      </c>
      <c r="BF11" s="2159" t="str">
        <f>Q10</f>
        <v>商业</v>
      </c>
      <c r="BG11" s="2159" t="str">
        <f>S10</f>
        <v>车库</v>
      </c>
      <c r="BH11" s="2159">
        <f>U10</f>
        <v>0</v>
      </c>
      <c r="BI11" s="2159">
        <f>W10</f>
        <v>0</v>
      </c>
      <c r="BJ11" s="2159">
        <f>Y10</f>
        <v>0</v>
      </c>
      <c r="BK11" s="2159">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8" t="str">
        <f>AR10</f>
        <v>未注明</v>
      </c>
    </row>
    <row r="12" spans="1:72" s="2139" customFormat="1" ht="13.2">
      <c r="A12" s="2179"/>
      <c r="B12" s="2179"/>
      <c r="C12" s="2179"/>
      <c r="D12" s="2179"/>
      <c r="E12" s="2179"/>
      <c r="F12" s="2179"/>
      <c r="G12" s="30"/>
      <c r="H12" s="2180"/>
      <c r="I12" s="1784" t="s">
        <v>1895</v>
      </c>
      <c r="J12" s="11" t="s">
        <v>1896</v>
      </c>
      <c r="K12" s="11" t="s">
        <v>1895</v>
      </c>
      <c r="L12" s="11" t="s">
        <v>1896</v>
      </c>
      <c r="M12" s="11" t="s">
        <v>1895</v>
      </c>
      <c r="N12" s="11" t="s">
        <v>1896</v>
      </c>
      <c r="O12" s="11" t="s">
        <v>1895</v>
      </c>
      <c r="P12" s="11" t="s">
        <v>1896</v>
      </c>
      <c r="Q12" s="11" t="s">
        <v>1895</v>
      </c>
      <c r="R12" s="11" t="s">
        <v>1896</v>
      </c>
      <c r="S12" s="11" t="s">
        <v>1895</v>
      </c>
      <c r="T12" s="11" t="s">
        <v>1896</v>
      </c>
      <c r="U12" s="11" t="s">
        <v>1895</v>
      </c>
      <c r="V12" s="1780" t="s">
        <v>1896</v>
      </c>
      <c r="W12" s="11" t="s">
        <v>1895</v>
      </c>
      <c r="X12" s="11" t="s">
        <v>1896</v>
      </c>
      <c r="Y12" s="11" t="s">
        <v>1895</v>
      </c>
      <c r="Z12" s="11" t="s">
        <v>1896</v>
      </c>
      <c r="AA12" s="11" t="s">
        <v>1895</v>
      </c>
      <c r="AB12" s="11" t="s">
        <v>1896</v>
      </c>
      <c r="AC12" s="2181"/>
      <c r="AD12" s="1784" t="s">
        <v>1895</v>
      </c>
      <c r="AE12" s="11" t="s">
        <v>1896</v>
      </c>
      <c r="AF12" s="11" t="s">
        <v>1895</v>
      </c>
      <c r="AG12" s="11" t="s">
        <v>1896</v>
      </c>
      <c r="AH12" s="11" t="s">
        <v>1895</v>
      </c>
      <c r="AI12" s="11" t="s">
        <v>1896</v>
      </c>
      <c r="AJ12" s="11" t="s">
        <v>1895</v>
      </c>
      <c r="AK12" s="11" t="s">
        <v>1896</v>
      </c>
      <c r="AL12" s="11" t="s">
        <v>1895</v>
      </c>
      <c r="AM12" s="11" t="s">
        <v>1896</v>
      </c>
      <c r="AN12" s="11" t="s">
        <v>1895</v>
      </c>
      <c r="AO12" s="11" t="s">
        <v>1896</v>
      </c>
      <c r="AP12" s="11" t="s">
        <v>1895</v>
      </c>
      <c r="AQ12" s="11" t="s">
        <v>1896</v>
      </c>
      <c r="AR12" s="30" t="s">
        <v>1895</v>
      </c>
      <c r="AS12" s="2179" t="s">
        <v>1896</v>
      </c>
      <c r="AT12" s="2182"/>
      <c r="AU12" s="2179"/>
      <c r="AV12" s="31"/>
      <c r="AW12" s="2138"/>
      <c r="AX12" s="31"/>
      <c r="AY12" s="2183"/>
      <c r="AZ12" s="28"/>
      <c r="BA12" s="2171"/>
      <c r="BB12" s="24" t="str">
        <f>I11</f>
        <v>底商</v>
      </c>
      <c r="BC12" s="2184" t="str">
        <f>K11</f>
        <v>底商</v>
      </c>
      <c r="BD12" s="2184" t="str">
        <f>M11</f>
        <v>办公楼</v>
      </c>
      <c r="BE12" s="2159" t="str">
        <f>O11</f>
        <v>酒店</v>
      </c>
      <c r="BF12" s="2159" t="str">
        <f>Q11</f>
        <v>酒店</v>
      </c>
      <c r="BG12" s="2159" t="str">
        <f>S11</f>
        <v>车库</v>
      </c>
      <c r="BH12" s="2159">
        <f>U11</f>
        <v>0</v>
      </c>
      <c r="BI12" s="2159">
        <f>W11</f>
        <v>0</v>
      </c>
      <c r="BJ12" s="2159">
        <f>Y11</f>
        <v>0</v>
      </c>
      <c r="BK12" s="2159">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78">
        <f>AR11</f>
        <v>0</v>
      </c>
    </row>
    <row r="13" spans="1:72" s="2139" customFormat="1" ht="13.2">
      <c r="A13" s="1253"/>
      <c r="B13" s="1253"/>
      <c r="C13" s="2989"/>
      <c r="D13" s="2185" t="s">
        <v>3033</v>
      </c>
      <c r="E13" s="16">
        <f>IF($C$3="是",ROUND($A$3*G13/$B$3,2),ROUND($A$3*(G13-AT13)/$B$3,2))</f>
        <v>12224.89</v>
      </c>
      <c r="F13" s="32"/>
      <c r="G13" s="33">
        <f>H13+AC13+AT13</f>
        <v>166451.09</v>
      </c>
      <c r="H13" s="20">
        <f>SUMIF(I$12:AB$12,"总值",I13:AB13)</f>
        <v>166308.66</v>
      </c>
      <c r="I13" s="2950">
        <f>面积表!E14+面积表!E15+面积表!E16+面积表!E17+面积表!E18</f>
        <v>9064.42</v>
      </c>
      <c r="J13" s="2950"/>
      <c r="K13" s="2950">
        <f>面积表!E13</f>
        <v>889.42</v>
      </c>
      <c r="L13" s="2950"/>
      <c r="M13" s="2950">
        <f>面积表!H5</f>
        <v>82629.64</v>
      </c>
      <c r="N13" s="2950"/>
      <c r="O13" s="2186">
        <f>面积表!E24</f>
        <v>37211.31</v>
      </c>
      <c r="P13" s="2186"/>
      <c r="Q13" s="2186">
        <f>面积表!E23</f>
        <v>2387.9900000000052</v>
      </c>
      <c r="R13" s="2186"/>
      <c r="S13" s="2186">
        <f>面积表!H6</f>
        <v>34125.879999999997</v>
      </c>
      <c r="T13" s="2186"/>
      <c r="U13" s="2186"/>
      <c r="V13" s="2186"/>
      <c r="W13" s="2186"/>
      <c r="X13" s="2186"/>
      <c r="Y13" s="2186"/>
      <c r="Z13" s="2186"/>
      <c r="AA13" s="2186"/>
      <c r="AB13" s="2186"/>
      <c r="AC13" s="16">
        <f>SUMIF(AD$12:AS$12,"总值",AD13:AS13)</f>
        <v>142.43</v>
      </c>
      <c r="AD13" s="2187"/>
      <c r="AE13" s="2187"/>
      <c r="AF13" s="2187"/>
      <c r="AG13" s="2187"/>
      <c r="AH13" s="2187"/>
      <c r="AI13" s="2187"/>
      <c r="AJ13" s="2187"/>
      <c r="AK13" s="2187"/>
      <c r="AL13" s="2187"/>
      <c r="AM13" s="2187"/>
      <c r="AN13" s="2187">
        <f>面积表!H7</f>
        <v>142.43</v>
      </c>
      <c r="AO13" s="2187"/>
      <c r="AP13" s="2187"/>
      <c r="AQ13" s="2187"/>
      <c r="AR13" s="2187"/>
      <c r="AS13" s="2187"/>
      <c r="AT13" s="2188"/>
      <c r="AU13" s="2189"/>
      <c r="AV13" s="11">
        <f t="shared" ref="AV13:AX17" si="6">A13</f>
        <v>0</v>
      </c>
      <c r="AW13" s="11">
        <f t="shared" si="6"/>
        <v>0</v>
      </c>
      <c r="AX13" s="11">
        <f t="shared" si="6"/>
        <v>0</v>
      </c>
      <c r="AY13" s="1784">
        <f>ROUND($AY$6*AZ13/$AZ$5,2)</f>
        <v>12224.89</v>
      </c>
      <c r="AZ13" s="16">
        <f>BA13+BL13</f>
        <v>166451.09</v>
      </c>
      <c r="BA13" s="16">
        <f>SUM(BB13:BK13)</f>
        <v>166308.66</v>
      </c>
      <c r="BB13" s="16">
        <f>IF($D13="是",I13-J13,0)</f>
        <v>9064.42</v>
      </c>
      <c r="BC13" s="16">
        <f>IF($D13="是",K13-L13,0)</f>
        <v>889.42</v>
      </c>
      <c r="BD13" s="16">
        <f>IF($D13="是",M13-N13,0)</f>
        <v>82629.64</v>
      </c>
      <c r="BE13" s="16">
        <f>IF($D13="是",O13-P13,0)</f>
        <v>37211.31</v>
      </c>
      <c r="BF13" s="16">
        <f>IF($D13="是",Q13-R13,0)</f>
        <v>2387.9900000000052</v>
      </c>
      <c r="BG13" s="16">
        <f>IF($D13="是",S13-T13,0)</f>
        <v>34125.879999999997</v>
      </c>
      <c r="BH13" s="16">
        <f>IF($D13="是",U13-V13,0)</f>
        <v>0</v>
      </c>
      <c r="BI13" s="16">
        <f>IF($D13="是",W13-X13,0)</f>
        <v>0</v>
      </c>
      <c r="BJ13" s="16">
        <f>IF($D13="是",Y13-Z13,0)</f>
        <v>0</v>
      </c>
      <c r="BK13" s="16">
        <f>IF($D13="是",AA13-AB13,0)</f>
        <v>0</v>
      </c>
      <c r="BL13" s="16">
        <f>SUM(BM13:BT13)</f>
        <v>142.43</v>
      </c>
      <c r="BM13" s="16">
        <f>IF($D13="是",AD13-AE13,0)</f>
        <v>0</v>
      </c>
      <c r="BN13" s="16">
        <f>IF($D13="是",AF13-AG13,0)</f>
        <v>0</v>
      </c>
      <c r="BO13" s="16">
        <f>IF($D13="是",AH13-AI13,0)</f>
        <v>0</v>
      </c>
      <c r="BP13" s="16">
        <f>IF($D13="是",AJ13-AK13,0)</f>
        <v>0</v>
      </c>
      <c r="BQ13" s="16">
        <f>IF($D13="是",AL13-AM13,0)</f>
        <v>0</v>
      </c>
      <c r="BR13" s="16">
        <f>IF($D13="是",AN13-AO13,0)</f>
        <v>142.43</v>
      </c>
      <c r="BS13" s="16">
        <f>IF($D13="是",AP13-AQ13,0)</f>
        <v>0</v>
      </c>
      <c r="BT13" s="22">
        <f>IF($D13="是",AR13-AS13,0)</f>
        <v>0</v>
      </c>
    </row>
    <row r="14" spans="1:72" s="2139" customFormat="1" ht="13.2">
      <c r="A14" s="1253"/>
      <c r="B14" s="1253"/>
      <c r="C14" s="2989"/>
      <c r="D14" s="2185" t="s">
        <v>3085</v>
      </c>
      <c r="E14" s="16">
        <f>IF($C$3="是",ROUND($A$3*G14/$B$3,2),ROUND($A$3*(G14-AT14)/$B$3,2))</f>
        <v>0</v>
      </c>
      <c r="F14" s="32"/>
      <c r="G14" s="33">
        <f>H14+AC14+AT14</f>
        <v>0</v>
      </c>
      <c r="H14" s="20">
        <f>SUMIF(I$12:AB$12,"总值",I14:AB14)</f>
        <v>0</v>
      </c>
      <c r="I14" s="2950"/>
      <c r="J14" s="2950"/>
      <c r="K14" s="2950"/>
      <c r="L14" s="2950"/>
      <c r="M14" s="2950"/>
      <c r="N14" s="2950"/>
      <c r="O14" s="2186"/>
      <c r="P14" s="2186"/>
      <c r="Q14" s="2186"/>
      <c r="R14" s="2186"/>
      <c r="S14" s="2186"/>
      <c r="T14" s="2186"/>
      <c r="U14" s="2186"/>
      <c r="V14" s="2186"/>
      <c r="W14" s="2186"/>
      <c r="X14" s="2186"/>
      <c r="Y14" s="2186"/>
      <c r="Z14" s="2186"/>
      <c r="AA14" s="2186"/>
      <c r="AB14" s="2186"/>
      <c r="AC14" s="16">
        <f>SUMIF(AD$12:AS$12,"总值",AD14:AS14)</f>
        <v>0</v>
      </c>
      <c r="AD14" s="2187"/>
      <c r="AE14" s="2187"/>
      <c r="AF14" s="2187"/>
      <c r="AG14" s="2187"/>
      <c r="AH14" s="2187"/>
      <c r="AI14" s="2187"/>
      <c r="AJ14" s="2187"/>
      <c r="AK14" s="2187"/>
      <c r="AL14" s="2187"/>
      <c r="AM14" s="2187"/>
      <c r="AN14" s="2187"/>
      <c r="AO14" s="2187"/>
      <c r="AP14" s="2187"/>
      <c r="AQ14" s="2187"/>
      <c r="AR14" s="2187"/>
      <c r="AS14" s="2187"/>
      <c r="AT14" s="2188"/>
      <c r="AU14" s="2189"/>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9" customFormat="1" ht="13.2">
      <c r="A15" s="1253"/>
      <c r="B15" s="1253"/>
      <c r="C15" s="2989"/>
      <c r="D15" s="2185" t="s">
        <v>3085</v>
      </c>
      <c r="E15" s="16">
        <f>IF($C$3="是",ROUND($A$3*G15/$B$3,2),ROUND($A$3*(G15-AT15)/$B$3,2))</f>
        <v>0</v>
      </c>
      <c r="F15" s="32"/>
      <c r="G15" s="33">
        <f>H15+AC15+AT15</f>
        <v>0</v>
      </c>
      <c r="H15" s="20">
        <f>SUMIF(I$12:AB$12,"总值",I15:AB15)</f>
        <v>0</v>
      </c>
      <c r="I15" s="2950"/>
      <c r="J15" s="2950"/>
      <c r="K15" s="2950"/>
      <c r="L15" s="2950"/>
      <c r="M15" s="2950"/>
      <c r="N15" s="2950"/>
      <c r="O15" s="2186"/>
      <c r="P15" s="2186"/>
      <c r="Q15" s="2186"/>
      <c r="R15" s="2186"/>
      <c r="S15" s="2186"/>
      <c r="T15" s="2186"/>
      <c r="U15" s="2186"/>
      <c r="V15" s="2186"/>
      <c r="W15" s="2186"/>
      <c r="X15" s="2186"/>
      <c r="Y15" s="2186"/>
      <c r="Z15" s="2186"/>
      <c r="AA15" s="2186"/>
      <c r="AB15" s="2186"/>
      <c r="AC15" s="16">
        <f>SUMIF(AD$12:AS$12,"总值",AD15:AS15)</f>
        <v>0</v>
      </c>
      <c r="AD15" s="2187"/>
      <c r="AE15" s="2187"/>
      <c r="AF15" s="2187"/>
      <c r="AG15" s="2187"/>
      <c r="AH15" s="2187"/>
      <c r="AI15" s="2187"/>
      <c r="AJ15" s="2187"/>
      <c r="AK15" s="2187"/>
      <c r="AL15" s="2187"/>
      <c r="AM15" s="2187"/>
      <c r="AN15" s="2187"/>
      <c r="AO15" s="2187"/>
      <c r="AP15" s="2187"/>
      <c r="AQ15" s="2187"/>
      <c r="AR15" s="2187"/>
      <c r="AS15" s="2187"/>
      <c r="AT15" s="2188"/>
      <c r="AU15" s="2189"/>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9" customFormat="1" ht="13.2">
      <c r="A16" s="1253"/>
      <c r="B16" s="1253"/>
      <c r="C16" s="2989"/>
      <c r="D16" s="2185" t="s">
        <v>3085</v>
      </c>
      <c r="E16" s="16">
        <f>IF($C$3="是",ROUND($A$3*G16/$B$3,2),ROUND($A$3*(G16-AT16)/$B$3,2))</f>
        <v>0</v>
      </c>
      <c r="F16" s="32"/>
      <c r="G16" s="33">
        <f>H16+AC16+AT16</f>
        <v>0</v>
      </c>
      <c r="H16" s="20">
        <f>SUMIF(I$12:AB$12,"总值",I16:AB16)</f>
        <v>0</v>
      </c>
      <c r="I16" s="2950"/>
      <c r="J16" s="2950"/>
      <c r="K16" s="2950"/>
      <c r="L16" s="2950"/>
      <c r="M16" s="2950"/>
      <c r="N16" s="2950"/>
      <c r="O16" s="2186"/>
      <c r="P16" s="2186"/>
      <c r="Q16" s="2186"/>
      <c r="R16" s="2186"/>
      <c r="S16" s="2186"/>
      <c r="T16" s="2186"/>
      <c r="U16" s="2186"/>
      <c r="V16" s="2186"/>
      <c r="W16" s="2186"/>
      <c r="X16" s="2186"/>
      <c r="Y16" s="2186"/>
      <c r="Z16" s="2186"/>
      <c r="AA16" s="2186"/>
      <c r="AB16" s="2186"/>
      <c r="AC16" s="16">
        <f>SUMIF(AD$12:AS$12,"总值",AD16:AS16)</f>
        <v>0</v>
      </c>
      <c r="AD16" s="2187"/>
      <c r="AE16" s="2187"/>
      <c r="AF16" s="2187"/>
      <c r="AG16" s="2187"/>
      <c r="AH16" s="2187"/>
      <c r="AI16" s="2187"/>
      <c r="AJ16" s="2187"/>
      <c r="AK16" s="2187"/>
      <c r="AL16" s="2187"/>
      <c r="AM16" s="2187"/>
      <c r="AN16" s="2187"/>
      <c r="AO16" s="2187"/>
      <c r="AP16" s="2187"/>
      <c r="AQ16" s="2187"/>
      <c r="AR16" s="2187"/>
      <c r="AS16" s="2187"/>
      <c r="AT16" s="2188"/>
      <c r="AU16" s="2189"/>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9" customFormat="1" ht="13.2">
      <c r="A17" s="1253"/>
      <c r="B17" s="1253"/>
      <c r="C17" s="2989"/>
      <c r="D17" s="2185" t="s">
        <v>3085</v>
      </c>
      <c r="E17" s="16">
        <f>IF($C$3="是",ROUND($A$3*G17/$B$3,2),ROUND($A$3*(G17-AT17)/$B$3,2))</f>
        <v>0</v>
      </c>
      <c r="F17" s="32"/>
      <c r="G17" s="33">
        <f>H17+AC17+AT17</f>
        <v>0</v>
      </c>
      <c r="H17" s="20">
        <f>SUMIF(I$12:AB$12,"总值",I17:AB17)</f>
        <v>0</v>
      </c>
      <c r="I17" s="2950"/>
      <c r="J17" s="2950"/>
      <c r="K17" s="2950"/>
      <c r="L17" s="2950"/>
      <c r="M17" s="2950"/>
      <c r="N17" s="2950"/>
      <c r="O17" s="2186"/>
      <c r="P17" s="2186"/>
      <c r="Q17" s="2186"/>
      <c r="R17" s="2186"/>
      <c r="S17" s="2186"/>
      <c r="T17" s="2186"/>
      <c r="U17" s="2186"/>
      <c r="V17" s="2186"/>
      <c r="W17" s="2186"/>
      <c r="X17" s="2186"/>
      <c r="Y17" s="2186"/>
      <c r="Z17" s="2186"/>
      <c r="AA17" s="2186"/>
      <c r="AB17" s="2186"/>
      <c r="AC17" s="16">
        <f>SUMIF(AD$12:AS$12,"总值",AD17:AS17)</f>
        <v>0</v>
      </c>
      <c r="AD17" s="2187"/>
      <c r="AE17" s="2187"/>
      <c r="AF17" s="2187"/>
      <c r="AG17" s="2187"/>
      <c r="AH17" s="2187"/>
      <c r="AI17" s="2187"/>
      <c r="AJ17" s="2187"/>
      <c r="AK17" s="2187"/>
      <c r="AL17" s="2187"/>
      <c r="AM17" s="2187"/>
      <c r="AN17" s="2187"/>
      <c r="AO17" s="2187"/>
      <c r="AP17" s="2187"/>
      <c r="AQ17" s="2187"/>
      <c r="AR17" s="2187"/>
      <c r="AS17" s="2187"/>
      <c r="AT17" s="2188"/>
      <c r="AU17" s="2189"/>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85" t="s">
        <v>3085</v>
      </c>
      <c r="E18" s="35">
        <f t="shared" ref="E18:E112" si="7">IF($C$3="是",ROUND($A$3*G18/$B$3,2),ROUND($A$3*(G18-AT18)/$B$3,2))</f>
        <v>0</v>
      </c>
      <c r="F18" s="36"/>
      <c r="G18" s="37">
        <f t="shared" ref="G18:G109" si="8">H18+AC18+AT18</f>
        <v>0</v>
      </c>
      <c r="H18" s="38">
        <f t="shared" ref="H18:H109" si="9">SUMIF(I$12:AB$12,"总值",I18:AB18)</f>
        <v>0</v>
      </c>
      <c r="I18" s="2950"/>
      <c r="J18" s="2950"/>
      <c r="K18" s="2950"/>
      <c r="L18" s="2950"/>
      <c r="M18" s="2950"/>
      <c r="N18" s="2950"/>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1"/>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5" t="s">
        <v>3085</v>
      </c>
      <c r="E19" s="35">
        <f t="shared" si="7"/>
        <v>0</v>
      </c>
      <c r="F19" s="36"/>
      <c r="G19" s="37">
        <f t="shared" si="8"/>
        <v>0</v>
      </c>
      <c r="H19" s="38">
        <f t="shared" si="9"/>
        <v>0</v>
      </c>
      <c r="I19" s="2950"/>
      <c r="J19" s="2950"/>
      <c r="K19" s="2950"/>
      <c r="L19" s="2950"/>
      <c r="M19" s="2950"/>
      <c r="N19" s="2950"/>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1"/>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5" t="s">
        <v>3085</v>
      </c>
      <c r="E20" s="35">
        <f t="shared" si="7"/>
        <v>0</v>
      </c>
      <c r="F20" s="36"/>
      <c r="G20" s="37">
        <f t="shared" si="8"/>
        <v>0</v>
      </c>
      <c r="H20" s="38">
        <f t="shared" si="9"/>
        <v>0</v>
      </c>
      <c r="I20" s="2950"/>
      <c r="J20" s="2950"/>
      <c r="K20" s="2950"/>
      <c r="L20" s="2950"/>
      <c r="M20" s="2950"/>
      <c r="N20" s="2950"/>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1"/>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5" t="s">
        <v>3085</v>
      </c>
      <c r="E21" s="35">
        <f t="shared" si="7"/>
        <v>0</v>
      </c>
      <c r="F21" s="36"/>
      <c r="G21" s="37">
        <f t="shared" si="8"/>
        <v>0</v>
      </c>
      <c r="H21" s="38">
        <f t="shared" si="9"/>
        <v>0</v>
      </c>
      <c r="I21" s="2950"/>
      <c r="J21" s="2950"/>
      <c r="K21" s="2950"/>
      <c r="L21" s="2950"/>
      <c r="M21" s="2950"/>
      <c r="N21" s="2950"/>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1"/>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5" t="s">
        <v>3085</v>
      </c>
      <c r="E22" s="35">
        <f t="shared" si="7"/>
        <v>0</v>
      </c>
      <c r="F22" s="36"/>
      <c r="G22" s="37">
        <f t="shared" si="8"/>
        <v>0</v>
      </c>
      <c r="H22" s="38">
        <f t="shared" si="9"/>
        <v>0</v>
      </c>
      <c r="I22" s="2950"/>
      <c r="J22" s="2950"/>
      <c r="K22" s="2950"/>
      <c r="L22" s="2950"/>
      <c r="M22" s="2950"/>
      <c r="N22" s="2950"/>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1"/>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5" t="s">
        <v>3085</v>
      </c>
      <c r="E23" s="35">
        <f t="shared" si="7"/>
        <v>0</v>
      </c>
      <c r="F23" s="36"/>
      <c r="G23" s="37">
        <f t="shared" si="8"/>
        <v>0</v>
      </c>
      <c r="H23" s="38">
        <f t="shared" si="9"/>
        <v>0</v>
      </c>
      <c r="I23" s="2950"/>
      <c r="J23" s="2950"/>
      <c r="K23" s="2950"/>
      <c r="L23" s="2950"/>
      <c r="M23" s="2950"/>
      <c r="N23" s="2950"/>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1"/>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5" t="s">
        <v>3085</v>
      </c>
      <c r="E24" s="35">
        <f t="shared" si="7"/>
        <v>0</v>
      </c>
      <c r="F24" s="36"/>
      <c r="G24" s="37">
        <f t="shared" si="8"/>
        <v>0</v>
      </c>
      <c r="H24" s="38">
        <f t="shared" si="9"/>
        <v>0</v>
      </c>
      <c r="I24" s="2950"/>
      <c r="J24" s="2950"/>
      <c r="K24" s="2950"/>
      <c r="L24" s="2950"/>
      <c r="M24" s="2950"/>
      <c r="N24" s="2950"/>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1"/>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5" t="s">
        <v>3085</v>
      </c>
      <c r="E25" s="35">
        <f t="shared" si="7"/>
        <v>0</v>
      </c>
      <c r="F25" s="36"/>
      <c r="G25" s="37">
        <f t="shared" si="8"/>
        <v>0</v>
      </c>
      <c r="H25" s="38">
        <f t="shared" si="9"/>
        <v>0</v>
      </c>
      <c r="I25" s="39"/>
      <c r="J25" s="2950"/>
      <c r="K25" s="2950"/>
      <c r="L25" s="2950"/>
      <c r="M25" s="2950"/>
      <c r="N25" s="2950"/>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1"/>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5" t="s">
        <v>3085</v>
      </c>
      <c r="E26" s="35">
        <f t="shared" si="7"/>
        <v>0</v>
      </c>
      <c r="F26" s="36"/>
      <c r="G26" s="37">
        <f t="shared" si="8"/>
        <v>0</v>
      </c>
      <c r="H26" s="38">
        <f t="shared" si="9"/>
        <v>0</v>
      </c>
      <c r="I26" s="39"/>
      <c r="J26" s="2950"/>
      <c r="K26" s="2950"/>
      <c r="L26" s="2950"/>
      <c r="M26" s="2950"/>
      <c r="N26" s="2950"/>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1"/>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5" t="s">
        <v>3085</v>
      </c>
      <c r="E27" s="35">
        <f t="shared" si="7"/>
        <v>0</v>
      </c>
      <c r="F27" s="36"/>
      <c r="G27" s="37">
        <f t="shared" si="8"/>
        <v>0</v>
      </c>
      <c r="H27" s="38">
        <f t="shared" si="9"/>
        <v>0</v>
      </c>
      <c r="I27" s="39"/>
      <c r="J27" s="2950"/>
      <c r="K27" s="2950"/>
      <c r="L27" s="2950"/>
      <c r="M27" s="2950"/>
      <c r="N27" s="2950"/>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1"/>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5" t="s">
        <v>3085</v>
      </c>
      <c r="E28" s="35">
        <f t="shared" si="7"/>
        <v>0</v>
      </c>
      <c r="F28" s="36"/>
      <c r="G28" s="37">
        <f t="shared" si="8"/>
        <v>0</v>
      </c>
      <c r="H28" s="38">
        <f t="shared" si="9"/>
        <v>0</v>
      </c>
      <c r="I28" s="39"/>
      <c r="J28" s="2950"/>
      <c r="K28" s="2950"/>
      <c r="L28" s="2950"/>
      <c r="M28" s="2950"/>
      <c r="N28" s="2950"/>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1"/>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5" t="s">
        <v>3085</v>
      </c>
      <c r="E29" s="35">
        <f t="shared" si="7"/>
        <v>0</v>
      </c>
      <c r="F29" s="36"/>
      <c r="G29" s="37">
        <f t="shared" si="8"/>
        <v>0</v>
      </c>
      <c r="H29" s="38">
        <f t="shared" si="9"/>
        <v>0</v>
      </c>
      <c r="I29" s="39"/>
      <c r="J29" s="2950"/>
      <c r="K29" s="2950"/>
      <c r="L29" s="2950"/>
      <c r="M29" s="2950"/>
      <c r="N29" s="2950"/>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1"/>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5" t="s">
        <v>3085</v>
      </c>
      <c r="E30" s="35">
        <f t="shared" si="7"/>
        <v>0</v>
      </c>
      <c r="F30" s="36"/>
      <c r="G30" s="37">
        <f t="shared" si="8"/>
        <v>0</v>
      </c>
      <c r="H30" s="38">
        <f t="shared" si="9"/>
        <v>0</v>
      </c>
      <c r="I30" s="39"/>
      <c r="J30" s="2950"/>
      <c r="K30" s="2950"/>
      <c r="L30" s="2950"/>
      <c r="M30" s="2950"/>
      <c r="N30" s="2950"/>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1"/>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5" t="s">
        <v>3085</v>
      </c>
      <c r="E31" s="35">
        <f t="shared" si="7"/>
        <v>0</v>
      </c>
      <c r="F31" s="36"/>
      <c r="G31" s="37">
        <f t="shared" si="8"/>
        <v>0</v>
      </c>
      <c r="H31" s="38">
        <f t="shared" si="9"/>
        <v>0</v>
      </c>
      <c r="I31" s="39"/>
      <c r="J31" s="2950"/>
      <c r="K31" s="2950"/>
      <c r="L31" s="2950"/>
      <c r="M31" s="2950"/>
      <c r="N31" s="2950"/>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1"/>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5" t="s">
        <v>3085</v>
      </c>
      <c r="E32" s="35">
        <f t="shared" si="7"/>
        <v>0</v>
      </c>
      <c r="F32" s="36"/>
      <c r="G32" s="37">
        <f t="shared" si="8"/>
        <v>0</v>
      </c>
      <c r="H32" s="38">
        <f t="shared" si="9"/>
        <v>0</v>
      </c>
      <c r="I32" s="39"/>
      <c r="J32" s="2950"/>
      <c r="K32" s="2950"/>
      <c r="L32" s="2950"/>
      <c r="M32" s="2950"/>
      <c r="N32" s="2950"/>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1"/>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5" t="s">
        <v>3085</v>
      </c>
      <c r="E33" s="35">
        <f t="shared" si="7"/>
        <v>0</v>
      </c>
      <c r="F33" s="36"/>
      <c r="G33" s="37">
        <f t="shared" si="8"/>
        <v>0</v>
      </c>
      <c r="H33" s="38">
        <f t="shared" si="9"/>
        <v>0</v>
      </c>
      <c r="I33" s="39"/>
      <c r="J33" s="2950"/>
      <c r="K33" s="2950"/>
      <c r="L33" s="2950"/>
      <c r="M33" s="2950"/>
      <c r="N33" s="2950"/>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1"/>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5" t="s">
        <v>3085</v>
      </c>
      <c r="E34" s="35">
        <f t="shared" si="7"/>
        <v>0</v>
      </c>
      <c r="F34" s="36"/>
      <c r="G34" s="37">
        <f t="shared" si="8"/>
        <v>0</v>
      </c>
      <c r="H34" s="38">
        <f t="shared" si="9"/>
        <v>0</v>
      </c>
      <c r="I34" s="39"/>
      <c r="J34" s="2950"/>
      <c r="K34" s="2950"/>
      <c r="L34" s="2950"/>
      <c r="M34" s="2950"/>
      <c r="N34" s="2950"/>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1"/>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5" t="s">
        <v>3085</v>
      </c>
      <c r="E35" s="35">
        <f t="shared" si="7"/>
        <v>0</v>
      </c>
      <c r="F35" s="36"/>
      <c r="G35" s="37">
        <f t="shared" si="8"/>
        <v>0</v>
      </c>
      <c r="H35" s="38">
        <f t="shared" si="9"/>
        <v>0</v>
      </c>
      <c r="I35" s="39"/>
      <c r="J35" s="2950"/>
      <c r="K35" s="2950"/>
      <c r="L35" s="2950"/>
      <c r="M35" s="2950"/>
      <c r="N35" s="2950"/>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1"/>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5" t="s">
        <v>3085</v>
      </c>
      <c r="E36" s="35">
        <f t="shared" si="7"/>
        <v>0</v>
      </c>
      <c r="F36" s="36"/>
      <c r="G36" s="37">
        <f t="shared" si="8"/>
        <v>0</v>
      </c>
      <c r="H36" s="38">
        <f t="shared" si="9"/>
        <v>0</v>
      </c>
      <c r="I36" s="39"/>
      <c r="J36" s="2950"/>
      <c r="K36" s="2950"/>
      <c r="L36" s="2950"/>
      <c r="M36" s="2950"/>
      <c r="N36" s="2950"/>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1"/>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5" t="s">
        <v>3085</v>
      </c>
      <c r="E37" s="35">
        <f t="shared" si="7"/>
        <v>0</v>
      </c>
      <c r="F37" s="36"/>
      <c r="G37" s="37">
        <f t="shared" si="8"/>
        <v>0</v>
      </c>
      <c r="H37" s="38">
        <f t="shared" si="9"/>
        <v>0</v>
      </c>
      <c r="I37" s="39"/>
      <c r="J37" s="2950"/>
      <c r="K37" s="2950"/>
      <c r="L37" s="2950"/>
      <c r="M37" s="2950"/>
      <c r="N37" s="2950"/>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1"/>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5" t="s">
        <v>3085</v>
      </c>
      <c r="E38" s="35">
        <f t="shared" si="7"/>
        <v>0</v>
      </c>
      <c r="F38" s="36"/>
      <c r="G38" s="37">
        <f t="shared" si="8"/>
        <v>0</v>
      </c>
      <c r="H38" s="38">
        <f t="shared" si="9"/>
        <v>0</v>
      </c>
      <c r="I38" s="39"/>
      <c r="J38" s="2950"/>
      <c r="K38" s="2950"/>
      <c r="L38" s="2950"/>
      <c r="M38" s="2950"/>
      <c r="N38" s="2950"/>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1"/>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5" t="s">
        <v>3085</v>
      </c>
      <c r="E39" s="35">
        <f t="shared" si="7"/>
        <v>0</v>
      </c>
      <c r="F39" s="36"/>
      <c r="G39" s="37">
        <f t="shared" si="8"/>
        <v>0</v>
      </c>
      <c r="H39" s="38">
        <f t="shared" si="9"/>
        <v>0</v>
      </c>
      <c r="I39" s="39"/>
      <c r="J39" s="2950"/>
      <c r="K39" s="2950"/>
      <c r="L39" s="2950"/>
      <c r="M39" s="2950"/>
      <c r="N39" s="2950"/>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1"/>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5" t="s">
        <v>3085</v>
      </c>
      <c r="E40" s="35">
        <f t="shared" si="7"/>
        <v>0</v>
      </c>
      <c r="F40" s="36"/>
      <c r="G40" s="37">
        <f t="shared" si="8"/>
        <v>0</v>
      </c>
      <c r="H40" s="38">
        <f t="shared" si="9"/>
        <v>0</v>
      </c>
      <c r="I40" s="39"/>
      <c r="J40" s="2950"/>
      <c r="K40" s="2950"/>
      <c r="L40" s="2950"/>
      <c r="M40" s="2950"/>
      <c r="N40" s="2950"/>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1"/>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5" t="s">
        <v>3085</v>
      </c>
      <c r="E41" s="35">
        <f t="shared" si="7"/>
        <v>0</v>
      </c>
      <c r="F41" s="36"/>
      <c r="G41" s="37">
        <f t="shared" si="8"/>
        <v>0</v>
      </c>
      <c r="H41" s="38">
        <f t="shared" si="9"/>
        <v>0</v>
      </c>
      <c r="I41" s="39"/>
      <c r="J41" s="2950"/>
      <c r="K41" s="2950"/>
      <c r="L41" s="2950"/>
      <c r="M41" s="2950"/>
      <c r="N41" s="2950"/>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1"/>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5" t="s">
        <v>3085</v>
      </c>
      <c r="E42" s="35">
        <f t="shared" si="7"/>
        <v>0</v>
      </c>
      <c r="F42" s="36"/>
      <c r="G42" s="37">
        <f t="shared" si="8"/>
        <v>0</v>
      </c>
      <c r="H42" s="38">
        <f t="shared" si="9"/>
        <v>0</v>
      </c>
      <c r="I42" s="39"/>
      <c r="J42" s="2950"/>
      <c r="K42" s="2950"/>
      <c r="L42" s="2950"/>
      <c r="M42" s="2950"/>
      <c r="N42" s="2950"/>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1"/>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5" t="s">
        <v>3085</v>
      </c>
      <c r="E43" s="35">
        <f t="shared" si="7"/>
        <v>0</v>
      </c>
      <c r="F43" s="36"/>
      <c r="G43" s="37">
        <f t="shared" si="8"/>
        <v>0</v>
      </c>
      <c r="H43" s="38">
        <f t="shared" si="9"/>
        <v>0</v>
      </c>
      <c r="I43" s="39"/>
      <c r="J43" s="2950"/>
      <c r="K43" s="2950"/>
      <c r="L43" s="2950"/>
      <c r="M43" s="2950"/>
      <c r="N43" s="2950"/>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1"/>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5" t="s">
        <v>3085</v>
      </c>
      <c r="E44" s="35">
        <f t="shared" si="7"/>
        <v>0</v>
      </c>
      <c r="F44" s="36"/>
      <c r="G44" s="37">
        <f t="shared" si="8"/>
        <v>0</v>
      </c>
      <c r="H44" s="38">
        <f t="shared" si="9"/>
        <v>0</v>
      </c>
      <c r="I44" s="39"/>
      <c r="J44" s="2950"/>
      <c r="K44" s="2950"/>
      <c r="L44" s="2950"/>
      <c r="M44" s="2950"/>
      <c r="N44" s="2950"/>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1"/>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5" t="s">
        <v>3085</v>
      </c>
      <c r="E45" s="35">
        <f t="shared" si="7"/>
        <v>0</v>
      </c>
      <c r="F45" s="36"/>
      <c r="G45" s="37">
        <f t="shared" si="8"/>
        <v>0</v>
      </c>
      <c r="H45" s="38">
        <f t="shared" si="9"/>
        <v>0</v>
      </c>
      <c r="I45" s="39"/>
      <c r="J45" s="2950"/>
      <c r="K45" s="2950"/>
      <c r="L45" s="2950"/>
      <c r="M45" s="2950"/>
      <c r="N45" s="2950"/>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1"/>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5" t="s">
        <v>3085</v>
      </c>
      <c r="E46" s="35">
        <f t="shared" si="7"/>
        <v>0</v>
      </c>
      <c r="F46" s="36"/>
      <c r="G46" s="37">
        <f t="shared" si="8"/>
        <v>0</v>
      </c>
      <c r="H46" s="38">
        <f t="shared" si="9"/>
        <v>0</v>
      </c>
      <c r="I46" s="39"/>
      <c r="J46" s="2950"/>
      <c r="K46" s="2950"/>
      <c r="L46" s="2950"/>
      <c r="M46" s="2950"/>
      <c r="N46" s="2950"/>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1"/>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5" t="s">
        <v>3085</v>
      </c>
      <c r="E47" s="35">
        <f t="shared" si="7"/>
        <v>0</v>
      </c>
      <c r="F47" s="36"/>
      <c r="G47" s="37">
        <f t="shared" si="8"/>
        <v>0</v>
      </c>
      <c r="H47" s="38">
        <f t="shared" si="9"/>
        <v>0</v>
      </c>
      <c r="I47" s="39"/>
      <c r="J47" s="2950"/>
      <c r="K47" s="2950"/>
      <c r="L47" s="2950"/>
      <c r="M47" s="2950"/>
      <c r="N47" s="2950"/>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1"/>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5" t="s">
        <v>3085</v>
      </c>
      <c r="E48" s="35">
        <f t="shared" si="7"/>
        <v>0</v>
      </c>
      <c r="F48" s="36"/>
      <c r="G48" s="37">
        <f t="shared" si="8"/>
        <v>0</v>
      </c>
      <c r="H48" s="38">
        <f t="shared" si="9"/>
        <v>0</v>
      </c>
      <c r="I48" s="39"/>
      <c r="J48" s="2950"/>
      <c r="K48" s="2950"/>
      <c r="L48" s="2950"/>
      <c r="M48" s="2950"/>
      <c r="N48" s="2950"/>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1"/>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5" t="s">
        <v>3085</v>
      </c>
      <c r="E49" s="35">
        <f t="shared" si="7"/>
        <v>0</v>
      </c>
      <c r="F49" s="36"/>
      <c r="G49" s="37">
        <f t="shared" si="8"/>
        <v>0</v>
      </c>
      <c r="H49" s="38">
        <f t="shared" si="9"/>
        <v>0</v>
      </c>
      <c r="I49" s="39"/>
      <c r="J49" s="2950"/>
      <c r="K49" s="2950"/>
      <c r="L49" s="2950"/>
      <c r="M49" s="2950"/>
      <c r="N49" s="2950"/>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1"/>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5" t="s">
        <v>3085</v>
      </c>
      <c r="E50" s="35">
        <f t="shared" si="7"/>
        <v>0</v>
      </c>
      <c r="F50" s="36"/>
      <c r="G50" s="37">
        <f t="shared" si="8"/>
        <v>0</v>
      </c>
      <c r="H50" s="38">
        <f t="shared" si="9"/>
        <v>0</v>
      </c>
      <c r="I50" s="39"/>
      <c r="J50" s="2950"/>
      <c r="K50" s="2950"/>
      <c r="L50" s="2950"/>
      <c r="M50" s="2950"/>
      <c r="N50" s="2950"/>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1"/>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5" t="s">
        <v>3085</v>
      </c>
      <c r="E51" s="35">
        <f t="shared" si="7"/>
        <v>0</v>
      </c>
      <c r="F51" s="36"/>
      <c r="G51" s="37">
        <f t="shared" si="8"/>
        <v>0</v>
      </c>
      <c r="H51" s="38">
        <f t="shared" si="9"/>
        <v>0</v>
      </c>
      <c r="I51" s="39"/>
      <c r="J51" s="2950"/>
      <c r="K51" s="2950"/>
      <c r="L51" s="2950"/>
      <c r="M51" s="2950"/>
      <c r="N51" s="2950"/>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1"/>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5" t="s">
        <v>3085</v>
      </c>
      <c r="E52" s="35">
        <f t="shared" si="7"/>
        <v>0</v>
      </c>
      <c r="F52" s="36"/>
      <c r="G52" s="37">
        <f t="shared" si="8"/>
        <v>0</v>
      </c>
      <c r="H52" s="38">
        <f t="shared" si="9"/>
        <v>0</v>
      </c>
      <c r="I52" s="39"/>
      <c r="J52" s="2950"/>
      <c r="K52" s="2950"/>
      <c r="L52" s="2950"/>
      <c r="M52" s="2950"/>
      <c r="N52" s="2950"/>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1"/>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5" t="s">
        <v>3085</v>
      </c>
      <c r="E53" s="35">
        <f t="shared" si="7"/>
        <v>0</v>
      </c>
      <c r="F53" s="36"/>
      <c r="G53" s="37">
        <f t="shared" si="8"/>
        <v>0</v>
      </c>
      <c r="H53" s="38">
        <f t="shared" si="9"/>
        <v>0</v>
      </c>
      <c r="I53" s="39"/>
      <c r="J53" s="2950"/>
      <c r="K53" s="2950"/>
      <c r="L53" s="2950"/>
      <c r="M53" s="2950"/>
      <c r="N53" s="2950"/>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1"/>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5" t="s">
        <v>3085</v>
      </c>
      <c r="E54" s="35">
        <f t="shared" si="7"/>
        <v>0</v>
      </c>
      <c r="F54" s="36"/>
      <c r="G54" s="37">
        <f t="shared" si="8"/>
        <v>0</v>
      </c>
      <c r="H54" s="38">
        <f t="shared" si="9"/>
        <v>0</v>
      </c>
      <c r="I54" s="39"/>
      <c r="J54" s="2950"/>
      <c r="K54" s="2950"/>
      <c r="L54" s="2950"/>
      <c r="M54" s="2950"/>
      <c r="N54" s="2950"/>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1"/>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5" t="s">
        <v>3085</v>
      </c>
      <c r="E55" s="35">
        <f t="shared" si="7"/>
        <v>0</v>
      </c>
      <c r="F55" s="36"/>
      <c r="G55" s="37">
        <f t="shared" si="8"/>
        <v>0</v>
      </c>
      <c r="H55" s="38">
        <f t="shared" si="9"/>
        <v>0</v>
      </c>
      <c r="I55" s="39"/>
      <c r="J55" s="2950"/>
      <c r="K55" s="2950"/>
      <c r="L55" s="2950"/>
      <c r="M55" s="2950"/>
      <c r="N55" s="2950"/>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1"/>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5" t="s">
        <v>3085</v>
      </c>
      <c r="E56" s="35">
        <f t="shared" si="7"/>
        <v>0</v>
      </c>
      <c r="F56" s="36"/>
      <c r="G56" s="37">
        <f t="shared" si="8"/>
        <v>0</v>
      </c>
      <c r="H56" s="38">
        <f t="shared" si="9"/>
        <v>0</v>
      </c>
      <c r="I56" s="39"/>
      <c r="J56" s="2950"/>
      <c r="K56" s="2950"/>
      <c r="L56" s="2950"/>
      <c r="M56" s="2950"/>
      <c r="N56" s="2950"/>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1"/>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5" t="s">
        <v>3085</v>
      </c>
      <c r="E57" s="35">
        <f t="shared" si="7"/>
        <v>0</v>
      </c>
      <c r="F57" s="36"/>
      <c r="G57" s="37">
        <f t="shared" si="8"/>
        <v>0</v>
      </c>
      <c r="H57" s="38">
        <f t="shared" si="9"/>
        <v>0</v>
      </c>
      <c r="I57" s="39"/>
      <c r="J57" s="2950"/>
      <c r="K57" s="2950"/>
      <c r="L57" s="2950"/>
      <c r="M57" s="2950"/>
      <c r="N57" s="2950"/>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1"/>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5" t="s">
        <v>3085</v>
      </c>
      <c r="E58" s="35">
        <f t="shared" si="7"/>
        <v>0</v>
      </c>
      <c r="F58" s="36"/>
      <c r="G58" s="37">
        <f t="shared" si="8"/>
        <v>0</v>
      </c>
      <c r="H58" s="38">
        <f t="shared" si="9"/>
        <v>0</v>
      </c>
      <c r="I58" s="39"/>
      <c r="J58" s="2950"/>
      <c r="K58" s="2950"/>
      <c r="L58" s="2950"/>
      <c r="M58" s="2950"/>
      <c r="N58" s="2950"/>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1"/>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0"/>
      <c r="E59" s="35">
        <f t="shared" si="7"/>
        <v>0</v>
      </c>
      <c r="F59" s="36"/>
      <c r="G59" s="37">
        <f t="shared" si="8"/>
        <v>0</v>
      </c>
      <c r="H59" s="38">
        <f t="shared" si="9"/>
        <v>0</v>
      </c>
      <c r="I59" s="39"/>
      <c r="J59" s="2950"/>
      <c r="K59" s="2950"/>
      <c r="L59" s="2950"/>
      <c r="M59" s="2950"/>
      <c r="N59" s="2950"/>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1"/>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0"/>
      <c r="E60" s="35">
        <f t="shared" si="7"/>
        <v>0</v>
      </c>
      <c r="F60" s="36"/>
      <c r="G60" s="37">
        <f t="shared" si="8"/>
        <v>0</v>
      </c>
      <c r="H60" s="38">
        <f t="shared" si="9"/>
        <v>0</v>
      </c>
      <c r="I60" s="39"/>
      <c r="J60" s="2950"/>
      <c r="K60" s="2950"/>
      <c r="L60" s="2950"/>
      <c r="M60" s="2950"/>
      <c r="N60" s="2950"/>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1"/>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0"/>
      <c r="E61" s="35">
        <f t="shared" si="7"/>
        <v>0</v>
      </c>
      <c r="F61" s="36"/>
      <c r="G61" s="37">
        <f t="shared" si="8"/>
        <v>0</v>
      </c>
      <c r="H61" s="38">
        <f t="shared" si="9"/>
        <v>0</v>
      </c>
      <c r="I61" s="39"/>
      <c r="J61" s="2950"/>
      <c r="K61" s="2950"/>
      <c r="L61" s="2950"/>
      <c r="M61" s="2950"/>
      <c r="N61" s="2950"/>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1"/>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0"/>
      <c r="E62" s="35">
        <f t="shared" si="7"/>
        <v>0</v>
      </c>
      <c r="F62" s="36"/>
      <c r="G62" s="37">
        <f t="shared" si="8"/>
        <v>0</v>
      </c>
      <c r="H62" s="38">
        <f t="shared" si="9"/>
        <v>0</v>
      </c>
      <c r="I62" s="39"/>
      <c r="J62" s="2950"/>
      <c r="K62" s="2950"/>
      <c r="L62" s="2950"/>
      <c r="M62" s="2950"/>
      <c r="N62" s="2950"/>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1"/>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0"/>
      <c r="E63" s="35">
        <f t="shared" si="7"/>
        <v>0</v>
      </c>
      <c r="F63" s="36"/>
      <c r="G63" s="37">
        <f t="shared" si="8"/>
        <v>0</v>
      </c>
      <c r="H63" s="38">
        <f t="shared" si="9"/>
        <v>0</v>
      </c>
      <c r="I63" s="39"/>
      <c r="J63" s="2950"/>
      <c r="K63" s="2950"/>
      <c r="L63" s="2950"/>
      <c r="M63" s="2950"/>
      <c r="N63" s="2950"/>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1"/>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0"/>
      <c r="E64" s="35">
        <f t="shared" si="7"/>
        <v>0</v>
      </c>
      <c r="F64" s="36"/>
      <c r="G64" s="37">
        <f t="shared" si="8"/>
        <v>0</v>
      </c>
      <c r="H64" s="38">
        <f t="shared" si="9"/>
        <v>0</v>
      </c>
      <c r="I64" s="39"/>
      <c r="J64" s="2950"/>
      <c r="K64" s="2950"/>
      <c r="L64" s="2950"/>
      <c r="M64" s="2950"/>
      <c r="N64" s="2950"/>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1"/>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0"/>
      <c r="E65" s="35">
        <f t="shared" si="7"/>
        <v>0</v>
      </c>
      <c r="F65" s="36"/>
      <c r="G65" s="37">
        <f t="shared" si="8"/>
        <v>0</v>
      </c>
      <c r="H65" s="38">
        <f t="shared" si="9"/>
        <v>0</v>
      </c>
      <c r="I65" s="39"/>
      <c r="J65" s="2950"/>
      <c r="K65" s="2950"/>
      <c r="L65" s="2950"/>
      <c r="M65" s="2950"/>
      <c r="N65" s="2950"/>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1"/>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0"/>
      <c r="E66" s="35">
        <f t="shared" si="7"/>
        <v>0</v>
      </c>
      <c r="F66" s="36"/>
      <c r="G66" s="37">
        <f t="shared" si="8"/>
        <v>0</v>
      </c>
      <c r="H66" s="38">
        <f t="shared" si="9"/>
        <v>0</v>
      </c>
      <c r="I66" s="39"/>
      <c r="J66" s="2950"/>
      <c r="K66" s="2950"/>
      <c r="L66" s="2950"/>
      <c r="M66" s="2950"/>
      <c r="N66" s="2950"/>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1"/>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0"/>
      <c r="E67" s="35">
        <f t="shared" si="7"/>
        <v>0</v>
      </c>
      <c r="F67" s="36"/>
      <c r="G67" s="37">
        <f t="shared" si="8"/>
        <v>0</v>
      </c>
      <c r="H67" s="38">
        <f t="shared" si="9"/>
        <v>0</v>
      </c>
      <c r="I67" s="39"/>
      <c r="J67" s="2950"/>
      <c r="K67" s="2950"/>
      <c r="L67" s="2950"/>
      <c r="M67" s="2950"/>
      <c r="N67" s="2950"/>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1"/>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0"/>
      <c r="E68" s="35">
        <f t="shared" si="7"/>
        <v>0</v>
      </c>
      <c r="F68" s="36"/>
      <c r="G68" s="37">
        <f t="shared" si="8"/>
        <v>0</v>
      </c>
      <c r="H68" s="38">
        <f t="shared" si="9"/>
        <v>0</v>
      </c>
      <c r="I68" s="39"/>
      <c r="J68" s="2950"/>
      <c r="K68" s="2950"/>
      <c r="L68" s="2950"/>
      <c r="M68" s="2950"/>
      <c r="N68" s="2950"/>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1"/>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0"/>
      <c r="E69" s="35">
        <f t="shared" si="7"/>
        <v>0</v>
      </c>
      <c r="F69" s="36"/>
      <c r="G69" s="37">
        <f t="shared" si="8"/>
        <v>0</v>
      </c>
      <c r="H69" s="38">
        <f t="shared" si="9"/>
        <v>0</v>
      </c>
      <c r="I69" s="39"/>
      <c r="J69" s="2950"/>
      <c r="K69" s="2950"/>
      <c r="L69" s="2950"/>
      <c r="M69" s="2950"/>
      <c r="N69" s="2950"/>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1"/>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0"/>
      <c r="E70" s="35">
        <f t="shared" si="7"/>
        <v>0</v>
      </c>
      <c r="F70" s="36"/>
      <c r="G70" s="37">
        <f t="shared" si="8"/>
        <v>0</v>
      </c>
      <c r="H70" s="38">
        <f t="shared" si="9"/>
        <v>0</v>
      </c>
      <c r="I70" s="39"/>
      <c r="J70" s="2950"/>
      <c r="K70" s="2950"/>
      <c r="L70" s="2950"/>
      <c r="M70" s="2950"/>
      <c r="N70" s="2950"/>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1"/>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0"/>
      <c r="E71" s="35">
        <f t="shared" si="7"/>
        <v>0</v>
      </c>
      <c r="F71" s="36"/>
      <c r="G71" s="37">
        <f t="shared" si="8"/>
        <v>0</v>
      </c>
      <c r="H71" s="38">
        <f t="shared" si="9"/>
        <v>0</v>
      </c>
      <c r="I71" s="39"/>
      <c r="J71" s="2950"/>
      <c r="K71" s="2950"/>
      <c r="L71" s="2950"/>
      <c r="M71" s="2950"/>
      <c r="N71" s="2950"/>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1"/>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0"/>
      <c r="E72" s="35">
        <f t="shared" si="7"/>
        <v>0</v>
      </c>
      <c r="F72" s="36"/>
      <c r="G72" s="37">
        <f t="shared" si="8"/>
        <v>0</v>
      </c>
      <c r="H72" s="38">
        <f t="shared" si="9"/>
        <v>0</v>
      </c>
      <c r="I72" s="39"/>
      <c r="J72" s="2950"/>
      <c r="K72" s="2950"/>
      <c r="L72" s="2950"/>
      <c r="M72" s="2950"/>
      <c r="N72" s="2950"/>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1"/>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0"/>
      <c r="E73" s="35">
        <f t="shared" si="7"/>
        <v>0</v>
      </c>
      <c r="F73" s="36"/>
      <c r="G73" s="37">
        <f t="shared" si="8"/>
        <v>0</v>
      </c>
      <c r="H73" s="38">
        <f t="shared" si="9"/>
        <v>0</v>
      </c>
      <c r="I73" s="39"/>
      <c r="J73" s="2950"/>
      <c r="K73" s="2950"/>
      <c r="L73" s="2950"/>
      <c r="M73" s="2950"/>
      <c r="N73" s="2950"/>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1"/>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0"/>
      <c r="E74" s="35">
        <f t="shared" si="7"/>
        <v>0</v>
      </c>
      <c r="F74" s="36"/>
      <c r="G74" s="37">
        <f t="shared" si="8"/>
        <v>0</v>
      </c>
      <c r="H74" s="38">
        <f t="shared" si="9"/>
        <v>0</v>
      </c>
      <c r="I74" s="39"/>
      <c r="J74" s="2950"/>
      <c r="K74" s="2950"/>
      <c r="L74" s="2950"/>
      <c r="M74" s="2950"/>
      <c r="N74" s="2950"/>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1"/>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0"/>
      <c r="E75" s="35">
        <f t="shared" si="7"/>
        <v>0</v>
      </c>
      <c r="F75" s="36"/>
      <c r="G75" s="37">
        <f t="shared" si="8"/>
        <v>0</v>
      </c>
      <c r="H75" s="38">
        <f t="shared" si="9"/>
        <v>0</v>
      </c>
      <c r="I75" s="39"/>
      <c r="J75" s="2950"/>
      <c r="K75" s="2950"/>
      <c r="L75" s="2950"/>
      <c r="M75" s="2950"/>
      <c r="N75" s="2950"/>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1"/>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0"/>
      <c r="E76" s="35">
        <f t="shared" si="7"/>
        <v>0</v>
      </c>
      <c r="F76" s="36"/>
      <c r="G76" s="37">
        <f t="shared" si="8"/>
        <v>0</v>
      </c>
      <c r="H76" s="38">
        <f t="shared" si="9"/>
        <v>0</v>
      </c>
      <c r="I76" s="39"/>
      <c r="J76" s="2950"/>
      <c r="K76" s="2950"/>
      <c r="L76" s="2950"/>
      <c r="M76" s="2950"/>
      <c r="N76" s="2950"/>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1"/>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0"/>
      <c r="E77" s="35">
        <f t="shared" si="7"/>
        <v>0</v>
      </c>
      <c r="F77" s="36"/>
      <c r="G77" s="37">
        <f t="shared" si="8"/>
        <v>0</v>
      </c>
      <c r="H77" s="38">
        <f t="shared" si="9"/>
        <v>0</v>
      </c>
      <c r="I77" s="39"/>
      <c r="J77" s="2950"/>
      <c r="K77" s="2950"/>
      <c r="L77" s="2950"/>
      <c r="M77" s="2950"/>
      <c r="N77" s="2950"/>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1"/>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0"/>
      <c r="E78" s="35">
        <f t="shared" si="7"/>
        <v>0</v>
      </c>
      <c r="F78" s="36"/>
      <c r="G78" s="37">
        <f t="shared" si="8"/>
        <v>0</v>
      </c>
      <c r="H78" s="38">
        <f t="shared" si="9"/>
        <v>0</v>
      </c>
      <c r="I78" s="39"/>
      <c r="J78" s="2950"/>
      <c r="K78" s="2950"/>
      <c r="L78" s="2950"/>
      <c r="M78" s="2950"/>
      <c r="N78" s="2950"/>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1"/>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0"/>
      <c r="E79" s="35">
        <f t="shared" si="7"/>
        <v>0</v>
      </c>
      <c r="F79" s="36"/>
      <c r="G79" s="37">
        <f t="shared" si="8"/>
        <v>0</v>
      </c>
      <c r="H79" s="38">
        <f t="shared" si="9"/>
        <v>0</v>
      </c>
      <c r="I79" s="39"/>
      <c r="J79" s="2950"/>
      <c r="K79" s="2950"/>
      <c r="L79" s="2950"/>
      <c r="M79" s="2950"/>
      <c r="N79" s="2950"/>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1"/>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0"/>
      <c r="E80" s="35">
        <f t="shared" si="7"/>
        <v>0</v>
      </c>
      <c r="F80" s="36"/>
      <c r="G80" s="37">
        <f t="shared" si="8"/>
        <v>0</v>
      </c>
      <c r="H80" s="38">
        <f t="shared" si="9"/>
        <v>0</v>
      </c>
      <c r="I80" s="39"/>
      <c r="J80" s="2950"/>
      <c r="K80" s="2950"/>
      <c r="L80" s="2950"/>
      <c r="M80" s="2950"/>
      <c r="N80" s="2950"/>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1"/>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0"/>
      <c r="E81" s="35">
        <f t="shared" si="7"/>
        <v>0</v>
      </c>
      <c r="F81" s="36"/>
      <c r="G81" s="37">
        <f t="shared" si="8"/>
        <v>0</v>
      </c>
      <c r="H81" s="38">
        <f t="shared" si="9"/>
        <v>0</v>
      </c>
      <c r="I81" s="39"/>
      <c r="J81" s="2950"/>
      <c r="K81" s="2950"/>
      <c r="L81" s="2950"/>
      <c r="M81" s="2950"/>
      <c r="N81" s="2950"/>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1"/>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0"/>
      <c r="E82" s="35">
        <f t="shared" si="7"/>
        <v>0</v>
      </c>
      <c r="F82" s="36"/>
      <c r="G82" s="37">
        <f t="shared" si="8"/>
        <v>0</v>
      </c>
      <c r="H82" s="38">
        <f t="shared" si="9"/>
        <v>0</v>
      </c>
      <c r="I82" s="39"/>
      <c r="J82" s="2950"/>
      <c r="K82" s="2950"/>
      <c r="L82" s="2950"/>
      <c r="M82" s="2950"/>
      <c r="N82" s="2950"/>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1"/>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0"/>
      <c r="E83" s="35">
        <f t="shared" si="7"/>
        <v>0</v>
      </c>
      <c r="F83" s="36"/>
      <c r="G83" s="37">
        <f t="shared" si="8"/>
        <v>0</v>
      </c>
      <c r="H83" s="38">
        <f t="shared" si="9"/>
        <v>0</v>
      </c>
      <c r="I83" s="39"/>
      <c r="J83" s="2950"/>
      <c r="K83" s="2950"/>
      <c r="L83" s="2950"/>
      <c r="M83" s="2950"/>
      <c r="N83" s="2950"/>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1"/>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0"/>
      <c r="E84" s="35">
        <f t="shared" si="7"/>
        <v>0</v>
      </c>
      <c r="F84" s="36"/>
      <c r="G84" s="37">
        <f t="shared" si="8"/>
        <v>0</v>
      </c>
      <c r="H84" s="38">
        <f t="shared" si="9"/>
        <v>0</v>
      </c>
      <c r="I84" s="39"/>
      <c r="J84" s="2950"/>
      <c r="K84" s="2950"/>
      <c r="L84" s="2950"/>
      <c r="M84" s="2950"/>
      <c r="N84" s="2950"/>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1"/>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0"/>
      <c r="E85" s="35">
        <f t="shared" si="7"/>
        <v>0</v>
      </c>
      <c r="F85" s="36"/>
      <c r="G85" s="37">
        <f t="shared" si="8"/>
        <v>0</v>
      </c>
      <c r="H85" s="38">
        <f t="shared" si="9"/>
        <v>0</v>
      </c>
      <c r="I85" s="39"/>
      <c r="J85" s="2950"/>
      <c r="K85" s="2950"/>
      <c r="L85" s="2950"/>
      <c r="M85" s="2950"/>
      <c r="N85" s="2950"/>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1"/>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0"/>
      <c r="E86" s="35">
        <f t="shared" si="7"/>
        <v>0</v>
      </c>
      <c r="F86" s="36"/>
      <c r="G86" s="37">
        <f t="shared" si="8"/>
        <v>0</v>
      </c>
      <c r="H86" s="38">
        <f t="shared" si="9"/>
        <v>0</v>
      </c>
      <c r="I86" s="39"/>
      <c r="J86" s="2950"/>
      <c r="K86" s="2950"/>
      <c r="L86" s="2950"/>
      <c r="M86" s="2950"/>
      <c r="N86" s="2950"/>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1"/>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0"/>
      <c r="E87" s="35">
        <f t="shared" si="7"/>
        <v>0</v>
      </c>
      <c r="F87" s="36"/>
      <c r="G87" s="37">
        <f t="shared" si="8"/>
        <v>0</v>
      </c>
      <c r="H87" s="38">
        <f t="shared" si="9"/>
        <v>0</v>
      </c>
      <c r="I87" s="39"/>
      <c r="J87" s="2950"/>
      <c r="K87" s="2950"/>
      <c r="L87" s="2950"/>
      <c r="M87" s="2950"/>
      <c r="N87" s="2950"/>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1"/>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0"/>
      <c r="E88" s="35">
        <f t="shared" si="7"/>
        <v>0</v>
      </c>
      <c r="F88" s="36"/>
      <c r="G88" s="37">
        <f t="shared" si="8"/>
        <v>0</v>
      </c>
      <c r="H88" s="38">
        <f t="shared" si="9"/>
        <v>0</v>
      </c>
      <c r="I88" s="39"/>
      <c r="J88" s="2950"/>
      <c r="K88" s="2950"/>
      <c r="L88" s="2950"/>
      <c r="M88" s="2950"/>
      <c r="N88" s="2950"/>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1"/>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0"/>
      <c r="E89" s="35">
        <f t="shared" si="7"/>
        <v>0</v>
      </c>
      <c r="F89" s="36"/>
      <c r="G89" s="37">
        <f t="shared" si="8"/>
        <v>0</v>
      </c>
      <c r="H89" s="38">
        <f t="shared" si="9"/>
        <v>0</v>
      </c>
      <c r="I89" s="39"/>
      <c r="J89" s="2950"/>
      <c r="K89" s="2950"/>
      <c r="L89" s="2950"/>
      <c r="M89" s="2950"/>
      <c r="N89" s="2950"/>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1"/>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0"/>
      <c r="E90" s="35">
        <f t="shared" si="7"/>
        <v>0</v>
      </c>
      <c r="F90" s="36"/>
      <c r="G90" s="37">
        <f t="shared" si="8"/>
        <v>0</v>
      </c>
      <c r="H90" s="38">
        <f t="shared" si="9"/>
        <v>0</v>
      </c>
      <c r="I90" s="39"/>
      <c r="J90" s="2950"/>
      <c r="K90" s="2950"/>
      <c r="L90" s="2950"/>
      <c r="M90" s="2950"/>
      <c r="N90" s="2950"/>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1"/>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0"/>
      <c r="E91" s="35">
        <f t="shared" si="7"/>
        <v>0</v>
      </c>
      <c r="F91" s="36"/>
      <c r="G91" s="37">
        <f t="shared" si="8"/>
        <v>0</v>
      </c>
      <c r="H91" s="38">
        <f t="shared" si="9"/>
        <v>0</v>
      </c>
      <c r="I91" s="39"/>
      <c r="J91" s="2950"/>
      <c r="K91" s="2950"/>
      <c r="L91" s="2950"/>
      <c r="M91" s="2950"/>
      <c r="N91" s="2950"/>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1"/>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0"/>
      <c r="E92" s="35">
        <f t="shared" si="7"/>
        <v>0</v>
      </c>
      <c r="F92" s="36"/>
      <c r="G92" s="37">
        <f t="shared" si="8"/>
        <v>0</v>
      </c>
      <c r="H92" s="38">
        <f t="shared" si="9"/>
        <v>0</v>
      </c>
      <c r="I92" s="39"/>
      <c r="J92" s="2950"/>
      <c r="K92" s="2950"/>
      <c r="L92" s="2950"/>
      <c r="M92" s="2950"/>
      <c r="N92" s="2950"/>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1"/>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0"/>
      <c r="E93" s="35">
        <f t="shared" si="7"/>
        <v>0</v>
      </c>
      <c r="F93" s="36"/>
      <c r="G93" s="37">
        <f t="shared" si="8"/>
        <v>0</v>
      </c>
      <c r="H93" s="38">
        <f t="shared" si="9"/>
        <v>0</v>
      </c>
      <c r="I93" s="39"/>
      <c r="J93" s="2950"/>
      <c r="K93" s="2950"/>
      <c r="L93" s="2950"/>
      <c r="M93" s="2950"/>
      <c r="N93" s="2950"/>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1"/>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0"/>
      <c r="E94" s="35">
        <f t="shared" si="7"/>
        <v>0</v>
      </c>
      <c r="F94" s="36"/>
      <c r="G94" s="37">
        <f t="shared" si="8"/>
        <v>0</v>
      </c>
      <c r="H94" s="38">
        <f t="shared" si="9"/>
        <v>0</v>
      </c>
      <c r="I94" s="39"/>
      <c r="J94" s="2950"/>
      <c r="K94" s="2950"/>
      <c r="L94" s="2950"/>
      <c r="M94" s="2950"/>
      <c r="N94" s="2950"/>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1"/>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0"/>
      <c r="E95" s="35">
        <f t="shared" si="7"/>
        <v>0</v>
      </c>
      <c r="F95" s="36"/>
      <c r="G95" s="37">
        <f t="shared" si="8"/>
        <v>0</v>
      </c>
      <c r="H95" s="38">
        <f t="shared" si="9"/>
        <v>0</v>
      </c>
      <c r="I95" s="39"/>
      <c r="J95" s="2950"/>
      <c r="K95" s="2950"/>
      <c r="L95" s="2950"/>
      <c r="M95" s="2950"/>
      <c r="N95" s="2950"/>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1"/>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0"/>
      <c r="E96" s="35">
        <f t="shared" si="7"/>
        <v>0</v>
      </c>
      <c r="F96" s="36"/>
      <c r="G96" s="37">
        <f t="shared" si="8"/>
        <v>0</v>
      </c>
      <c r="H96" s="38">
        <f t="shared" si="9"/>
        <v>0</v>
      </c>
      <c r="I96" s="39"/>
      <c r="J96" s="2950"/>
      <c r="K96" s="2950"/>
      <c r="L96" s="2950"/>
      <c r="M96" s="2950"/>
      <c r="N96" s="2950"/>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1"/>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0"/>
      <c r="E97" s="35">
        <f t="shared" si="7"/>
        <v>0</v>
      </c>
      <c r="F97" s="36"/>
      <c r="G97" s="37">
        <f t="shared" si="8"/>
        <v>0</v>
      </c>
      <c r="H97" s="38">
        <f t="shared" si="9"/>
        <v>0</v>
      </c>
      <c r="I97" s="39"/>
      <c r="J97" s="2950"/>
      <c r="K97" s="2950"/>
      <c r="L97" s="2950"/>
      <c r="M97" s="2950"/>
      <c r="N97" s="2950"/>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1"/>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0"/>
      <c r="E98" s="35">
        <f t="shared" si="7"/>
        <v>0</v>
      </c>
      <c r="F98" s="36"/>
      <c r="G98" s="37">
        <f t="shared" si="8"/>
        <v>0</v>
      </c>
      <c r="H98" s="38">
        <f t="shared" si="9"/>
        <v>0</v>
      </c>
      <c r="I98" s="39"/>
      <c r="J98" s="2950"/>
      <c r="K98" s="2950"/>
      <c r="L98" s="2950"/>
      <c r="M98" s="2950"/>
      <c r="N98" s="2950"/>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1"/>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0"/>
      <c r="E99" s="35">
        <f t="shared" si="7"/>
        <v>0</v>
      </c>
      <c r="F99" s="36"/>
      <c r="G99" s="37">
        <f t="shared" si="8"/>
        <v>0</v>
      </c>
      <c r="H99" s="38">
        <f t="shared" si="9"/>
        <v>0</v>
      </c>
      <c r="I99" s="39"/>
      <c r="J99" s="2950"/>
      <c r="K99" s="2950"/>
      <c r="L99" s="2950"/>
      <c r="M99" s="2950"/>
      <c r="N99" s="2950"/>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1"/>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0"/>
      <c r="E100" s="35">
        <f t="shared" si="7"/>
        <v>0</v>
      </c>
      <c r="F100" s="36"/>
      <c r="G100" s="37">
        <f t="shared" si="8"/>
        <v>0</v>
      </c>
      <c r="H100" s="38">
        <f t="shared" si="9"/>
        <v>0</v>
      </c>
      <c r="I100" s="39"/>
      <c r="J100" s="2950"/>
      <c r="K100" s="2950"/>
      <c r="L100" s="2950"/>
      <c r="M100" s="2950"/>
      <c r="N100" s="2950"/>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1"/>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0"/>
      <c r="E101" s="35">
        <f t="shared" si="7"/>
        <v>0</v>
      </c>
      <c r="F101" s="36"/>
      <c r="G101" s="37">
        <f t="shared" si="8"/>
        <v>0</v>
      </c>
      <c r="H101" s="38">
        <f t="shared" si="9"/>
        <v>0</v>
      </c>
      <c r="I101" s="39"/>
      <c r="J101" s="2950"/>
      <c r="K101" s="2950"/>
      <c r="L101" s="2950"/>
      <c r="M101" s="2950"/>
      <c r="N101" s="2950"/>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1"/>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0"/>
      <c r="E102" s="35">
        <f t="shared" si="7"/>
        <v>0</v>
      </c>
      <c r="F102" s="36"/>
      <c r="G102" s="37">
        <f t="shared" si="8"/>
        <v>0</v>
      </c>
      <c r="H102" s="38">
        <f t="shared" si="9"/>
        <v>0</v>
      </c>
      <c r="I102" s="39"/>
      <c r="J102" s="2950"/>
      <c r="K102" s="2950"/>
      <c r="L102" s="2950"/>
      <c r="M102" s="2950"/>
      <c r="N102" s="2950"/>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1"/>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0"/>
      <c r="E103" s="35">
        <f t="shared" si="7"/>
        <v>0</v>
      </c>
      <c r="F103" s="36"/>
      <c r="G103" s="37">
        <f t="shared" si="8"/>
        <v>0</v>
      </c>
      <c r="H103" s="38">
        <f t="shared" si="9"/>
        <v>0</v>
      </c>
      <c r="I103" s="39"/>
      <c r="J103" s="2950"/>
      <c r="K103" s="2950"/>
      <c r="L103" s="2950"/>
      <c r="M103" s="2950"/>
      <c r="N103" s="2950"/>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1"/>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0"/>
      <c r="E104" s="35">
        <f t="shared" si="7"/>
        <v>0</v>
      </c>
      <c r="F104" s="36"/>
      <c r="G104" s="37">
        <f t="shared" si="8"/>
        <v>0</v>
      </c>
      <c r="H104" s="38">
        <f t="shared" si="9"/>
        <v>0</v>
      </c>
      <c r="I104" s="39"/>
      <c r="J104" s="2950"/>
      <c r="K104" s="2950"/>
      <c r="L104" s="2950"/>
      <c r="M104" s="2950"/>
      <c r="N104" s="2950"/>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1"/>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0"/>
      <c r="E105" s="35">
        <f t="shared" si="7"/>
        <v>0</v>
      </c>
      <c r="F105" s="36"/>
      <c r="G105" s="37">
        <f t="shared" si="8"/>
        <v>0</v>
      </c>
      <c r="H105" s="38">
        <f t="shared" si="9"/>
        <v>0</v>
      </c>
      <c r="I105" s="39"/>
      <c r="J105" s="2950"/>
      <c r="K105" s="2950"/>
      <c r="L105" s="2950"/>
      <c r="M105" s="2950"/>
      <c r="N105" s="2950"/>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1"/>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0"/>
      <c r="E106" s="35">
        <f t="shared" si="7"/>
        <v>0</v>
      </c>
      <c r="F106" s="36"/>
      <c r="G106" s="37">
        <f t="shared" si="8"/>
        <v>0</v>
      </c>
      <c r="H106" s="38">
        <f t="shared" si="9"/>
        <v>0</v>
      </c>
      <c r="I106" s="39"/>
      <c r="J106" s="2950"/>
      <c r="K106" s="2950"/>
      <c r="L106" s="2950"/>
      <c r="M106" s="2950"/>
      <c r="N106" s="2950"/>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1"/>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0"/>
      <c r="E107" s="35">
        <f t="shared" si="7"/>
        <v>0</v>
      </c>
      <c r="F107" s="36"/>
      <c r="G107" s="37">
        <f t="shared" si="8"/>
        <v>0</v>
      </c>
      <c r="H107" s="38">
        <f t="shared" si="9"/>
        <v>0</v>
      </c>
      <c r="I107" s="39"/>
      <c r="J107" s="2950"/>
      <c r="K107" s="2950"/>
      <c r="L107" s="2950"/>
      <c r="M107" s="2950"/>
      <c r="N107" s="2950"/>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1"/>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0"/>
      <c r="E108" s="35">
        <f t="shared" si="7"/>
        <v>0</v>
      </c>
      <c r="F108" s="36"/>
      <c r="G108" s="37">
        <f t="shared" si="8"/>
        <v>0</v>
      </c>
      <c r="H108" s="38">
        <f t="shared" si="9"/>
        <v>0</v>
      </c>
      <c r="I108" s="39"/>
      <c r="J108" s="2950"/>
      <c r="K108" s="2950"/>
      <c r="L108" s="2950"/>
      <c r="M108" s="2950"/>
      <c r="N108" s="2950"/>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1"/>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0"/>
      <c r="E109" s="35">
        <f t="shared" si="7"/>
        <v>0</v>
      </c>
      <c r="F109" s="36"/>
      <c r="G109" s="37">
        <f t="shared" si="8"/>
        <v>0</v>
      </c>
      <c r="H109" s="38">
        <f t="shared" si="9"/>
        <v>0</v>
      </c>
      <c r="I109" s="39"/>
      <c r="J109" s="2950"/>
      <c r="K109" s="2950"/>
      <c r="L109" s="2950"/>
      <c r="M109" s="2950"/>
      <c r="N109" s="2950"/>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1"/>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0"/>
      <c r="E110" s="35">
        <f t="shared" si="7"/>
        <v>0</v>
      </c>
      <c r="F110" s="44"/>
      <c r="G110" s="37">
        <f t="shared" ref="G110:G141" si="36">H110+AC110+AT110</f>
        <v>0</v>
      </c>
      <c r="H110" s="38">
        <f t="shared" ref="H110:H141" si="37">SUMIF(I$12:AB$12,"总值",I110:AB110)</f>
        <v>0</v>
      </c>
      <c r="I110" s="10"/>
      <c r="J110" s="2950"/>
      <c r="K110" s="2950"/>
      <c r="L110" s="2950"/>
      <c r="M110" s="2950"/>
      <c r="N110" s="2950"/>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6"/>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0"/>
      <c r="E111" s="35">
        <f t="shared" si="7"/>
        <v>0</v>
      </c>
      <c r="F111" s="44"/>
      <c r="G111" s="37">
        <f t="shared" si="36"/>
        <v>0</v>
      </c>
      <c r="H111" s="38">
        <f t="shared" si="37"/>
        <v>0</v>
      </c>
      <c r="I111" s="39"/>
      <c r="J111" s="2950"/>
      <c r="K111" s="2950"/>
      <c r="L111" s="2950"/>
      <c r="M111" s="2950"/>
      <c r="N111" s="2950"/>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6"/>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0"/>
      <c r="E112" s="35">
        <f t="shared" si="7"/>
        <v>0</v>
      </c>
      <c r="F112" s="44"/>
      <c r="G112" s="37">
        <f t="shared" si="36"/>
        <v>0</v>
      </c>
      <c r="H112" s="38">
        <f t="shared" si="37"/>
        <v>0</v>
      </c>
      <c r="I112" s="39"/>
      <c r="J112" s="2950"/>
      <c r="K112" s="2950"/>
      <c r="L112" s="2950"/>
      <c r="M112" s="2950"/>
      <c r="N112" s="2950"/>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6"/>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0"/>
      <c r="E113" s="35">
        <f t="shared" ref="E113:E144" si="61">IF($C$3="是",ROUND($A$3*G113/$B$3,2),ROUND($A$3*(G113-AT113)/$B$3,2))</f>
        <v>0</v>
      </c>
      <c r="F113" s="36"/>
      <c r="G113" s="37">
        <f t="shared" si="36"/>
        <v>0</v>
      </c>
      <c r="H113" s="38">
        <f t="shared" si="37"/>
        <v>0</v>
      </c>
      <c r="I113" s="39"/>
      <c r="J113" s="2950"/>
      <c r="K113" s="2950"/>
      <c r="L113" s="2950"/>
      <c r="M113" s="2950"/>
      <c r="N113" s="2950"/>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1"/>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0"/>
      <c r="E114" s="35">
        <f t="shared" si="61"/>
        <v>0</v>
      </c>
      <c r="F114" s="36"/>
      <c r="G114" s="37">
        <f t="shared" si="36"/>
        <v>0</v>
      </c>
      <c r="H114" s="38">
        <f t="shared" si="37"/>
        <v>0</v>
      </c>
      <c r="I114" s="39"/>
      <c r="J114" s="2950"/>
      <c r="K114" s="2950"/>
      <c r="L114" s="2950"/>
      <c r="M114" s="2950"/>
      <c r="N114" s="2950"/>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1"/>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0"/>
      <c r="E115" s="35">
        <f t="shared" si="61"/>
        <v>0</v>
      </c>
      <c r="F115" s="36"/>
      <c r="G115" s="37">
        <f t="shared" si="36"/>
        <v>0</v>
      </c>
      <c r="H115" s="38">
        <f t="shared" si="37"/>
        <v>0</v>
      </c>
      <c r="I115" s="39"/>
      <c r="J115" s="2950"/>
      <c r="K115" s="2950"/>
      <c r="L115" s="2950"/>
      <c r="M115" s="2950"/>
      <c r="N115" s="2950"/>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1"/>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0"/>
      <c r="E116" s="35">
        <f t="shared" si="61"/>
        <v>0</v>
      </c>
      <c r="F116" s="36"/>
      <c r="G116" s="37">
        <f t="shared" si="36"/>
        <v>0</v>
      </c>
      <c r="H116" s="38">
        <f t="shared" si="37"/>
        <v>0</v>
      </c>
      <c r="I116" s="39"/>
      <c r="J116" s="2950"/>
      <c r="K116" s="2950"/>
      <c r="L116" s="2950"/>
      <c r="M116" s="2950"/>
      <c r="N116" s="2950"/>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1"/>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0"/>
      <c r="E117" s="35">
        <f t="shared" si="61"/>
        <v>0</v>
      </c>
      <c r="F117" s="36"/>
      <c r="G117" s="37">
        <f t="shared" si="36"/>
        <v>0</v>
      </c>
      <c r="H117" s="38">
        <f t="shared" si="37"/>
        <v>0</v>
      </c>
      <c r="I117" s="39"/>
      <c r="J117" s="2950"/>
      <c r="K117" s="2950"/>
      <c r="L117" s="2950"/>
      <c r="M117" s="2950"/>
      <c r="N117" s="2950"/>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1"/>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0"/>
      <c r="E118" s="35">
        <f t="shared" si="61"/>
        <v>0</v>
      </c>
      <c r="F118" s="36"/>
      <c r="G118" s="37">
        <f t="shared" si="36"/>
        <v>0</v>
      </c>
      <c r="H118" s="38">
        <f t="shared" si="37"/>
        <v>0</v>
      </c>
      <c r="I118" s="39"/>
      <c r="J118" s="2950"/>
      <c r="K118" s="2950"/>
      <c r="L118" s="2950"/>
      <c r="M118" s="2950"/>
      <c r="N118" s="2950"/>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1"/>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1"/>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1"/>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1"/>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1"/>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1"/>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1"/>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1"/>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1"/>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1"/>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1"/>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1"/>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1"/>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1"/>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1"/>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1"/>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1"/>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1"/>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1"/>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1"/>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1"/>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1"/>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1"/>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1"/>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1"/>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1"/>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1"/>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1"/>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1"/>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1"/>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1"/>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1"/>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1"/>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1"/>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1"/>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1"/>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1"/>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1"/>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1"/>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1"/>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1"/>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1"/>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1"/>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1"/>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1"/>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1"/>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1"/>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1"/>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1"/>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1"/>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1"/>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1"/>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1"/>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1"/>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1"/>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1"/>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1"/>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1"/>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1"/>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1"/>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1"/>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1"/>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1"/>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1"/>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1"/>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1"/>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1"/>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1"/>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1"/>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1"/>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1"/>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1"/>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1"/>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1"/>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1"/>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1"/>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1"/>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1"/>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1"/>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1"/>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1"/>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1"/>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1"/>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1"/>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1"/>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1"/>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1"/>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6"/>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6"/>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6"/>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1"/>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1"/>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1"/>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1"/>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1"/>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1"/>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1"/>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1"/>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1"/>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1"/>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1"/>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1"/>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1"/>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1"/>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1"/>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1"/>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1"/>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1"/>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1"/>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1"/>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1"/>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1"/>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1"/>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1"/>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1"/>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1"/>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1"/>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1"/>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1"/>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1"/>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1"/>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1"/>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1"/>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1"/>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1"/>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1"/>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1"/>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1"/>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1"/>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1"/>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1"/>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1"/>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1"/>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1"/>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1"/>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1"/>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1"/>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1"/>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1"/>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1"/>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1"/>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1"/>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1"/>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1"/>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1"/>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1"/>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1"/>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1"/>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1"/>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1"/>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1"/>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1"/>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1"/>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1"/>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1"/>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1"/>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1"/>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1"/>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1"/>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1"/>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1"/>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1"/>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1"/>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1"/>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1"/>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1"/>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1"/>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1"/>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1"/>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1"/>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1"/>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1"/>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1"/>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1"/>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1"/>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1"/>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1"/>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1"/>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1"/>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1"/>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1"/>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1"/>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6"/>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6"/>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6"/>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1"/>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1"/>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1"/>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1"/>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1"/>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1"/>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1"/>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1"/>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1"/>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1"/>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1"/>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1"/>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1"/>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1"/>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1"/>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1"/>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1"/>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1"/>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1"/>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1"/>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1"/>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1"/>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1"/>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1"/>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1"/>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1"/>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1"/>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1"/>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1"/>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1"/>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1"/>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1"/>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1"/>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1"/>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1"/>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1"/>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1"/>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1"/>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1"/>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1"/>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1"/>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1"/>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1"/>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1"/>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1"/>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1"/>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1"/>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1"/>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1"/>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1"/>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1"/>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1"/>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1"/>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1"/>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1"/>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1"/>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1"/>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1"/>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1"/>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1"/>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1"/>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1"/>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1"/>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1"/>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1"/>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1"/>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1"/>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1"/>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1"/>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1"/>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1"/>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1"/>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1"/>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1"/>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1"/>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1"/>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1"/>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1"/>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1"/>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1"/>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1"/>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1"/>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1"/>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1"/>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1"/>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1"/>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1"/>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1"/>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1"/>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1"/>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1"/>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1"/>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6"/>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6"/>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6"/>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1"/>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1"/>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1"/>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1"/>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1"/>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1"/>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1"/>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1"/>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1"/>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1"/>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1"/>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1"/>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1"/>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1"/>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1"/>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1"/>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1"/>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1"/>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1"/>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1"/>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1"/>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1"/>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1"/>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1"/>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1"/>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1"/>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1"/>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1"/>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1"/>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1"/>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1"/>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1"/>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1"/>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1"/>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1"/>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1"/>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1"/>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1"/>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1"/>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1"/>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1"/>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1"/>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1"/>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1"/>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1"/>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1"/>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1"/>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1"/>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1"/>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1"/>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1"/>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1"/>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1"/>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1"/>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1"/>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1"/>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1"/>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1"/>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1"/>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1"/>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1"/>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1"/>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1"/>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1"/>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1"/>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1"/>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1"/>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1"/>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1"/>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1"/>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1"/>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1"/>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1"/>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1"/>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1"/>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1"/>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1"/>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1"/>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1"/>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1"/>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1"/>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1"/>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1"/>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1"/>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1"/>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1"/>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1"/>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1"/>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1"/>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1"/>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1"/>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1"/>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6"/>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6"/>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6"/>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1"/>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1"/>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1"/>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1"/>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1"/>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1"/>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1"/>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1"/>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1"/>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1"/>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1"/>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1"/>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1"/>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1"/>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1"/>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1"/>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1"/>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1"/>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1"/>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1"/>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1"/>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1"/>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1"/>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1"/>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1"/>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1"/>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1"/>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1"/>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1"/>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1"/>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1"/>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1"/>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1"/>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1"/>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1"/>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1"/>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1"/>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1"/>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1"/>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1"/>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1"/>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1"/>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1"/>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1"/>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1"/>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1"/>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1"/>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1"/>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1"/>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1"/>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1"/>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1"/>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1"/>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1"/>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1"/>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1"/>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1"/>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1"/>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1"/>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1"/>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1"/>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1"/>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1"/>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1"/>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1"/>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1"/>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1"/>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1"/>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1"/>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1"/>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1"/>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1"/>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1"/>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1"/>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1"/>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1"/>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1"/>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1"/>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1"/>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1"/>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1"/>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1"/>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1"/>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1"/>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1"/>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1"/>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1"/>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1"/>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1"/>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1"/>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1"/>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1"/>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6"/>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6"/>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6"/>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4" customFormat="1">
      <c r="A588" s="2192"/>
      <c r="B588" s="2192"/>
      <c r="C588" s="2192"/>
      <c r="D588" s="2192"/>
      <c r="E588" s="2193"/>
      <c r="F588" s="2193"/>
      <c r="G588" s="2192"/>
      <c r="H588" s="2193"/>
      <c r="I588" s="2193"/>
      <c r="J588" s="2193"/>
      <c r="K588" s="2193"/>
      <c r="L588" s="2193"/>
      <c r="M588" s="2193"/>
      <c r="N588" s="2193"/>
      <c r="O588" s="2193"/>
      <c r="P588" s="2193"/>
      <c r="Q588" s="2193"/>
      <c r="R588" s="2193"/>
      <c r="S588" s="2193"/>
      <c r="T588" s="2193"/>
      <c r="U588" s="2193"/>
      <c r="V588" s="2193"/>
      <c r="W588" s="2193"/>
      <c r="X588" s="2193"/>
      <c r="Y588" s="2193"/>
      <c r="Z588" s="2193"/>
      <c r="AA588" s="2193"/>
      <c r="AB588" s="2193"/>
      <c r="AC588" s="2193"/>
      <c r="AD588" s="2193"/>
      <c r="AE588" s="2193"/>
      <c r="AF588" s="2193"/>
      <c r="AG588" s="2193"/>
      <c r="AH588" s="2193"/>
      <c r="AI588" s="2193"/>
      <c r="AJ588" s="2193"/>
      <c r="AK588" s="2193"/>
      <c r="AL588" s="2193"/>
      <c r="AM588" s="2193"/>
      <c r="AN588" s="2193"/>
      <c r="AO588" s="2193"/>
      <c r="AP588" s="2193"/>
      <c r="AQ588" s="2193"/>
      <c r="AR588" s="2193"/>
      <c r="AS588" s="2193"/>
      <c r="AT588" s="2193"/>
      <c r="AU588" s="2192"/>
      <c r="AV588" s="2192"/>
      <c r="AW588" s="2192"/>
      <c r="AX588" s="2192"/>
    </row>
    <row r="589" spans="1:72" s="2195" customFormat="1">
      <c r="C589" s="2196"/>
      <c r="D589" s="2196"/>
    </row>
    <row r="590" spans="1:72" s="2195" customFormat="1">
      <c r="C590" s="2196"/>
      <c r="D590" s="2196"/>
    </row>
    <row r="593" spans="2:2">
      <c r="B593" s="2196"/>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17" t="s">
        <v>0</v>
      </c>
      <c r="B1" s="3517" t="s">
        <v>4</v>
      </c>
      <c r="C1" s="3517" t="s">
        <v>5</v>
      </c>
      <c r="D1" s="3518" t="s">
        <v>53</v>
      </c>
      <c r="E1" s="3518" t="s">
        <v>54</v>
      </c>
      <c r="F1" s="3518"/>
      <c r="G1" s="3518"/>
      <c r="H1" s="3518"/>
      <c r="I1" s="3518"/>
      <c r="J1" s="3518"/>
      <c r="K1" s="3518"/>
      <c r="L1" s="3518"/>
      <c r="M1" s="3518"/>
    </row>
    <row r="2" spans="1:13" ht="27" customHeight="1">
      <c r="A2" s="3517"/>
      <c r="B2" s="3517"/>
      <c r="C2" s="3517"/>
      <c r="D2" s="3518"/>
      <c r="E2" s="3518" t="s">
        <v>37</v>
      </c>
      <c r="F2" s="3518" t="s">
        <v>38</v>
      </c>
      <c r="G2" s="3518"/>
      <c r="H2" s="3518"/>
      <c r="I2" s="3518"/>
      <c r="J2" s="3518" t="s">
        <v>39</v>
      </c>
      <c r="K2" s="3518"/>
      <c r="L2" s="3518"/>
      <c r="M2" s="3518"/>
    </row>
    <row r="3" spans="1:13" ht="46.8">
      <c r="A3" s="3517"/>
      <c r="B3" s="3517"/>
      <c r="C3" s="3517"/>
      <c r="D3" s="3518"/>
      <c r="E3" s="351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8" t="s">
        <v>55</v>
      </c>
      <c r="B9" s="3518"/>
      <c r="C9" s="35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0"/>
  <sheetViews>
    <sheetView view="pageBreakPreview" topLeftCell="A7" zoomScale="90" zoomScaleNormal="100" zoomScaleSheetLayoutView="90" workbookViewId="0">
      <selection activeCell="E28" sqref="E28"/>
    </sheetView>
  </sheetViews>
  <sheetFormatPr defaultColWidth="9.21875" defaultRowHeight="13.8"/>
  <cols>
    <col min="1" max="1" width="12.109375" style="2198" customWidth="1"/>
    <col min="2" max="2" width="10.21875" style="2198" customWidth="1"/>
    <col min="3" max="3" width="18.44140625" style="2198" customWidth="1"/>
    <col min="4" max="4" width="11.6640625" style="2198" customWidth="1"/>
    <col min="5" max="5" width="13.33203125" style="2198" customWidth="1"/>
    <col min="6" max="8" width="11.44140625" style="2198" customWidth="1"/>
    <col min="9" max="9" width="11.109375" style="2198" customWidth="1"/>
    <col min="10" max="10" width="3.109375" style="2198" customWidth="1"/>
    <col min="11" max="16" width="10" style="2198" customWidth="1"/>
    <col min="17" max="17" width="2.6640625" style="2198" customWidth="1"/>
    <col min="18" max="18" width="13.77734375" style="2198" customWidth="1"/>
    <col min="19" max="19" width="10.44140625" style="2198" bestFit="1" customWidth="1"/>
    <col min="20" max="16384" width="9.21875" style="2198"/>
  </cols>
  <sheetData>
    <row r="1" spans="1:16" ht="17.399999999999999">
      <c r="A1" s="2197" t="s">
        <v>1921</v>
      </c>
      <c r="B1" s="1372"/>
      <c r="C1" s="1372"/>
      <c r="D1" s="1372"/>
      <c r="E1" s="1372"/>
      <c r="F1" s="1372"/>
      <c r="G1" s="1372"/>
      <c r="H1" s="1372"/>
      <c r="I1" s="1372"/>
      <c r="J1" s="1372"/>
      <c r="K1" s="3441" t="s">
        <v>3535</v>
      </c>
      <c r="L1" s="3441" t="s">
        <v>3526</v>
      </c>
      <c r="M1" s="3441" t="s">
        <v>3527</v>
      </c>
      <c r="N1" s="3441" t="s">
        <v>3528</v>
      </c>
      <c r="O1" s="3441" t="s">
        <v>3529</v>
      </c>
      <c r="P1" s="1372"/>
    </row>
    <row r="2" spans="1:16" ht="14.4">
      <c r="A2" s="3528" t="s">
        <v>1922</v>
      </c>
      <c r="B2" s="3528"/>
      <c r="C2" s="3528"/>
      <c r="D2" s="956" t="s">
        <v>1899</v>
      </c>
      <c r="E2" s="2199" t="s">
        <v>1900</v>
      </c>
      <c r="F2" s="1372"/>
      <c r="G2" s="2200"/>
      <c r="H2" s="2201"/>
      <c r="I2" s="2202" t="s">
        <v>1923</v>
      </c>
      <c r="J2" s="1372"/>
      <c r="K2" s="1372"/>
      <c r="L2" s="1372">
        <f>D3/666.67</f>
        <v>18.337243313783432</v>
      </c>
      <c r="M2" s="1372">
        <v>12000</v>
      </c>
      <c r="N2" s="1407">
        <f>M2*L2</f>
        <v>220046.9197654012</v>
      </c>
      <c r="O2" s="1372">
        <f>N2*10000/F31</f>
        <v>17070.423037100874</v>
      </c>
      <c r="P2" s="3441" t="s">
        <v>3530</v>
      </c>
    </row>
    <row r="3" spans="1:16" ht="15" thickBot="1">
      <c r="A3" s="3529" t="s">
        <v>1897</v>
      </c>
      <c r="B3" s="3529"/>
      <c r="C3" s="3529"/>
      <c r="D3" s="46">
        <f>'数据-基础表'!AY6</f>
        <v>12224.89</v>
      </c>
      <c r="E3" s="46">
        <f>'数据-基础表'!AZ5</f>
        <v>166451.09</v>
      </c>
      <c r="F3" s="1372"/>
      <c r="G3" s="1379"/>
      <c r="H3" s="1228" t="s">
        <v>1898</v>
      </c>
      <c r="I3" s="55">
        <f>ROUND('数据-基础表'!B3/'数据-基础表'!A3,2)</f>
        <v>13.62</v>
      </c>
      <c r="J3" s="1372"/>
      <c r="K3" s="1372"/>
      <c r="L3" s="1372"/>
      <c r="M3" s="1372"/>
      <c r="N3" s="1407"/>
      <c r="O3" s="1372">
        <v>6000</v>
      </c>
      <c r="P3" s="3441" t="s">
        <v>3531</v>
      </c>
    </row>
    <row r="4" spans="1:16" ht="14.4">
      <c r="A4" s="3530"/>
      <c r="B4" s="3531"/>
      <c r="C4" s="3532"/>
      <c r="D4" s="2203" t="s">
        <v>1899</v>
      </c>
      <c r="E4" s="2204" t="s">
        <v>1900</v>
      </c>
      <c r="F4" s="1372"/>
      <c r="G4" s="2205" t="s">
        <v>1924</v>
      </c>
      <c r="H4" s="1228" t="s">
        <v>1905</v>
      </c>
      <c r="I4" s="55">
        <f>ROUND(SUMIF('数据-基础表'!I9:AS9,"地上",'数据-基础表'!I5:AS5)/'数据-基础表'!A3,2)</f>
        <v>10.54</v>
      </c>
      <c r="J4" s="1372"/>
      <c r="K4" s="1372"/>
      <c r="L4" s="1372"/>
      <c r="M4" s="1372"/>
      <c r="N4" s="1407">
        <f>O4*F31/10000</f>
        <v>446085.21264810179</v>
      </c>
      <c r="O4" s="1372">
        <f>(O2+O3)*1.5</f>
        <v>34605.634555651312</v>
      </c>
      <c r="P4" s="3441" t="s">
        <v>3532</v>
      </c>
    </row>
    <row r="5" spans="1:16" ht="14.4">
      <c r="A5" s="47" t="s">
        <v>1901</v>
      </c>
      <c r="B5" s="3533" t="s">
        <v>1902</v>
      </c>
      <c r="C5" s="3533"/>
      <c r="D5" s="48">
        <f>ROUND($D$3*E5/$E$3,2)</f>
        <v>0</v>
      </c>
      <c r="E5" s="49">
        <f>SUMIF('数据-基础表'!$11:$11,"住宅",'数据-基础表'!$5:$5)</f>
        <v>0</v>
      </c>
      <c r="F5" s="1372"/>
      <c r="G5" s="1379"/>
      <c r="H5" s="1228" t="s">
        <v>1898</v>
      </c>
      <c r="I5" s="55">
        <f>ROUND(E31/D31,2)</f>
        <v>13.62</v>
      </c>
      <c r="J5" s="1372"/>
      <c r="K5" s="1372"/>
      <c r="L5" s="1372"/>
      <c r="M5" s="1372"/>
      <c r="N5" s="1372">
        <f>O3*G31/10000</f>
        <v>22527.432000000001</v>
      </c>
      <c r="O5" s="1372"/>
      <c r="P5" s="3441" t="s">
        <v>3533</v>
      </c>
    </row>
    <row r="6" spans="1:16" ht="15" thickBot="1">
      <c r="A6" s="2206"/>
      <c r="B6" s="3533" t="s">
        <v>1903</v>
      </c>
      <c r="C6" s="3533"/>
      <c r="D6" s="48">
        <f>ROUND($D$3*E6/$E$3,2)</f>
        <v>12224.89</v>
      </c>
      <c r="E6" s="49">
        <f>E3-E5</f>
        <v>166451.09</v>
      </c>
      <c r="F6" s="1372"/>
      <c r="G6" s="2207" t="s">
        <v>1904</v>
      </c>
      <c r="H6" s="1379" t="s">
        <v>1905</v>
      </c>
      <c r="I6" s="928">
        <f>ROUND(F31/D31,2)</f>
        <v>10.54</v>
      </c>
      <c r="J6" s="1372"/>
      <c r="K6" s="1372"/>
      <c r="L6" s="1372"/>
      <c r="M6" s="1372"/>
      <c r="N6" s="1372">
        <f>N4+N5</f>
        <v>468612.64464810176</v>
      </c>
      <c r="O6" s="1372">
        <f>N6*10000/E3</f>
        <v>28153.173682918015</v>
      </c>
      <c r="P6" s="3441" t="s">
        <v>3534</v>
      </c>
    </row>
    <row r="7" spans="1:16" ht="14.4">
      <c r="A7" s="3525"/>
      <c r="B7" s="3526"/>
      <c r="C7" s="3527"/>
      <c r="D7" s="2203" t="s">
        <v>1899</v>
      </c>
      <c r="E7" s="2208" t="s">
        <v>1906</v>
      </c>
      <c r="F7" s="1372"/>
      <c r="G7" s="2200" t="s">
        <v>1907</v>
      </c>
      <c r="H7" s="64"/>
      <c r="I7" s="419">
        <f>I6</f>
        <v>10.54</v>
      </c>
      <c r="J7" s="1372"/>
      <c r="K7" s="1372"/>
      <c r="L7" s="1372"/>
      <c r="M7" s="1372"/>
      <c r="N7" s="1372"/>
      <c r="O7" s="1372"/>
      <c r="P7" s="1372"/>
    </row>
    <row r="8" spans="1:16" ht="14.4">
      <c r="A8" s="47" t="s">
        <v>1908</v>
      </c>
      <c r="B8" s="50" t="s">
        <v>1909</v>
      </c>
      <c r="C8" s="48" t="s">
        <v>1910</v>
      </c>
      <c r="D8" s="48">
        <f t="shared" ref="D8:D15" si="0">ROUND($D$3*E8/$E$3,2)</f>
        <v>9467.3700000000008</v>
      </c>
      <c r="E8" s="51">
        <f>SUMIF('数据-基础表'!BB10:BK10,"地上",'数据-基础表'!BB5:BK5)</f>
        <v>128905.37</v>
      </c>
      <c r="F8" s="1372"/>
      <c r="G8" s="2209"/>
      <c r="H8" s="2209"/>
      <c r="I8" s="1372"/>
      <c r="J8" s="1372"/>
      <c r="K8" s="1372"/>
      <c r="L8" s="1372"/>
      <c r="M8" s="1372"/>
      <c r="N8" s="1372"/>
      <c r="O8" s="1372"/>
      <c r="P8" s="1372"/>
    </row>
    <row r="9" spans="1:16" ht="14.4">
      <c r="A9" s="2210"/>
      <c r="B9" s="2211"/>
      <c r="C9" s="48" t="s">
        <v>1911</v>
      </c>
      <c r="D9" s="48">
        <f t="shared" si="0"/>
        <v>0</v>
      </c>
      <c r="E9" s="52">
        <v>0</v>
      </c>
      <c r="F9" s="1372"/>
      <c r="G9" s="2209"/>
      <c r="H9" s="2209"/>
      <c r="I9" s="1372"/>
      <c r="J9" s="1372"/>
      <c r="K9" s="1372"/>
      <c r="L9" s="1372"/>
      <c r="M9" s="1372"/>
      <c r="N9" s="1372"/>
      <c r="O9" s="1372"/>
      <c r="P9" s="1372"/>
    </row>
    <row r="10" spans="1:16" ht="14.4">
      <c r="A10" s="2210"/>
      <c r="B10" s="2211"/>
      <c r="C10" s="48" t="s">
        <v>1919</v>
      </c>
      <c r="D10" s="48">
        <f t="shared" si="0"/>
        <v>240.71</v>
      </c>
      <c r="E10" s="51">
        <f>SUMPRODUCT(('数据-基础表'!BB10:BK10="地下")*('数据-基础表'!BB11:BK11="商业")*('数据-基础表'!BB5:BK5))</f>
        <v>3277.4100000000053</v>
      </c>
      <c r="F10" s="1372"/>
      <c r="G10" s="2209"/>
      <c r="H10" s="2209"/>
      <c r="I10" s="1372"/>
      <c r="J10" s="1372"/>
      <c r="K10" s="1372"/>
      <c r="L10" s="1372"/>
      <c r="M10" s="1372"/>
      <c r="N10" s="1372"/>
      <c r="O10" s="1372"/>
      <c r="P10" s="1372"/>
    </row>
    <row r="11" spans="1:16" ht="14.4">
      <c r="A11" s="2210"/>
      <c r="B11" s="2211"/>
      <c r="C11" s="48" t="s">
        <v>1912</v>
      </c>
      <c r="D11" s="48">
        <f t="shared" si="0"/>
        <v>0</v>
      </c>
      <c r="E11" s="51">
        <f>SUMPRODUCT(('数据-基础表'!BB10:BK10="地下")*('数据-基础表'!BB11:BK11="办公")*('数据-基础表'!BB5:BK5))+'数据-基础表'!BP5</f>
        <v>0</v>
      </c>
      <c r="F11" s="1372"/>
      <c r="G11" s="2209"/>
      <c r="H11" s="2209"/>
      <c r="I11" s="1372"/>
      <c r="J11" s="1372"/>
      <c r="K11" s="1372"/>
      <c r="L11" s="1372"/>
      <c r="M11" s="1372"/>
      <c r="N11" s="1372"/>
      <c r="O11" s="1372"/>
      <c r="P11" s="1372"/>
    </row>
    <row r="12" spans="1:16" ht="14.4">
      <c r="A12" s="2210"/>
      <c r="B12" s="2211"/>
      <c r="C12" s="48" t="s">
        <v>1913</v>
      </c>
      <c r="D12" s="48">
        <f t="shared" si="0"/>
        <v>0</v>
      </c>
      <c r="E12" s="51">
        <f>SUMPRODUCT(('数据-基础表'!BB10:BK10="地下")*('数据-基础表'!BB11:BK11="仓储")*('数据-基础表'!BB5:BK5))</f>
        <v>0</v>
      </c>
      <c r="F12" s="1372"/>
      <c r="G12" s="2209"/>
      <c r="H12" s="2209"/>
      <c r="I12" s="1372"/>
      <c r="J12" s="1372"/>
      <c r="K12" s="1372"/>
      <c r="L12" s="1372"/>
      <c r="M12" s="1372"/>
      <c r="N12" s="1372"/>
      <c r="O12" s="1372"/>
      <c r="P12" s="1372"/>
    </row>
    <row r="13" spans="1:16" ht="14.4">
      <c r="A13" s="2210"/>
      <c r="B13" s="2211"/>
      <c r="C13" s="48" t="s">
        <v>1914</v>
      </c>
      <c r="D13" s="48">
        <f t="shared" si="0"/>
        <v>2506.35</v>
      </c>
      <c r="E13" s="51">
        <f>SUMPRODUCT(('数据-基础表'!BB10:BK10="地下")*('数据-基础表'!BB11:BK11="车库")*('数据-基础表'!BB5:BK5))</f>
        <v>34125.879999999997</v>
      </c>
      <c r="F13" s="1372"/>
      <c r="G13" s="2209"/>
      <c r="H13" s="2209"/>
      <c r="I13" s="1372"/>
      <c r="J13" s="1372"/>
      <c r="K13" s="1372"/>
      <c r="L13" s="1372"/>
      <c r="M13" s="1372"/>
      <c r="N13" s="1372"/>
      <c r="O13" s="1372"/>
      <c r="P13" s="1372"/>
    </row>
    <row r="14" spans="1:16" ht="14.4">
      <c r="A14" s="2210"/>
      <c r="B14" s="2211"/>
      <c r="C14" s="48" t="s">
        <v>1925</v>
      </c>
      <c r="D14" s="48">
        <f t="shared" si="0"/>
        <v>0</v>
      </c>
      <c r="E14" s="51">
        <f>SUMPRODUCT(('数据-基础表'!BB10:BK10="地下")*('数据-基础表'!BB11:BK11="车库—商业")*('数据-基础表'!BB5:BK5))</f>
        <v>0</v>
      </c>
      <c r="F14" s="1372"/>
      <c r="G14" s="2209"/>
      <c r="H14" s="2209"/>
      <c r="I14" s="1372"/>
      <c r="J14" s="1372"/>
      <c r="K14" s="1372"/>
      <c r="L14" s="1372"/>
      <c r="M14" s="1372"/>
      <c r="N14" s="1372"/>
      <c r="O14" s="1372"/>
      <c r="P14" s="1372"/>
    </row>
    <row r="15" spans="1:16" ht="15" thickBot="1">
      <c r="A15" s="2210"/>
      <c r="B15" s="2211"/>
      <c r="C15" s="48" t="s">
        <v>1920</v>
      </c>
      <c r="D15" s="48">
        <f t="shared" si="0"/>
        <v>0</v>
      </c>
      <c r="E15" s="51">
        <f>SUMPRODUCT(('数据-基础表'!BB10:BK10="地下")*('数据-基础表'!BB11:BK11="车库—办公")*('数据-基础表'!BB5:BK5))</f>
        <v>0</v>
      </c>
      <c r="F15" s="1372"/>
      <c r="G15" s="2209"/>
      <c r="H15" s="2209"/>
      <c r="I15" s="1372"/>
      <c r="J15" s="1372"/>
      <c r="K15" s="1372"/>
      <c r="L15" s="1372"/>
      <c r="M15" s="1372"/>
      <c r="N15" s="1372"/>
      <c r="O15" s="1372"/>
      <c r="P15" s="1372"/>
    </row>
    <row r="16" spans="1:16" ht="15" thickBot="1">
      <c r="A16" s="2206"/>
      <c r="B16" s="2211"/>
      <c r="C16" s="50" t="s">
        <v>1915</v>
      </c>
      <c r="D16" s="50">
        <f>SUM(D8:D15)</f>
        <v>12214.43</v>
      </c>
      <c r="E16" s="53">
        <f>SUM(E8:E15)</f>
        <v>166308.66</v>
      </c>
      <c r="F16" s="1372"/>
      <c r="G16" s="2209"/>
      <c r="H16" s="2212" t="s">
        <v>1926</v>
      </c>
      <c r="I16" s="2213"/>
      <c r="J16" s="1372"/>
      <c r="K16" s="3522" t="s">
        <v>1926</v>
      </c>
      <c r="L16" s="3523"/>
      <c r="M16" s="3523"/>
      <c r="N16" s="3523"/>
      <c r="O16" s="3523"/>
      <c r="P16" s="3524"/>
    </row>
    <row r="17" spans="1:19" ht="14.4">
      <c r="A17" s="2214" t="s">
        <v>1927</v>
      </c>
      <c r="B17" s="2215" t="s">
        <v>1928</v>
      </c>
      <c r="C17" s="2216" t="s">
        <v>1929</v>
      </c>
      <c r="D17" s="2217" t="s">
        <v>1917</v>
      </c>
      <c r="E17" s="2218" t="s">
        <v>1918</v>
      </c>
      <c r="F17" s="2219"/>
      <c r="G17" s="2220"/>
      <c r="H17" s="2221" t="s">
        <v>1930</v>
      </c>
      <c r="I17" s="2222" t="s">
        <v>3420</v>
      </c>
      <c r="J17" s="1372"/>
      <c r="K17" s="3519" t="s">
        <v>1931</v>
      </c>
      <c r="L17" s="3520"/>
      <c r="M17" s="3521"/>
      <c r="N17" s="3519" t="s">
        <v>1932</v>
      </c>
      <c r="O17" s="3520"/>
      <c r="P17" s="3521"/>
      <c r="R17" s="2200" t="s">
        <v>1933</v>
      </c>
      <c r="S17" s="64"/>
    </row>
    <row r="18" spans="1:19" ht="14.4">
      <c r="A18" s="2210"/>
      <c r="B18" s="2223"/>
      <c r="C18" s="2224"/>
      <c r="D18" s="2225"/>
      <c r="E18" s="2226" t="s">
        <v>1934</v>
      </c>
      <c r="F18" s="2227" t="s">
        <v>1935</v>
      </c>
      <c r="G18" s="2228" t="s">
        <v>1936</v>
      </c>
      <c r="H18" s="1243" t="s">
        <v>1937</v>
      </c>
      <c r="I18" s="2229" t="s">
        <v>1938</v>
      </c>
      <c r="J18" s="1372"/>
      <c r="K18" s="1243" t="s">
        <v>1939</v>
      </c>
      <c r="L18" s="2230" t="s">
        <v>1940</v>
      </c>
      <c r="M18" s="1035" t="s">
        <v>1941</v>
      </c>
      <c r="N18" s="1243" t="s">
        <v>1939</v>
      </c>
      <c r="O18" s="2230" t="s">
        <v>1940</v>
      </c>
      <c r="P18" s="1035" t="s">
        <v>1941</v>
      </c>
      <c r="R18" s="1228" t="s">
        <v>1942</v>
      </c>
      <c r="S18" s="1228" t="s">
        <v>1943</v>
      </c>
    </row>
    <row r="19" spans="1:19" ht="15">
      <c r="A19" s="2231"/>
      <c r="B19" s="50" t="s">
        <v>1916</v>
      </c>
      <c r="C19" s="3416" t="s">
        <v>183</v>
      </c>
      <c r="D19" s="48">
        <f>ROUND($D$3*E19/$E$3,2)</f>
        <v>731.05</v>
      </c>
      <c r="E19" s="56">
        <f t="shared" ref="E19:E26" si="1">SUM(F19:G19)</f>
        <v>9953.84</v>
      </c>
      <c r="F19" s="57">
        <f>'数据-基础表'!I13</f>
        <v>9064.42</v>
      </c>
      <c r="G19" s="58">
        <f>面积表!E13</f>
        <v>889.42</v>
      </c>
      <c r="H19" s="719">
        <f>面积表!G3</f>
        <v>472.52</v>
      </c>
      <c r="I19" s="51">
        <f t="shared" ref="I19:I26" si="2">IF($I$17="自定义",P19,M19)</f>
        <v>8.52</v>
      </c>
      <c r="J19" s="1372"/>
      <c r="K19" s="1371">
        <f t="shared" ref="K19:K26" si="3">ROUND(E$28*E19/E$27,2)</f>
        <v>8.52</v>
      </c>
      <c r="L19" s="1228">
        <f t="shared" ref="L19:L26" si="4">ROUND(IF(COUNTIF(C19,"*住宅*")&gt;0,E$29*E19/E$32,0),2)</f>
        <v>0</v>
      </c>
      <c r="M19" s="1383">
        <f>K19+L19</f>
        <v>8.52</v>
      </c>
      <c r="N19" s="2232"/>
      <c r="O19" s="2233"/>
      <c r="P19" s="1383">
        <f>N19+O19</f>
        <v>0</v>
      </c>
      <c r="R19" s="1228">
        <f t="shared" ref="R19:S26" si="5">D19+H19</f>
        <v>1203.57</v>
      </c>
      <c r="S19" s="1229">
        <f t="shared" si="5"/>
        <v>9962.36</v>
      </c>
    </row>
    <row r="20" spans="1:19" ht="14.4">
      <c r="A20" s="2234"/>
      <c r="B20" s="50" t="s">
        <v>1944</v>
      </c>
      <c r="C20" s="2951"/>
      <c r="D20" s="48">
        <f t="shared" ref="D20:D26" si="6">ROUND($D$3*E20/$E$3,2)</f>
        <v>0</v>
      </c>
      <c r="E20" s="56">
        <f t="shared" si="1"/>
        <v>0</v>
      </c>
      <c r="F20" s="57"/>
      <c r="G20" s="58"/>
      <c r="H20" s="719">
        <f t="shared" ref="H20:H26" si="7">ROUND($D$3*I20/$E$3,2)</f>
        <v>0</v>
      </c>
      <c r="I20" s="51">
        <f t="shared" si="2"/>
        <v>0</v>
      </c>
      <c r="J20" s="1372"/>
      <c r="K20" s="1371">
        <f t="shared" si="3"/>
        <v>0</v>
      </c>
      <c r="L20" s="1228">
        <f t="shared" si="4"/>
        <v>0</v>
      </c>
      <c r="M20" s="1383">
        <f t="shared" ref="M20:M26" si="8">K20+L20</f>
        <v>0</v>
      </c>
      <c r="N20" s="2232"/>
      <c r="O20" s="2233"/>
      <c r="P20" s="1383">
        <f t="shared" ref="P20:P26" si="9">N20+O20</f>
        <v>0</v>
      </c>
      <c r="R20" s="1228">
        <f t="shared" si="5"/>
        <v>0</v>
      </c>
      <c r="S20" s="1229">
        <f t="shared" si="5"/>
        <v>0</v>
      </c>
    </row>
    <row r="21" spans="1:19" ht="14.4">
      <c r="A21" s="2234"/>
      <c r="B21" s="50" t="s">
        <v>1944</v>
      </c>
      <c r="C21" s="3417" t="s">
        <v>3432</v>
      </c>
      <c r="D21" s="48">
        <f t="shared" si="6"/>
        <v>6068.68</v>
      </c>
      <c r="E21" s="56">
        <f t="shared" si="1"/>
        <v>82629.64</v>
      </c>
      <c r="F21" s="57">
        <f>'数据-基础表'!M13</f>
        <v>82629.64</v>
      </c>
      <c r="G21" s="58"/>
      <c r="H21" s="719">
        <f>面积表!G5</f>
        <v>2676.22</v>
      </c>
      <c r="I21" s="51">
        <f t="shared" si="2"/>
        <v>70.77</v>
      </c>
      <c r="J21" s="1372"/>
      <c r="K21" s="1371">
        <f t="shared" si="3"/>
        <v>70.77</v>
      </c>
      <c r="L21" s="1228">
        <f t="shared" si="4"/>
        <v>0</v>
      </c>
      <c r="M21" s="1383">
        <f t="shared" si="8"/>
        <v>70.77</v>
      </c>
      <c r="N21" s="2232"/>
      <c r="O21" s="2233"/>
      <c r="P21" s="1383">
        <f t="shared" si="9"/>
        <v>0</v>
      </c>
      <c r="R21" s="1228">
        <f t="shared" si="5"/>
        <v>8744.9</v>
      </c>
      <c r="S21" s="1229">
        <f t="shared" si="5"/>
        <v>82700.41</v>
      </c>
    </row>
    <row r="22" spans="1:19" ht="14.4">
      <c r="A22" s="2234"/>
      <c r="B22" s="50" t="s">
        <v>1944</v>
      </c>
      <c r="C22" s="2951"/>
      <c r="D22" s="48">
        <f t="shared" si="6"/>
        <v>0</v>
      </c>
      <c r="E22" s="56">
        <f t="shared" si="1"/>
        <v>0</v>
      </c>
      <c r="F22" s="61"/>
      <c r="G22" s="62"/>
      <c r="H22" s="719">
        <f t="shared" si="7"/>
        <v>0</v>
      </c>
      <c r="I22" s="51">
        <f t="shared" si="2"/>
        <v>0</v>
      </c>
      <c r="J22" s="1372"/>
      <c r="K22" s="1371">
        <f t="shared" si="3"/>
        <v>0</v>
      </c>
      <c r="L22" s="1228">
        <f t="shared" si="4"/>
        <v>0</v>
      </c>
      <c r="M22" s="1383">
        <f t="shared" si="8"/>
        <v>0</v>
      </c>
      <c r="N22" s="2232"/>
      <c r="O22" s="2233"/>
      <c r="P22" s="1383">
        <f t="shared" si="9"/>
        <v>0</v>
      </c>
      <c r="R22" s="1228">
        <f t="shared" si="5"/>
        <v>0</v>
      </c>
      <c r="S22" s="1229">
        <f t="shared" si="5"/>
        <v>0</v>
      </c>
    </row>
    <row r="23" spans="1:19" ht="14.4">
      <c r="A23" s="2234"/>
      <c r="B23" s="50" t="s">
        <v>1944</v>
      </c>
      <c r="C23" s="2951" t="s">
        <v>3348</v>
      </c>
      <c r="D23" s="48">
        <f>ROUND($D$3*E23/$E$3,2)</f>
        <v>2506.35</v>
      </c>
      <c r="E23" s="56">
        <f>SUM(F23:G23)</f>
        <v>34125.879999999997</v>
      </c>
      <c r="F23" s="61"/>
      <c r="G23" s="62">
        <f>面积表!H6</f>
        <v>34125.879999999997</v>
      </c>
      <c r="H23" s="719">
        <f>面积表!G6</f>
        <v>7218.2</v>
      </c>
      <c r="I23" s="51">
        <f t="shared" si="2"/>
        <v>29.23</v>
      </c>
      <c r="J23" s="1372"/>
      <c r="K23" s="1371">
        <f t="shared" si="3"/>
        <v>29.23</v>
      </c>
      <c r="L23" s="1228">
        <f t="shared" si="4"/>
        <v>0</v>
      </c>
      <c r="M23" s="1383">
        <f t="shared" si="8"/>
        <v>29.23</v>
      </c>
      <c r="N23" s="2232"/>
      <c r="O23" s="2233"/>
      <c r="P23" s="1383">
        <f t="shared" si="9"/>
        <v>0</v>
      </c>
      <c r="R23" s="1228">
        <f t="shared" si="5"/>
        <v>9724.5499999999993</v>
      </c>
      <c r="S23" s="1229">
        <f t="shared" si="5"/>
        <v>34155.11</v>
      </c>
    </row>
    <row r="24" spans="1:19" ht="14.4">
      <c r="A24" s="2234"/>
      <c r="B24" s="50" t="s">
        <v>1944</v>
      </c>
      <c r="C24" s="2951" t="s">
        <v>3349</v>
      </c>
      <c r="D24" s="48">
        <f>ROUND($D$3*E24/$E$3,2)</f>
        <v>2908.34</v>
      </c>
      <c r="E24" s="56">
        <f>SUM(F24:G24)</f>
        <v>39599.300000000003</v>
      </c>
      <c r="F24" s="61">
        <f>'数据-基础表'!O13</f>
        <v>37211.31</v>
      </c>
      <c r="G24" s="62">
        <f>面积表!E23</f>
        <v>2387.9900000000052</v>
      </c>
      <c r="H24" s="719">
        <f>面积表!G4</f>
        <v>1827.82</v>
      </c>
      <c r="I24" s="51">
        <f t="shared" si="2"/>
        <v>33.909999999999997</v>
      </c>
      <c r="J24" s="1372"/>
      <c r="K24" s="1371">
        <f t="shared" si="3"/>
        <v>33.909999999999997</v>
      </c>
      <c r="L24" s="1228">
        <f t="shared" si="4"/>
        <v>0</v>
      </c>
      <c r="M24" s="1383">
        <f t="shared" si="8"/>
        <v>33.909999999999997</v>
      </c>
      <c r="N24" s="2232"/>
      <c r="O24" s="2233"/>
      <c r="P24" s="1383">
        <f t="shared" si="9"/>
        <v>0</v>
      </c>
      <c r="R24" s="1228">
        <f t="shared" si="5"/>
        <v>4736.16</v>
      </c>
      <c r="S24" s="1229">
        <f t="shared" si="5"/>
        <v>39633.210000000006</v>
      </c>
    </row>
    <row r="25" spans="1:19" ht="14.4">
      <c r="A25" s="2234"/>
      <c r="B25" s="50" t="s">
        <v>1944</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32"/>
      <c r="O25" s="2233"/>
      <c r="P25" s="1383">
        <f t="shared" si="9"/>
        <v>0</v>
      </c>
      <c r="R25" s="1228">
        <f t="shared" si="5"/>
        <v>0</v>
      </c>
      <c r="S25" s="1229">
        <f t="shared" si="5"/>
        <v>0</v>
      </c>
    </row>
    <row r="26" spans="1:19" ht="14.4">
      <c r="A26" s="2234"/>
      <c r="B26" s="50" t="s">
        <v>1944</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35"/>
      <c r="O26" s="2236"/>
      <c r="P26" s="67">
        <f t="shared" si="9"/>
        <v>0</v>
      </c>
      <c r="R26" s="1228">
        <f t="shared" si="5"/>
        <v>0</v>
      </c>
      <c r="S26" s="1229">
        <f t="shared" si="5"/>
        <v>0</v>
      </c>
    </row>
    <row r="27" spans="1:19" ht="28.2" thickBot="1">
      <c r="A27" s="2234"/>
      <c r="B27" s="48"/>
      <c r="C27" s="2237" t="s">
        <v>1945</v>
      </c>
      <c r="D27" s="1373">
        <f>SUM(D19:D26)</f>
        <v>12214.42</v>
      </c>
      <c r="E27" s="1374">
        <f>IF(SUM(E19:E26)='数据-基础表'!BA5,SUM(E19:E26),IF(F27="地上面积有误","面积有误","地下面积有误"))</f>
        <v>166308.65999999997</v>
      </c>
      <c r="F27" s="1373">
        <f>IF(SUM(F19:F26)=E8,SUM(F19:F26),"地上面积有误")</f>
        <v>128905.37</v>
      </c>
      <c r="G27" s="1375">
        <f>SUM(G19:G26)</f>
        <v>37403.29</v>
      </c>
      <c r="H27" s="1376">
        <f>SUM(H19:H26)</f>
        <v>12194.759999999998</v>
      </c>
      <c r="I27" s="1377">
        <f>SUM(I19:I26)</f>
        <v>142.43</v>
      </c>
      <c r="J27" s="1372"/>
      <c r="K27" s="1380">
        <f>SUM(K19:K26)</f>
        <v>142.43</v>
      </c>
      <c r="L27" s="1381">
        <f>SUM(L19:L26)</f>
        <v>0</v>
      </c>
      <c r="M27" s="1384">
        <f>SUM(M19:M26)</f>
        <v>142.43</v>
      </c>
      <c r="N27" s="1380">
        <f t="shared" ref="N27:O27" si="10">SUM(N19:N26)</f>
        <v>0</v>
      </c>
      <c r="O27" s="1381">
        <f t="shared" si="10"/>
        <v>0</v>
      </c>
      <c r="P27" s="1382">
        <f>SUM(P19:P26)</f>
        <v>0</v>
      </c>
      <c r="R27" s="1230" t="str">
        <f>IF(SUM(R19:R26)=$D$3,SUM(R19:R26),SUM(R19:R26)&amp;"误差"&amp;ROUND(SUM(R19:R26)-$D$3,2))</f>
        <v>24409.18误差12184.29</v>
      </c>
      <c r="S27" s="1228">
        <f>IF(SUM(S19:S26)=$E$3,SUM(S19:S26),SUM(S19:S26)&amp;"误差"&amp;ROUND(SUM(S19:S26)-E3,2))</f>
        <v>166451.09000000003</v>
      </c>
    </row>
    <row r="28" spans="1:19" ht="14.4">
      <c r="A28" s="2234"/>
      <c r="B28" s="50" t="s">
        <v>1946</v>
      </c>
      <c r="C28" s="1240" t="s">
        <v>1947</v>
      </c>
      <c r="D28" s="48">
        <f>ROUND($D$3*E28/$E$3,2)</f>
        <v>10.46</v>
      </c>
      <c r="E28" s="56">
        <f>SUM(F28:G28)</f>
        <v>142.43</v>
      </c>
      <c r="F28" s="64">
        <f>'数据-基础表'!BQ5+'数据-基础表'!BS5</f>
        <v>0</v>
      </c>
      <c r="G28" s="65">
        <f>'数据-基础表'!BR5+'数据-基础表'!BT5</f>
        <v>142.43</v>
      </c>
      <c r="H28" s="1372"/>
      <c r="I28" s="1372"/>
      <c r="J28" s="1372"/>
      <c r="K28" s="1372"/>
      <c r="L28" s="1372"/>
      <c r="M28" s="1372"/>
      <c r="N28" s="1372"/>
      <c r="O28" s="1372"/>
      <c r="P28" s="1372"/>
    </row>
    <row r="29" spans="1:19" ht="14.4">
      <c r="A29" s="2234"/>
      <c r="B29" s="50" t="s">
        <v>1946</v>
      </c>
      <c r="C29" s="2238" t="s">
        <v>1948</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4.4">
      <c r="A30" s="2234"/>
      <c r="B30" s="50"/>
      <c r="C30" s="2239" t="s">
        <v>1945</v>
      </c>
      <c r="D30" s="1373">
        <f>SUM(D28:D29)</f>
        <v>10.46</v>
      </c>
      <c r="E30" s="1373">
        <f>SUM(E28:E29)</f>
        <v>142.43</v>
      </c>
      <c r="F30" s="1373">
        <f>SUM(F28:F29)</f>
        <v>0</v>
      </c>
      <c r="G30" s="1375">
        <f>SUM(G28:G29)</f>
        <v>142.43</v>
      </c>
      <c r="H30" s="1372"/>
      <c r="I30" s="1372"/>
      <c r="J30" s="1372"/>
      <c r="K30" s="1372"/>
      <c r="L30" s="1372"/>
      <c r="M30" s="1372"/>
      <c r="N30" s="1372"/>
      <c r="O30" s="1372"/>
      <c r="P30" s="1372"/>
    </row>
    <row r="31" spans="1:19" ht="15" thickBot="1">
      <c r="A31" s="2240"/>
      <c r="B31" s="2241"/>
      <c r="C31" s="996" t="s">
        <v>1949</v>
      </c>
      <c r="D31" s="725">
        <f>D27+D30</f>
        <v>12224.88</v>
      </c>
      <c r="E31" s="725">
        <f>E27+E30</f>
        <v>166451.08999999997</v>
      </c>
      <c r="F31" s="726">
        <f>F27+F30</f>
        <v>128905.37</v>
      </c>
      <c r="G31" s="727">
        <f>G27+G30</f>
        <v>37545.72</v>
      </c>
      <c r="H31" s="1372"/>
      <c r="I31" s="1372"/>
      <c r="J31" s="1372"/>
      <c r="K31" s="1372"/>
      <c r="L31" s="1372"/>
      <c r="M31" s="1372"/>
      <c r="N31" s="1372"/>
      <c r="O31" s="1372"/>
      <c r="P31" s="1372"/>
    </row>
    <row r="32" spans="1:19" ht="14.4">
      <c r="A32" s="2205"/>
      <c r="B32" s="2205" t="s">
        <v>1950</v>
      </c>
      <c r="C32" s="2205"/>
      <c r="D32" s="2205"/>
      <c r="E32" s="1255">
        <f>SUMIF(C19:C26,"*住宅*",E19:E26)</f>
        <v>0</v>
      </c>
      <c r="F32" s="2205"/>
      <c r="G32" s="2205"/>
      <c r="H32" s="1372"/>
      <c r="I32" s="1372"/>
      <c r="J32" s="1372"/>
      <c r="K32" s="1372"/>
      <c r="L32" s="1372"/>
      <c r="M32" s="1372"/>
      <c r="N32" s="1372"/>
      <c r="O32" s="1372"/>
      <c r="P32" s="1372"/>
    </row>
    <row r="33" spans="4:7">
      <c r="D33" s="2242"/>
    </row>
    <row r="40" spans="4:7">
      <c r="F40" s="2198">
        <f>D3+'[2]数据-汇总表'!$D$3</f>
        <v>22063.87</v>
      </c>
      <c r="G40" s="2198">
        <f>E3+'[2]数据-汇总表'!$E$3</f>
        <v>209304.57</v>
      </c>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10" sqref="V10"/>
    </sheetView>
  </sheetViews>
  <sheetFormatPr defaultColWidth="13.77734375" defaultRowHeight="13.2"/>
  <cols>
    <col min="1" max="1" width="20.88671875" style="2316" customWidth="1"/>
    <col min="2" max="2" width="12" style="2246" customWidth="1"/>
    <col min="3" max="3" width="10.77734375" style="2246" customWidth="1"/>
    <col min="4" max="4" width="9.109375" style="2317" customWidth="1"/>
    <col min="5" max="5" width="15" style="2246" bestFit="1" customWidth="1"/>
    <col min="6" max="10" width="8.88671875" style="2246" customWidth="1"/>
    <col min="11" max="12" width="12.33203125" style="2161" customWidth="1"/>
    <col min="13" max="13" width="8.6640625" style="2246" customWidth="1"/>
    <col min="14" max="14" width="11.88671875" style="2246" customWidth="1"/>
    <col min="15" max="15" width="8.44140625" style="2246" customWidth="1"/>
    <col min="16" max="17" width="10.88671875" style="2246" customWidth="1"/>
    <col min="18" max="19" width="12.44140625" style="2246" customWidth="1"/>
    <col min="20" max="20" width="12.109375" style="2246" customWidth="1"/>
    <col min="21" max="21" width="7.44140625" style="2246" customWidth="1"/>
    <col min="22" max="22" width="6.33203125" style="2246" customWidth="1"/>
    <col min="23" max="24" width="6.77734375" style="2246" customWidth="1"/>
    <col min="25" max="25" width="8" style="2246" customWidth="1"/>
    <col min="26" max="30" width="6.77734375" style="2246" customWidth="1"/>
    <col min="31" max="31" width="8" style="2246" customWidth="1"/>
    <col min="32" max="33" width="7.21875" style="2246" customWidth="1"/>
    <col min="34" max="34" width="12.6640625" style="2246" customWidth="1"/>
    <col min="35" max="39" width="8" style="2246" customWidth="1"/>
    <col min="40" max="40" width="13.77734375" style="2245"/>
    <col min="41" max="41" width="11.6640625" style="2245" customWidth="1"/>
    <col min="42" max="42" width="9.77734375" style="2245" customWidth="1"/>
    <col min="43" max="67" width="13.77734375" style="2245"/>
    <col min="68" max="16384" width="13.77734375" style="2246"/>
  </cols>
  <sheetData>
    <row r="1" spans="1:67" ht="18" thickBot="1">
      <c r="A1" s="2243" t="s">
        <v>1951</v>
      </c>
      <c r="B1" s="728"/>
      <c r="C1" s="1560"/>
      <c r="D1" s="2244"/>
      <c r="E1" s="1560"/>
      <c r="F1" s="1560"/>
      <c r="G1" s="1560"/>
      <c r="H1" s="1560"/>
      <c r="I1" s="1560"/>
      <c r="J1" s="1560"/>
      <c r="K1" s="168"/>
      <c r="L1" s="168"/>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row>
    <row r="2" spans="1:67" s="2008" customFormat="1" ht="15" thickBot="1">
      <c r="A2" s="2247" t="s">
        <v>1952</v>
      </c>
      <c r="B2" s="1247">
        <f>项目基本情况!D3</f>
        <v>43903</v>
      </c>
      <c r="C2" s="2248"/>
      <c r="D2" s="2249"/>
      <c r="E2" s="2248"/>
      <c r="F2" s="2248"/>
      <c r="G2" s="2248"/>
      <c r="H2" s="2248"/>
      <c r="I2" s="2248"/>
      <c r="J2" s="2248"/>
      <c r="K2" s="1407"/>
      <c r="L2" s="1407"/>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50"/>
      <c r="AO2" s="2250"/>
      <c r="AP2" s="2250"/>
      <c r="AQ2" s="2250"/>
      <c r="AR2" s="2250"/>
      <c r="AS2" s="2250"/>
      <c r="AT2" s="2250"/>
      <c r="AU2" s="2250"/>
      <c r="AV2" s="2250"/>
      <c r="AW2" s="2250"/>
      <c r="AX2" s="2250"/>
      <c r="AY2" s="2250"/>
      <c r="AZ2" s="2250"/>
      <c r="BA2" s="2250"/>
      <c r="BB2" s="2250"/>
      <c r="BC2" s="2250"/>
      <c r="BD2" s="2250"/>
      <c r="BE2" s="2250"/>
      <c r="BF2" s="2250"/>
      <c r="BG2" s="2250"/>
      <c r="BH2" s="2250"/>
      <c r="BI2" s="2250"/>
      <c r="BJ2" s="2250"/>
      <c r="BK2" s="2250"/>
      <c r="BL2" s="2250"/>
      <c r="BM2" s="2250"/>
      <c r="BN2" s="2250"/>
      <c r="BO2" s="2250"/>
    </row>
    <row r="3" spans="1:67" s="2008" customFormat="1" ht="14.4" thickBot="1">
      <c r="A3" s="2006"/>
      <c r="B3" s="2251"/>
      <c r="C3" s="2248"/>
      <c r="D3" s="2249"/>
      <c r="E3" s="2248"/>
      <c r="F3" s="2248"/>
      <c r="G3" s="2248"/>
      <c r="H3" s="2248"/>
      <c r="I3" s="2248"/>
      <c r="J3" s="2248"/>
      <c r="K3" s="1407"/>
      <c r="L3" s="1407"/>
      <c r="M3" s="2248"/>
      <c r="N3" s="2248"/>
      <c r="O3" s="2248"/>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50"/>
      <c r="AO3" s="2250"/>
      <c r="AP3" s="2250"/>
      <c r="AQ3" s="2250"/>
      <c r="AR3" s="2250"/>
      <c r="AS3" s="2250"/>
      <c r="AT3" s="2250"/>
      <c r="AU3" s="2250"/>
      <c r="AV3" s="2250"/>
      <c r="AW3" s="2250"/>
      <c r="AX3" s="2250"/>
      <c r="AY3" s="2250"/>
      <c r="AZ3" s="2250"/>
      <c r="BA3" s="2250"/>
      <c r="BB3" s="2250"/>
      <c r="BC3" s="2250"/>
      <c r="BD3" s="2250"/>
      <c r="BE3" s="2250"/>
      <c r="BF3" s="2250"/>
      <c r="BG3" s="2250"/>
      <c r="BH3" s="2250"/>
      <c r="BI3" s="2250"/>
      <c r="BJ3" s="2250"/>
      <c r="BK3" s="2250"/>
      <c r="BL3" s="2250"/>
      <c r="BM3" s="2250"/>
      <c r="BN3" s="2250"/>
      <c r="BO3" s="2250"/>
    </row>
    <row r="4" spans="1:67" s="2008" customFormat="1" ht="15" thickBot="1">
      <c r="A4" s="68" t="s">
        <v>1953</v>
      </c>
      <c r="B4" s="2252"/>
      <c r="C4" s="2253"/>
      <c r="D4" s="2254"/>
      <c r="E4" s="2253" t="s">
        <v>1954</v>
      </c>
      <c r="F4" s="2253"/>
      <c r="G4" s="2253"/>
      <c r="H4" s="2253"/>
      <c r="I4" s="2253"/>
      <c r="J4" s="2255"/>
      <c r="K4" s="2256"/>
      <c r="L4" s="2257"/>
      <c r="M4" s="2253"/>
      <c r="N4" s="2253" t="s">
        <v>1955</v>
      </c>
      <c r="O4" s="2253"/>
      <c r="P4" s="2253"/>
      <c r="Q4" s="2253"/>
      <c r="R4" s="2253"/>
      <c r="S4" s="2255"/>
      <c r="T4" s="2258" t="str">
        <f>'数据-汇总表'!I17</f>
        <v>按面积比例</v>
      </c>
      <c r="U4" s="2252" t="s">
        <v>1956</v>
      </c>
      <c r="V4" s="2253"/>
      <c r="W4" s="2253"/>
      <c r="X4" s="2253"/>
      <c r="Y4" s="2255"/>
      <c r="Z4" s="2216" t="s">
        <v>1957</v>
      </c>
      <c r="AA4" s="2216"/>
      <c r="AB4" s="2216"/>
      <c r="AC4" s="2216"/>
      <c r="AD4" s="2216"/>
      <c r="AE4" s="2214" t="s">
        <v>1958</v>
      </c>
      <c r="AF4" s="2216"/>
      <c r="AG4" s="2259"/>
      <c r="AH4" s="2252"/>
      <c r="AI4" s="2253"/>
      <c r="AJ4" s="2253"/>
      <c r="AK4" s="2253"/>
      <c r="AL4" s="2253"/>
      <c r="AM4" s="2255"/>
      <c r="AN4" s="2250"/>
      <c r="AO4" s="2250"/>
      <c r="AP4" s="2250"/>
      <c r="AQ4" s="2250"/>
      <c r="AR4" s="2250"/>
      <c r="AS4" s="2250"/>
      <c r="AT4" s="2250"/>
      <c r="AU4" s="2250"/>
      <c r="AV4" s="2250"/>
      <c r="AW4" s="2250"/>
      <c r="AX4" s="2250"/>
      <c r="AY4" s="2250"/>
      <c r="AZ4" s="2250"/>
      <c r="BA4" s="2250"/>
      <c r="BB4" s="2250"/>
      <c r="BC4" s="2250"/>
      <c r="BD4" s="2250"/>
      <c r="BE4" s="2250"/>
      <c r="BF4" s="2250"/>
      <c r="BG4" s="2250"/>
      <c r="BH4" s="2250"/>
      <c r="BI4" s="2250"/>
      <c r="BJ4" s="2250"/>
      <c r="BK4" s="2250"/>
      <c r="BL4" s="2250"/>
      <c r="BM4" s="2250"/>
      <c r="BN4" s="2250"/>
      <c r="BO4" s="2250"/>
    </row>
    <row r="5" spans="1:67" s="2009" customFormat="1" ht="43.2">
      <c r="A5" s="2260" t="s">
        <v>1959</v>
      </c>
      <c r="B5" s="2261" t="s">
        <v>1960</v>
      </c>
      <c r="C5" s="2262" t="s">
        <v>1961</v>
      </c>
      <c r="D5" s="2263" t="s">
        <v>1962</v>
      </c>
      <c r="E5" s="1249" t="s">
        <v>1963</v>
      </c>
      <c r="F5" s="2264" t="s">
        <v>1964</v>
      </c>
      <c r="G5" s="1249" t="s">
        <v>1965</v>
      </c>
      <c r="H5" s="1249" t="s">
        <v>1966</v>
      </c>
      <c r="I5" s="1249" t="s">
        <v>1967</v>
      </c>
      <c r="J5" s="2265" t="s">
        <v>1968</v>
      </c>
      <c r="K5" s="2266" t="s">
        <v>1969</v>
      </c>
      <c r="L5" s="2267" t="s">
        <v>1970</v>
      </c>
      <c r="M5" s="2268" t="s">
        <v>1971</v>
      </c>
      <c r="N5" s="2269" t="s">
        <v>3036</v>
      </c>
      <c r="O5" s="2267" t="s">
        <v>1972</v>
      </c>
      <c r="P5" s="2270" t="s">
        <v>1973</v>
      </c>
      <c r="Q5" s="69" t="s">
        <v>1974</v>
      </c>
      <c r="R5" s="2271" t="s">
        <v>1975</v>
      </c>
      <c r="S5" s="2272" t="s">
        <v>1976</v>
      </c>
      <c r="T5" s="2273" t="s">
        <v>1977</v>
      </c>
      <c r="U5" s="1248" t="s">
        <v>1978</v>
      </c>
      <c r="V5" s="1249" t="s">
        <v>1979</v>
      </c>
      <c r="W5" s="1249" t="s">
        <v>1980</v>
      </c>
      <c r="X5" s="71"/>
      <c r="Y5" s="70" t="s">
        <v>1981</v>
      </c>
      <c r="Z5" s="2274" t="s">
        <v>1978</v>
      </c>
      <c r="AA5" s="1249" t="s">
        <v>1979</v>
      </c>
      <c r="AB5" s="1249" t="s">
        <v>1980</v>
      </c>
      <c r="AC5" s="71"/>
      <c r="AD5" s="71" t="s">
        <v>1981</v>
      </c>
      <c r="AE5" s="1248" t="s">
        <v>1982</v>
      </c>
      <c r="AF5" s="1249" t="s">
        <v>1983</v>
      </c>
      <c r="AG5" s="70" t="s">
        <v>1984</v>
      </c>
      <c r="AH5" s="1248" t="s">
        <v>1985</v>
      </c>
      <c r="AI5" s="2274" t="s">
        <v>1986</v>
      </c>
      <c r="AJ5" s="2274" t="s">
        <v>1987</v>
      </c>
      <c r="AK5" s="1249" t="s">
        <v>1988</v>
      </c>
      <c r="AL5" s="1249" t="s">
        <v>1989</v>
      </c>
      <c r="AM5" s="70" t="s">
        <v>1990</v>
      </c>
      <c r="AN5" s="2275" t="s">
        <v>1991</v>
      </c>
      <c r="AO5" s="2046" t="s">
        <v>1992</v>
      </c>
      <c r="AP5" s="1230" t="s">
        <v>1993</v>
      </c>
      <c r="AQ5" s="2276" t="s">
        <v>1994</v>
      </c>
      <c r="AR5" s="2276" t="s">
        <v>1995</v>
      </c>
      <c r="AS5" s="2129"/>
      <c r="AT5" s="2129"/>
      <c r="AU5" s="2129"/>
      <c r="AV5" s="2129"/>
      <c r="AW5" s="2129"/>
      <c r="AX5" s="2129"/>
      <c r="AY5" s="2129"/>
      <c r="AZ5" s="2129"/>
      <c r="BA5" s="2129"/>
      <c r="BB5" s="2129"/>
      <c r="BC5" s="2129"/>
      <c r="BD5" s="2129"/>
      <c r="BE5" s="2129"/>
      <c r="BF5" s="2129"/>
      <c r="BG5" s="2129"/>
      <c r="BH5" s="2129"/>
      <c r="BI5" s="2129"/>
      <c r="BJ5" s="2129"/>
      <c r="BK5" s="2129"/>
      <c r="BL5" s="2129"/>
      <c r="BM5" s="2129"/>
      <c r="BN5" s="2129"/>
      <c r="BO5" s="2129"/>
    </row>
    <row r="6" spans="1:67" s="2008" customFormat="1" ht="13.8">
      <c r="A6" s="2277" t="str">
        <f>'数据-汇总表'!C19</f>
        <v>商业</v>
      </c>
      <c r="B6" s="2278" t="str">
        <f>IF(A6=0,"","经营性")</f>
        <v>经营性</v>
      </c>
      <c r="C6" s="2279" t="s">
        <v>1362</v>
      </c>
      <c r="D6" s="1040">
        <f>SUMIF(项目基本情况!D$12:I$12,C6,项目基本情况!D$14:I$14)</f>
        <v>40</v>
      </c>
      <c r="E6" s="1037">
        <f>IF(B6="","",SUMIF(项目基本情况!D$12:I$12,C6,项目基本情况!D$13:I$13))</f>
        <v>54184</v>
      </c>
      <c r="F6" s="72">
        <f>SUMIF(项目基本情况!D$12:I$12,C6,项目基本情况!D$15:I$15)</f>
        <v>28.16</v>
      </c>
      <c r="G6" s="73">
        <f>IF(ISERROR(ROUND(POWER(1+H6,D6-F6)*(POWER(1+H6,F6)-1)/(POWER(1+H6,D6)-1),3)),0,ROUND(POWER(1+H6,D6-F6)*(POWER(1+H6,F6)-1)/(POWER(1+H6,D6)-1),3))</f>
        <v>0.88200000000000001</v>
      </c>
      <c r="H6" s="797">
        <v>5.5E-2</v>
      </c>
      <c r="I6" s="797">
        <v>0.06</v>
      </c>
      <c r="J6" s="74">
        <v>8.5000000000000006E-2</v>
      </c>
      <c r="K6" s="1232">
        <f>SUMIF('数据-汇总表'!C$19:C$33,A6,'数据-汇总表'!E$19:E$33)</f>
        <v>9953.84</v>
      </c>
      <c r="L6" s="3428">
        <v>4500</v>
      </c>
      <c r="M6" s="75">
        <f t="shared" ref="M6:M14" si="0">ROUND(K6*L6/10000,0)</f>
        <v>4479</v>
      </c>
      <c r="N6" s="796">
        <f>ROUND(1-(2020-2017)/60,2)</f>
        <v>0.95</v>
      </c>
      <c r="O6" s="75" t="str">
        <f>IF($N$5="成新度","——",ROUND(M6*N6,0))</f>
        <v>——</v>
      </c>
      <c r="P6" s="76" t="str">
        <f>IF($N$5="成新度","——",M6-O6)</f>
        <v>——</v>
      </c>
      <c r="Q6" s="799">
        <v>0.3</v>
      </c>
      <c r="R6" s="77">
        <f ca="1">SUMIF('数据-汇总表'!C$19:C$33,A6,'数据-汇总表'!R$19:R$27)</f>
        <v>1203.57</v>
      </c>
      <c r="S6" s="54">
        <f>IF('数据-汇总表'!$I$17="按面积比例",SUMIF('数据-汇总表'!C$19:C$33,A6,'数据-汇总表'!K$19:K$33),SUMIF('数据-汇总表'!C$19:C$33,A6,'数据-汇总表'!N$19:N$33))</f>
        <v>8.52</v>
      </c>
      <c r="T6" s="1423">
        <f>ROUND($L$14*S6/10000,0)</f>
        <v>0</v>
      </c>
      <c r="U6" s="3389">
        <f>面积表!G19</f>
        <v>8.66</v>
      </c>
      <c r="V6" s="3390">
        <v>3.5000000000000003E-2</v>
      </c>
      <c r="W6" s="3390">
        <v>0.05</v>
      </c>
      <c r="X6" s="3391"/>
      <c r="Y6" s="3392">
        <f>N6</f>
        <v>0.95</v>
      </c>
      <c r="Z6" s="3402"/>
      <c r="AA6" s="3393"/>
      <c r="AB6" s="3393"/>
      <c r="AC6" s="3391"/>
      <c r="AD6" s="3401"/>
      <c r="AE6" s="1243">
        <f ca="1">IF(AN6="",0,SUMIF(INDIRECT("'"&amp;AN6&amp;"'"&amp;"!E:E"),$AE$5,INDIRECT("'"&amp;AN6&amp;"'"&amp;"!F:F")))</f>
        <v>28.16</v>
      </c>
      <c r="AF6" s="3394"/>
      <c r="AG6" s="147">
        <f>IF(AF6="",0,AE6-AF6)</f>
        <v>0</v>
      </c>
      <c r="AH6" s="2952">
        <f t="shared" ref="AH6" si="1">K6</f>
        <v>9953.84</v>
      </c>
      <c r="AI6" s="85">
        <v>365</v>
      </c>
      <c r="AJ6" s="86"/>
      <c r="AK6" s="87">
        <v>1.4999999999999999E-2</v>
      </c>
      <c r="AL6" s="88">
        <v>1.5E-3</v>
      </c>
      <c r="AM6" s="89">
        <v>0.01</v>
      </c>
      <c r="AN6" s="2280" t="s">
        <v>3038</v>
      </c>
      <c r="AO6" s="55">
        <f ca="1">SUMIF(INDIRECT("'"&amp;AN6&amp;"'"&amp;"!A:A"),"总价",INDIRECT("'"&amp;AN6&amp;"'"&amp;"!B:B"))</f>
        <v>45688</v>
      </c>
      <c r="AP6" s="2281">
        <f>IF(C6="住宅",K6*L6,0)</f>
        <v>0</v>
      </c>
      <c r="AQ6" s="55">
        <f>ROUND($L$14*$N$14*S6/10000,0)</f>
        <v>0</v>
      </c>
      <c r="AR6" s="55">
        <f>ROUND($L$14*(1-$N$14)*S6/10000,0)</f>
        <v>0</v>
      </c>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row>
    <row r="7" spans="1:67" s="2008" customFormat="1" ht="13.8">
      <c r="A7" s="2277">
        <f>'数据-汇总表'!C20</f>
        <v>0</v>
      </c>
      <c r="B7" s="2278" t="str">
        <f t="shared" ref="B7:B13" si="2">IF(A7=0,"","经营性")</f>
        <v/>
      </c>
      <c r="C7" s="2279" t="s">
        <v>1362</v>
      </c>
      <c r="D7" s="1040">
        <f>SUMIF(项目基本情况!D$12:I$12,C7,项目基本情况!D$14:I$14)</f>
        <v>40</v>
      </c>
      <c r="E7" s="1037" t="str">
        <f>IF(B7="","",SUMIF(项目基本情况!D$12:I$12,C7,项目基本情况!D$13:I$13))</f>
        <v/>
      </c>
      <c r="F7" s="72">
        <f>SUMIF(项目基本情况!D$12:I$12,C7,项目基本情况!D$15:I$15)</f>
        <v>28.16</v>
      </c>
      <c r="G7" s="73">
        <f t="shared" ref="G7:G11" si="3">IF(ISERROR(ROUND(POWER(1+H7,D7-F7)*(POWER(1+H7,F7)-1)/(POWER(1+H7,D7)-1),3)),0,ROUND(POWER(1+H7,D7-F7)*(POWER(1+H7,F7)-1)/(POWER(1+H7,D7)-1),3))</f>
        <v>0.88200000000000001</v>
      </c>
      <c r="H7" s="797">
        <v>5.5E-2</v>
      </c>
      <c r="I7" s="797">
        <v>0.06</v>
      </c>
      <c r="J7" s="74">
        <v>8.5000000000000006E-2</v>
      </c>
      <c r="K7" s="1232">
        <f>SUMIF('数据-汇总表'!C$19:C$33,A7,'数据-汇总表'!E$19:E$33)</f>
        <v>0</v>
      </c>
      <c r="L7" s="3422">
        <f>L6</f>
        <v>4500</v>
      </c>
      <c r="M7" s="75">
        <f t="shared" si="0"/>
        <v>0</v>
      </c>
      <c r="N7" s="796">
        <f>N6</f>
        <v>0.95</v>
      </c>
      <c r="O7" s="75" t="str">
        <f t="shared" ref="O7:O14" si="4">IF($N$5="成新度","——",ROUND(M7*N7,0))</f>
        <v>——</v>
      </c>
      <c r="P7" s="76" t="str">
        <f t="shared" ref="P7:P14" si="5">IF($N$5="成新度","——",M7-O7)</f>
        <v>——</v>
      </c>
      <c r="Q7" s="799"/>
      <c r="R7" s="77">
        <f ca="1">SUMIF('数据-汇总表'!C$19:C$33,A7,'数据-汇总表'!R$19:R$27)</f>
        <v>0</v>
      </c>
      <c r="S7" s="54">
        <f>IF('数据-汇总表'!$I$17="按面积比例",SUMIF('数据-汇总表'!C$19:C$33,A7,'数据-汇总表'!K$19:K$33),SUMIF('数据-汇总表'!C$19:C$33,A7,'数据-汇总表'!N$19:N$33))</f>
        <v>0</v>
      </c>
      <c r="T7" s="1423">
        <f t="shared" ref="T7:T13" si="6">ROUND($L$14*S7/10000,0)</f>
        <v>0</v>
      </c>
      <c r="U7" s="3403"/>
      <c r="V7" s="79"/>
      <c r="W7" s="79"/>
      <c r="X7" s="1242"/>
      <c r="Y7" s="80"/>
      <c r="Z7" s="81"/>
      <c r="AA7" s="74"/>
      <c r="AB7" s="74"/>
      <c r="AC7" s="1242"/>
      <c r="AD7" s="82"/>
      <c r="AE7" s="1243">
        <f t="shared" ref="AE7:AE13" ca="1" si="7">IF(AN7="",0,SUMIF(INDIRECT("'"&amp;AN7&amp;"'"&amp;"!E:E"),$AE$5,INDIRECT("'"&amp;AN7&amp;"'"&amp;"!F:F")))</f>
        <v>0</v>
      </c>
      <c r="AF7" s="3382"/>
      <c r="AG7" s="147">
        <f t="shared" ref="AG7:AG13" si="8">IF(AF7="",0,AE7-AF7)</f>
        <v>0</v>
      </c>
      <c r="AH7" s="2952"/>
      <c r="AI7" s="85"/>
      <c r="AJ7" s="86"/>
      <c r="AK7" s="87"/>
      <c r="AL7" s="88"/>
      <c r="AM7" s="89"/>
      <c r="AN7" s="2280"/>
      <c r="AO7" s="55" t="e">
        <f t="shared" ref="AO7:AO13" ca="1" si="9">SUMIF(INDIRECT("'"&amp;AN7&amp;"'"&amp;"!A:A"),"总价",INDIRECT("'"&amp;AN7&amp;"'"&amp;"!B:B"))</f>
        <v>#REF!</v>
      </c>
      <c r="AP7" s="2281">
        <f t="shared" ref="AP7:AP13" si="10">IF(C7="住宅",K7*L7,0)</f>
        <v>0</v>
      </c>
      <c r="AQ7" s="55">
        <f t="shared" ref="AQ7:AQ13" si="11">ROUND($L$14*$N$14*S7/10000,0)</f>
        <v>0</v>
      </c>
      <c r="AR7" s="55">
        <f t="shared" ref="AR7:AR13" si="12">ROUND($L$14*(1-$N$14)*S7/10000,0)</f>
        <v>0</v>
      </c>
      <c r="AS7" s="2250"/>
      <c r="AT7" s="2250"/>
      <c r="AU7" s="2250"/>
      <c r="AV7" s="2250"/>
      <c r="AW7" s="2250"/>
      <c r="AX7" s="2250"/>
      <c r="AY7" s="2250"/>
      <c r="AZ7" s="2250"/>
      <c r="BA7" s="2250"/>
      <c r="BB7" s="2250"/>
      <c r="BC7" s="2250"/>
      <c r="BD7" s="2250"/>
      <c r="BE7" s="2250"/>
      <c r="BF7" s="2250"/>
      <c r="BG7" s="2250"/>
      <c r="BH7" s="2250"/>
      <c r="BI7" s="2250"/>
      <c r="BJ7" s="2250"/>
      <c r="BK7" s="2250"/>
      <c r="BL7" s="2250"/>
      <c r="BM7" s="2250"/>
      <c r="BN7" s="2250"/>
      <c r="BO7" s="2250"/>
    </row>
    <row r="8" spans="1:67" s="2008" customFormat="1" ht="13.8">
      <c r="A8" s="2277" t="str">
        <f>'数据-汇总表'!C21</f>
        <v>办公</v>
      </c>
      <c r="B8" s="2278" t="str">
        <f t="shared" si="2"/>
        <v>经营性</v>
      </c>
      <c r="C8" s="2279" t="s">
        <v>1362</v>
      </c>
      <c r="D8" s="1040">
        <f>SUMIF(项目基本情况!D$12:I$12,C8,项目基本情况!D$14:I$14)</f>
        <v>40</v>
      </c>
      <c r="E8" s="1037">
        <f>IF(B8="","",SUMIF(项目基本情况!D$12:I$12,C8,项目基本情况!D$13:I$13))</f>
        <v>54184</v>
      </c>
      <c r="F8" s="72">
        <f>SUMIF(项目基本情况!D$12:I$12,C8,项目基本情况!D$15:I$15)</f>
        <v>28.16</v>
      </c>
      <c r="G8" s="73">
        <f t="shared" si="3"/>
        <v>0.871</v>
      </c>
      <c r="H8" s="797">
        <v>0.05</v>
      </c>
      <c r="I8" s="797">
        <v>5.5E-2</v>
      </c>
      <c r="J8" s="74">
        <v>8.5000000000000006E-2</v>
      </c>
      <c r="K8" s="1232">
        <f>SUMIF('数据-汇总表'!C$19:C$33,A8,'数据-汇总表'!E$19:E$33)</f>
        <v>82629.64</v>
      </c>
      <c r="L8" s="3422">
        <f>L6</f>
        <v>4500</v>
      </c>
      <c r="M8" s="75">
        <f>ROUND(K8*L8/10000,0)</f>
        <v>37183</v>
      </c>
      <c r="N8" s="796">
        <f>N6</f>
        <v>0.95</v>
      </c>
      <c r="O8" s="75" t="str">
        <f t="shared" si="4"/>
        <v>——</v>
      </c>
      <c r="P8" s="76" t="str">
        <f t="shared" si="5"/>
        <v>——</v>
      </c>
      <c r="Q8" s="799">
        <v>0.2</v>
      </c>
      <c r="R8" s="77">
        <f ca="1">SUMIF('数据-汇总表'!C$19:C$33,A8,'数据-汇总表'!R$19:R$27)</f>
        <v>8744.9</v>
      </c>
      <c r="S8" s="54">
        <f>IF('数据-汇总表'!$I$17="按面积比例",SUMIF('数据-汇总表'!C$19:C$33,A8,'数据-汇总表'!K$19:K$33),SUMIF('数据-汇总表'!C$19:C$33,A8,'数据-汇总表'!N$19:N$33))</f>
        <v>70.77</v>
      </c>
      <c r="T8" s="1423">
        <f t="shared" si="6"/>
        <v>0</v>
      </c>
      <c r="U8" s="3420">
        <v>5.27</v>
      </c>
      <c r="V8" s="3390">
        <v>0</v>
      </c>
      <c r="W8" s="3390">
        <v>0</v>
      </c>
      <c r="X8" s="1242"/>
      <c r="Y8" s="80">
        <f t="shared" ref="Y8" si="13">N8</f>
        <v>0.95</v>
      </c>
      <c r="Z8" s="3429">
        <f>ROUND(Z19*(1+AA8)^AF8,2)</f>
        <v>7.2</v>
      </c>
      <c r="AA8" s="3427">
        <v>0.05</v>
      </c>
      <c r="AB8" s="3427">
        <v>0.1</v>
      </c>
      <c r="AC8" s="1242"/>
      <c r="AD8" s="82">
        <f>ROUND(1-(2029-2017)/60,2)</f>
        <v>0.8</v>
      </c>
      <c r="AE8" s="1243">
        <f t="shared" ca="1" si="7"/>
        <v>28.16</v>
      </c>
      <c r="AF8" s="3382">
        <v>9.64</v>
      </c>
      <c r="AG8" s="147">
        <f t="shared" ca="1" si="8"/>
        <v>18.52</v>
      </c>
      <c r="AH8" s="2952">
        <f>K8</f>
        <v>82629.64</v>
      </c>
      <c r="AI8" s="85">
        <v>365</v>
      </c>
      <c r="AJ8" s="86"/>
      <c r="AK8" s="87">
        <v>1.4999999999999999E-2</v>
      </c>
      <c r="AL8" s="88">
        <v>1.5E-3</v>
      </c>
      <c r="AM8" s="89">
        <v>0.01</v>
      </c>
      <c r="AN8" s="2280" t="s">
        <v>3037</v>
      </c>
      <c r="AO8" s="55">
        <f t="shared" ca="1" si="9"/>
        <v>240866</v>
      </c>
      <c r="AP8" s="2281">
        <f t="shared" si="10"/>
        <v>0</v>
      </c>
      <c r="AQ8" s="55">
        <f t="shared" si="11"/>
        <v>0</v>
      </c>
      <c r="AR8" s="55">
        <f t="shared" si="12"/>
        <v>0</v>
      </c>
      <c r="AS8" s="2250"/>
      <c r="AT8" s="2250"/>
      <c r="AU8" s="2250"/>
      <c r="AV8" s="2250"/>
      <c r="AW8" s="2250"/>
      <c r="AX8" s="2250"/>
      <c r="AY8" s="2250"/>
      <c r="AZ8" s="2250"/>
      <c r="BA8" s="2250"/>
      <c r="BB8" s="2250"/>
      <c r="BC8" s="2250"/>
      <c r="BD8" s="2250"/>
      <c r="BE8" s="2250"/>
      <c r="BF8" s="2250"/>
      <c r="BG8" s="2250"/>
      <c r="BH8" s="2250"/>
      <c r="BI8" s="2250"/>
      <c r="BJ8" s="2250"/>
      <c r="BK8" s="2250"/>
      <c r="BL8" s="2250"/>
      <c r="BM8" s="2250"/>
      <c r="BN8" s="2250"/>
      <c r="BO8" s="2250"/>
    </row>
    <row r="9" spans="1:67" s="2008" customFormat="1" ht="13.8">
      <c r="A9" s="2277">
        <f>'数据-汇总表'!C22</f>
        <v>0</v>
      </c>
      <c r="B9" s="2278" t="str">
        <f t="shared" si="2"/>
        <v/>
      </c>
      <c r="C9" s="2279" t="s">
        <v>1362</v>
      </c>
      <c r="D9" s="1040">
        <f>SUMIF(项目基本情况!D$12:I$12,C9,项目基本情况!D$14:I$14)</f>
        <v>40</v>
      </c>
      <c r="E9" s="1037" t="str">
        <f>IF(B9="","",SUMIF(项目基本情况!D$12:I$12,C9,项目基本情况!D$13:I$13))</f>
        <v/>
      </c>
      <c r="F9" s="72">
        <f>SUMIF(项目基本情况!D$12:I$12,C9,项目基本情况!D$15:I$15)</f>
        <v>28.16</v>
      </c>
      <c r="G9" s="73">
        <f t="shared" si="3"/>
        <v>0.871</v>
      </c>
      <c r="H9" s="797">
        <v>0.05</v>
      </c>
      <c r="I9" s="797">
        <v>5.5E-2</v>
      </c>
      <c r="J9" s="74">
        <v>8.5000000000000006E-2</v>
      </c>
      <c r="K9" s="1232">
        <f>SUMIF('数据-汇总表'!C$19:C$33,A9,'数据-汇总表'!E$19:E$33)</f>
        <v>0</v>
      </c>
      <c r="L9" s="3422">
        <f>L7</f>
        <v>4500</v>
      </c>
      <c r="M9" s="75">
        <f t="shared" si="0"/>
        <v>0</v>
      </c>
      <c r="N9" s="796">
        <f>N8</f>
        <v>0.95</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23">
        <f t="shared" si="6"/>
        <v>0</v>
      </c>
      <c r="U9" s="78"/>
      <c r="V9" s="79"/>
      <c r="W9" s="79"/>
      <c r="X9" s="1242"/>
      <c r="Y9" s="80"/>
      <c r="Z9" s="81"/>
      <c r="AA9" s="74"/>
      <c r="AB9" s="74"/>
      <c r="AC9" s="1242"/>
      <c r="AD9" s="82"/>
      <c r="AE9" s="1243">
        <f t="shared" ca="1" si="7"/>
        <v>0</v>
      </c>
      <c r="AF9" s="1782"/>
      <c r="AG9" s="147">
        <f t="shared" si="8"/>
        <v>0</v>
      </c>
      <c r="AH9" s="2952"/>
      <c r="AI9" s="85"/>
      <c r="AJ9" s="86"/>
      <c r="AK9" s="87"/>
      <c r="AL9" s="88"/>
      <c r="AM9" s="89"/>
      <c r="AN9" s="2280"/>
      <c r="AO9" s="55" t="e">
        <f t="shared" ca="1" si="9"/>
        <v>#REF!</v>
      </c>
      <c r="AP9" s="2281">
        <f t="shared" si="10"/>
        <v>0</v>
      </c>
      <c r="AQ9" s="55">
        <f t="shared" si="11"/>
        <v>0</v>
      </c>
      <c r="AR9" s="55">
        <f t="shared" si="12"/>
        <v>0</v>
      </c>
      <c r="AS9" s="2250"/>
      <c r="AT9" s="2250"/>
      <c r="AU9" s="2250"/>
      <c r="AV9" s="2250"/>
      <c r="AW9" s="2250"/>
      <c r="AX9" s="2250"/>
      <c r="AY9" s="2250"/>
      <c r="AZ9" s="2250"/>
      <c r="BA9" s="2250"/>
      <c r="BB9" s="2250"/>
      <c r="BC9" s="2250"/>
      <c r="BD9" s="2250"/>
      <c r="BE9" s="2250"/>
      <c r="BF9" s="2250"/>
      <c r="BG9" s="2250"/>
      <c r="BH9" s="2250"/>
      <c r="BI9" s="2250"/>
      <c r="BJ9" s="2250"/>
      <c r="BK9" s="2250"/>
      <c r="BL9" s="2250"/>
      <c r="BM9" s="2250"/>
      <c r="BN9" s="2250"/>
      <c r="BO9" s="2250"/>
    </row>
    <row r="10" spans="1:67" s="2008" customFormat="1" ht="13.8">
      <c r="A10" s="2277" t="str">
        <f>'数据-汇总表'!C23</f>
        <v>地下车库</v>
      </c>
      <c r="B10" s="2278" t="str">
        <f t="shared" si="2"/>
        <v>经营性</v>
      </c>
      <c r="C10" s="2279" t="s">
        <v>3173</v>
      </c>
      <c r="D10" s="1040">
        <f>SUMIF(项目基本情况!D$12:I$12,C10,项目基本情况!D$14:I$14)</f>
        <v>40</v>
      </c>
      <c r="E10" s="1037">
        <f>IF(B10="","",SUMIF(项目基本情况!D$12:I$12,C10,项目基本情况!D$13:I$13))</f>
        <v>54184</v>
      </c>
      <c r="F10" s="72">
        <f>SUMIF(项目基本情况!D$12:I$12,C10,项目基本情况!D$15:I$15)</f>
        <v>28.16</v>
      </c>
      <c r="G10" s="73">
        <f t="shared" si="3"/>
        <v>0.85799999999999998</v>
      </c>
      <c r="H10" s="797">
        <v>4.4999999999999998E-2</v>
      </c>
      <c r="I10" s="797">
        <v>0.05</v>
      </c>
      <c r="J10" s="74">
        <v>8.5000000000000006E-2</v>
      </c>
      <c r="K10" s="1232">
        <f>SUMIF('数据-汇总表'!C$19:C$33,A10,'数据-汇总表'!E$19:E$33)</f>
        <v>34125.879999999997</v>
      </c>
      <c r="L10" s="3422">
        <v>4500</v>
      </c>
      <c r="M10" s="75">
        <f t="shared" si="0"/>
        <v>15357</v>
      </c>
      <c r="N10" s="796">
        <f t="shared" ref="N10:N11" si="14">N9</f>
        <v>0.95</v>
      </c>
      <c r="O10" s="75" t="str">
        <f t="shared" si="4"/>
        <v>——</v>
      </c>
      <c r="P10" s="76" t="str">
        <f t="shared" si="5"/>
        <v>——</v>
      </c>
      <c r="Q10" s="799">
        <v>0.05</v>
      </c>
      <c r="R10" s="77">
        <f ca="1">SUMIF('数据-汇总表'!C$19:C$33,A10,'数据-汇总表'!R$19:R$27)</f>
        <v>9724.5499999999993</v>
      </c>
      <c r="S10" s="54">
        <f>IF('数据-汇总表'!$I$17="按面积比例",SUMIF('数据-汇总表'!C$19:C$33,A10,'数据-汇总表'!K$19:K$33),SUMIF('数据-汇总表'!C$19:C$33,A10,'数据-汇总表'!N$19:N$33))</f>
        <v>29.23</v>
      </c>
      <c r="T10" s="1423">
        <f t="shared" si="6"/>
        <v>0</v>
      </c>
      <c r="U10" s="3437">
        <v>1200</v>
      </c>
      <c r="V10" s="3438">
        <v>2.5000000000000001E-2</v>
      </c>
      <c r="W10" s="800">
        <v>0.1</v>
      </c>
      <c r="X10" s="1242"/>
      <c r="Y10" s="80">
        <f>Y9</f>
        <v>0</v>
      </c>
      <c r="Z10" s="81"/>
      <c r="AA10" s="74"/>
      <c r="AB10" s="74"/>
      <c r="AC10" s="1242"/>
      <c r="AD10" s="82"/>
      <c r="AE10" s="1243">
        <f t="shared" ca="1" si="7"/>
        <v>28.16</v>
      </c>
      <c r="AF10" s="1782"/>
      <c r="AG10" s="147">
        <f t="shared" si="8"/>
        <v>0</v>
      </c>
      <c r="AH10" s="2952">
        <v>650</v>
      </c>
      <c r="AI10" s="85">
        <v>12</v>
      </c>
      <c r="AJ10" s="86"/>
      <c r="AK10" s="87">
        <v>1.4999999999999999E-2</v>
      </c>
      <c r="AL10" s="88">
        <v>1.5E-3</v>
      </c>
      <c r="AM10" s="89">
        <v>0.01</v>
      </c>
      <c r="AN10" s="2280" t="s">
        <v>3364</v>
      </c>
      <c r="AO10" s="55">
        <f t="shared" ca="1" si="9"/>
        <v>6838</v>
      </c>
      <c r="AP10" s="2281">
        <f t="shared" si="10"/>
        <v>0</v>
      </c>
      <c r="AQ10" s="55">
        <f t="shared" si="11"/>
        <v>0</v>
      </c>
      <c r="AR10" s="55">
        <f t="shared" si="12"/>
        <v>0</v>
      </c>
      <c r="AS10" s="2250"/>
      <c r="AT10" s="2250"/>
      <c r="AU10" s="2250"/>
      <c r="AV10" s="2250"/>
      <c r="AW10" s="2250"/>
      <c r="AX10" s="2250"/>
      <c r="AY10" s="2250"/>
      <c r="AZ10" s="2250"/>
      <c r="BA10" s="2250"/>
      <c r="BB10" s="2250"/>
      <c r="BC10" s="2250"/>
      <c r="BD10" s="2250"/>
      <c r="BE10" s="2250"/>
      <c r="BF10" s="2250"/>
      <c r="BG10" s="2250"/>
      <c r="BH10" s="2250"/>
      <c r="BI10" s="2250"/>
      <c r="BJ10" s="2250"/>
      <c r="BK10" s="2250"/>
      <c r="BL10" s="2250"/>
      <c r="BM10" s="2250"/>
      <c r="BN10" s="2250"/>
      <c r="BO10" s="2250"/>
    </row>
    <row r="11" spans="1:67" s="2008" customFormat="1" ht="13.8">
      <c r="A11" s="2277" t="str">
        <f>'数据-汇总表'!C24</f>
        <v>酒店</v>
      </c>
      <c r="B11" s="2278" t="str">
        <f t="shared" si="2"/>
        <v>经营性</v>
      </c>
      <c r="C11" s="2279" t="s">
        <v>1362</v>
      </c>
      <c r="D11" s="1040">
        <f>SUMIF(项目基本情况!D$12:I$12,C11,项目基本情况!D$14:I$14)</f>
        <v>40</v>
      </c>
      <c r="E11" s="1037">
        <f>IF(B11="","",SUMIF(项目基本情况!D$12:I$12,C11,项目基本情况!D$13:I$13))</f>
        <v>54184</v>
      </c>
      <c r="F11" s="72">
        <f>SUMIF(项目基本情况!D$12:I$12,C11,项目基本情况!D$15:I$15)</f>
        <v>28.16</v>
      </c>
      <c r="G11" s="73">
        <f t="shared" si="3"/>
        <v>0.871</v>
      </c>
      <c r="H11" s="797">
        <v>0.05</v>
      </c>
      <c r="I11" s="3425">
        <v>5.5E-2</v>
      </c>
      <c r="J11" s="74">
        <v>8.5000000000000006E-2</v>
      </c>
      <c r="K11" s="1232">
        <f>SUMIF('数据-汇总表'!C$19:C$33,A11,'数据-汇总表'!E$19:E$33)</f>
        <v>39599.300000000003</v>
      </c>
      <c r="L11" s="798">
        <v>9000</v>
      </c>
      <c r="M11" s="75">
        <f t="shared" si="0"/>
        <v>35639</v>
      </c>
      <c r="N11" s="796">
        <f t="shared" si="14"/>
        <v>0.95</v>
      </c>
      <c r="O11" s="75" t="str">
        <f t="shared" si="4"/>
        <v>——</v>
      </c>
      <c r="P11" s="76" t="str">
        <f t="shared" si="5"/>
        <v>——</v>
      </c>
      <c r="Q11" s="90">
        <v>0.15</v>
      </c>
      <c r="R11" s="77">
        <f ca="1">SUMIF('数据-汇总表'!C$19:C$33,A11,'数据-汇总表'!R$19:R$27)</f>
        <v>4736.16</v>
      </c>
      <c r="S11" s="54">
        <f>IF('数据-汇总表'!$I$17="按面积比例",SUMIF('数据-汇总表'!C$19:C$33,A11,'数据-汇总表'!K$19:K$33),SUMIF('数据-汇总表'!C$19:C$33,A11,'数据-汇总表'!N$19:N$33))</f>
        <v>33.909999999999997</v>
      </c>
      <c r="T11" s="1423">
        <f t="shared" si="6"/>
        <v>0</v>
      </c>
      <c r="U11" s="78">
        <f ca="1">ROUND(酒店收入计算!E26+酒店收入计算!L23,0)</f>
        <v>7426</v>
      </c>
      <c r="V11" s="3426">
        <v>3.5000000000000003E-2</v>
      </c>
      <c r="W11" s="79">
        <v>0</v>
      </c>
      <c r="X11" s="1242"/>
      <c r="Y11" s="80">
        <f>Y10</f>
        <v>0</v>
      </c>
      <c r="Z11" s="93"/>
      <c r="AA11" s="74"/>
      <c r="AB11" s="74"/>
      <c r="AC11" s="1242"/>
      <c r="AD11" s="82"/>
      <c r="AE11" s="1243">
        <f t="shared" ca="1" si="7"/>
        <v>28.16</v>
      </c>
      <c r="AF11" s="1782"/>
      <c r="AG11" s="147">
        <f t="shared" si="8"/>
        <v>0</v>
      </c>
      <c r="AH11" s="2952">
        <v>10000</v>
      </c>
      <c r="AI11" s="85">
        <v>1</v>
      </c>
      <c r="AJ11" s="86"/>
      <c r="AK11" s="87">
        <v>1.4999999999999999E-2</v>
      </c>
      <c r="AL11" s="88">
        <f>AL9</f>
        <v>0</v>
      </c>
      <c r="AM11" s="89">
        <v>0.02</v>
      </c>
      <c r="AN11" s="2280" t="s">
        <v>3362</v>
      </c>
      <c r="AO11" s="55">
        <f t="shared" ca="1" si="9"/>
        <v>117536</v>
      </c>
      <c r="AP11" s="2281">
        <f t="shared" si="10"/>
        <v>0</v>
      </c>
      <c r="AQ11" s="55">
        <f t="shared" si="11"/>
        <v>0</v>
      </c>
      <c r="AR11" s="55">
        <f t="shared" si="12"/>
        <v>0</v>
      </c>
      <c r="AS11" s="2250"/>
      <c r="AT11" s="2250"/>
      <c r="AU11" s="2250"/>
      <c r="AV11" s="2250"/>
      <c r="AW11" s="2250"/>
      <c r="AX11" s="2250"/>
      <c r="AY11" s="2250"/>
      <c r="AZ11" s="2250"/>
      <c r="BA11" s="2250"/>
      <c r="BB11" s="2250"/>
      <c r="BC11" s="2250"/>
      <c r="BD11" s="2250"/>
      <c r="BE11" s="2250"/>
      <c r="BF11" s="2250"/>
      <c r="BG11" s="2250"/>
      <c r="BH11" s="2250"/>
      <c r="BI11" s="2250"/>
      <c r="BJ11" s="2250"/>
      <c r="BK11" s="2250"/>
      <c r="BL11" s="2250"/>
      <c r="BM11" s="2250"/>
      <c r="BN11" s="2250"/>
      <c r="BO11" s="2250"/>
    </row>
    <row r="12" spans="1:67" s="2008" customFormat="1" ht="13.8">
      <c r="A12" s="2277">
        <f>'数据-汇总表'!C25</f>
        <v>0</v>
      </c>
      <c r="B12" s="2278" t="str">
        <f t="shared" si="2"/>
        <v/>
      </c>
      <c r="C12" s="2279"/>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23">
        <f t="shared" si="6"/>
        <v>0</v>
      </c>
      <c r="U12" s="83"/>
      <c r="V12" s="74"/>
      <c r="W12" s="74"/>
      <c r="X12" s="1242"/>
      <c r="Y12" s="80"/>
      <c r="Z12" s="93"/>
      <c r="AA12" s="74"/>
      <c r="AB12" s="74"/>
      <c r="AC12" s="1242"/>
      <c r="AD12" s="82"/>
      <c r="AE12" s="1243">
        <f t="shared" ca="1" si="7"/>
        <v>0</v>
      </c>
      <c r="AF12" s="1782"/>
      <c r="AG12" s="147">
        <f t="shared" si="8"/>
        <v>0</v>
      </c>
      <c r="AH12" s="83"/>
      <c r="AI12" s="85"/>
      <c r="AJ12" s="86"/>
      <c r="AK12" s="94"/>
      <c r="AL12" s="95"/>
      <c r="AM12" s="96"/>
      <c r="AN12" s="2280"/>
      <c r="AO12" s="55" t="e">
        <f t="shared" ca="1" si="9"/>
        <v>#REF!</v>
      </c>
      <c r="AP12" s="2281">
        <f t="shared" si="10"/>
        <v>0</v>
      </c>
      <c r="AQ12" s="55">
        <f t="shared" si="11"/>
        <v>0</v>
      </c>
      <c r="AR12" s="55">
        <f t="shared" si="12"/>
        <v>0</v>
      </c>
      <c r="AS12" s="2250"/>
      <c r="AT12" s="2250"/>
      <c r="AU12" s="2250"/>
      <c r="AV12" s="2250"/>
      <c r="AW12" s="2250"/>
      <c r="AX12" s="2250"/>
      <c r="AY12" s="2250"/>
      <c r="AZ12" s="2250"/>
      <c r="BA12" s="2250"/>
      <c r="BB12" s="2250"/>
      <c r="BC12" s="2250"/>
      <c r="BD12" s="2250"/>
      <c r="BE12" s="2250"/>
      <c r="BF12" s="2250"/>
      <c r="BG12" s="2250"/>
      <c r="BH12" s="2250"/>
      <c r="BI12" s="2250"/>
      <c r="BJ12" s="2250"/>
      <c r="BK12" s="2250"/>
      <c r="BL12" s="2250"/>
      <c r="BM12" s="2250"/>
      <c r="BN12" s="2250"/>
      <c r="BO12" s="2250"/>
    </row>
    <row r="13" spans="1:67" s="2008" customFormat="1" ht="13.8">
      <c r="A13" s="2277">
        <f>'数据-汇总表'!C26</f>
        <v>0</v>
      </c>
      <c r="B13" s="2278" t="str">
        <f t="shared" si="2"/>
        <v/>
      </c>
      <c r="C13" s="2279"/>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23">
        <f t="shared" si="6"/>
        <v>0</v>
      </c>
      <c r="U13" s="78"/>
      <c r="V13" s="79"/>
      <c r="W13" s="79"/>
      <c r="X13" s="1242"/>
      <c r="Y13" s="80"/>
      <c r="Z13" s="81"/>
      <c r="AA13" s="74"/>
      <c r="AB13" s="74"/>
      <c r="AC13" s="1242"/>
      <c r="AD13" s="82"/>
      <c r="AE13" s="1243">
        <f t="shared" ca="1" si="7"/>
        <v>0</v>
      </c>
      <c r="AF13" s="1782"/>
      <c r="AG13" s="147">
        <f t="shared" si="8"/>
        <v>0</v>
      </c>
      <c r="AH13" s="83"/>
      <c r="AI13" s="85"/>
      <c r="AJ13" s="86"/>
      <c r="AK13" s="87"/>
      <c r="AL13" s="88"/>
      <c r="AM13" s="89"/>
      <c r="AN13" s="2280"/>
      <c r="AO13" s="55" t="e">
        <f t="shared" ca="1" si="9"/>
        <v>#REF!</v>
      </c>
      <c r="AP13" s="2281">
        <f t="shared" si="10"/>
        <v>0</v>
      </c>
      <c r="AQ13" s="55">
        <f t="shared" si="11"/>
        <v>0</v>
      </c>
      <c r="AR13" s="55">
        <f t="shared" si="12"/>
        <v>0</v>
      </c>
      <c r="AS13" s="2250"/>
      <c r="AT13" s="2250"/>
      <c r="AU13" s="2250"/>
      <c r="AV13" s="2250"/>
      <c r="AW13" s="2250"/>
      <c r="AX13" s="2250"/>
      <c r="AY13" s="2250"/>
      <c r="AZ13" s="2250"/>
      <c r="BA13" s="2250"/>
      <c r="BB13" s="2250"/>
      <c r="BC13" s="2250"/>
      <c r="BD13" s="2250"/>
      <c r="BE13" s="2250"/>
      <c r="BF13" s="2250"/>
      <c r="BG13" s="2250"/>
      <c r="BH13" s="2250"/>
      <c r="BI13" s="2250"/>
      <c r="BJ13" s="2250"/>
      <c r="BK13" s="2250"/>
      <c r="BL13" s="2250"/>
      <c r="BM13" s="2250"/>
      <c r="BN13" s="2250"/>
      <c r="BO13" s="2250"/>
    </row>
    <row r="14" spans="1:67" s="2008" customFormat="1" ht="14.4">
      <c r="A14" s="2282" t="s">
        <v>1996</v>
      </c>
      <c r="B14" s="2278" t="s">
        <v>1997</v>
      </c>
      <c r="C14" s="2283" t="s">
        <v>1996</v>
      </c>
      <c r="D14" s="1040"/>
      <c r="E14" s="1037"/>
      <c r="F14" s="72"/>
      <c r="G14" s="73"/>
      <c r="H14" s="1231"/>
      <c r="I14" s="1231"/>
      <c r="J14" s="1231"/>
      <c r="K14" s="1232">
        <f>SUMIF('数据-汇总表'!C$19:C$33,A14,'数据-汇总表'!E$19:E$33)</f>
        <v>142.43</v>
      </c>
      <c r="L14" s="91"/>
      <c r="M14" s="75">
        <f t="shared" si="0"/>
        <v>0</v>
      </c>
      <c r="N14" s="92"/>
      <c r="O14" s="75" t="str">
        <f t="shared" si="4"/>
        <v>——</v>
      </c>
      <c r="P14" s="76" t="str">
        <f t="shared" si="5"/>
        <v>——</v>
      </c>
      <c r="Q14" s="1235"/>
      <c r="R14" s="77"/>
      <c r="S14" s="54"/>
      <c r="T14" s="1423"/>
      <c r="U14" s="719"/>
      <c r="V14" s="1237"/>
      <c r="W14" s="1237"/>
      <c r="X14" s="1238"/>
      <c r="Y14" s="1239"/>
      <c r="Z14" s="1240"/>
      <c r="AA14" s="1241"/>
      <c r="AB14" s="1241"/>
      <c r="AC14" s="1242"/>
      <c r="AD14" s="1238"/>
      <c r="AE14" s="1243"/>
      <c r="AF14" s="55"/>
      <c r="AG14" s="147"/>
      <c r="AH14" s="1243"/>
      <c r="AI14" s="1793"/>
      <c r="AJ14" s="769"/>
      <c r="AK14" s="1244"/>
      <c r="AL14" s="1245"/>
      <c r="AM14" s="1246"/>
      <c r="AN14" s="2245"/>
      <c r="AO14" s="2250"/>
      <c r="AP14" s="2250"/>
      <c r="AQ14" s="2250"/>
      <c r="AR14" s="2250"/>
      <c r="AS14" s="2250"/>
      <c r="AT14" s="2250"/>
      <c r="AU14" s="2250"/>
      <c r="AV14" s="2250"/>
      <c r="AW14" s="2250"/>
      <c r="AX14" s="2250"/>
      <c r="AY14" s="2250"/>
      <c r="AZ14" s="2250"/>
      <c r="BA14" s="2250"/>
      <c r="BB14" s="2250"/>
      <c r="BC14" s="2250"/>
      <c r="BD14" s="2250"/>
      <c r="BE14" s="2250"/>
      <c r="BF14" s="2250"/>
      <c r="BG14" s="2250"/>
      <c r="BH14" s="2250"/>
      <c r="BI14" s="2250"/>
      <c r="BJ14" s="2250"/>
      <c r="BK14" s="2250"/>
      <c r="BL14" s="2250"/>
      <c r="BM14" s="2250"/>
      <c r="BN14" s="2250"/>
      <c r="BO14" s="2250"/>
    </row>
    <row r="15" spans="1:67" s="2008" customFormat="1" ht="28.8">
      <c r="A15" s="2282" t="s">
        <v>1998</v>
      </c>
      <c r="B15" s="2278" t="s">
        <v>1997</v>
      </c>
      <c r="C15" s="2283" t="s">
        <v>1999</v>
      </c>
      <c r="D15" s="1040"/>
      <c r="E15" s="1037"/>
      <c r="F15" s="72"/>
      <c r="G15" s="73"/>
      <c r="H15" s="1231"/>
      <c r="I15" s="1231"/>
      <c r="J15" s="1231"/>
      <c r="K15" s="1232">
        <f>SUMIF('数据-汇总表'!C$19:C$33,A15,'数据-汇总表'!E$19:E$33)</f>
        <v>0</v>
      </c>
      <c r="L15" s="1233"/>
      <c r="M15" s="75"/>
      <c r="N15" s="1234"/>
      <c r="O15" s="75"/>
      <c r="P15" s="76"/>
      <c r="Q15" s="1235"/>
      <c r="R15" s="77"/>
      <c r="S15" s="54"/>
      <c r="T15" s="1423"/>
      <c r="U15" s="719"/>
      <c r="V15" s="1237"/>
      <c r="W15" s="1237"/>
      <c r="X15" s="1238"/>
      <c r="Y15" s="1239"/>
      <c r="Z15" s="1240"/>
      <c r="AA15" s="1241"/>
      <c r="AB15" s="1241"/>
      <c r="AC15" s="1242"/>
      <c r="AD15" s="1238"/>
      <c r="AE15" s="1243"/>
      <c r="AF15" s="55"/>
      <c r="AG15" s="147"/>
      <c r="AH15" s="1243"/>
      <c r="AI15" s="1793"/>
      <c r="AJ15" s="769"/>
      <c r="AK15" s="1244"/>
      <c r="AL15" s="1245"/>
      <c r="AM15" s="1246"/>
      <c r="AN15" s="2245"/>
      <c r="AO15" s="2250"/>
      <c r="AP15" s="2250"/>
      <c r="AQ15" s="2250"/>
      <c r="AR15" s="2250"/>
      <c r="AS15" s="2250"/>
      <c r="AT15" s="2250"/>
      <c r="AU15" s="2250"/>
      <c r="AV15" s="2250"/>
      <c r="AW15" s="2250"/>
      <c r="AX15" s="2250"/>
      <c r="AY15" s="2250"/>
      <c r="AZ15" s="2250"/>
      <c r="BA15" s="2250"/>
      <c r="BB15" s="2250"/>
      <c r="BC15" s="2250"/>
      <c r="BD15" s="2250"/>
      <c r="BE15" s="2250"/>
      <c r="BF15" s="2250"/>
      <c r="BG15" s="2250"/>
      <c r="BH15" s="2250"/>
      <c r="BI15" s="2250"/>
      <c r="BJ15" s="2250"/>
      <c r="BK15" s="2250"/>
      <c r="BL15" s="2250"/>
      <c r="BM15" s="2250"/>
      <c r="BN15" s="2250"/>
      <c r="BO15" s="2250"/>
    </row>
    <row r="16" spans="1:67" s="2008" customFormat="1" ht="15" thickBot="1">
      <c r="A16" s="2284" t="s">
        <v>2000</v>
      </c>
      <c r="B16" s="97"/>
      <c r="C16" s="994"/>
      <c r="D16" s="2285"/>
      <c r="E16" s="97"/>
      <c r="F16" s="97"/>
      <c r="G16" s="98">
        <f>ROUND(SUMPRODUCT(G6:G13,K6:K13)/SUMPRODUCT((G6:G13&gt;0)*(K6:K13)),3)</f>
        <v>0.86899999999999999</v>
      </c>
      <c r="H16" s="99">
        <f>ROUND(SUMPRODUCT(H6:H13,K6:K13)/SUMPRODUCT((H6:H13&gt;0)*(K6:K13)),3)</f>
        <v>4.9000000000000002E-2</v>
      </c>
      <c r="I16" s="100"/>
      <c r="J16" s="100"/>
      <c r="K16" s="101">
        <f>SUM(K6:K15)</f>
        <v>166451.08999999997</v>
      </c>
      <c r="L16" s="102">
        <f>ROUND(M16*10000/SUM(K6:K14),0)</f>
        <v>5567</v>
      </c>
      <c r="M16" s="102">
        <f>SUM(M6:M14)</f>
        <v>92658</v>
      </c>
      <c r="N16" s="103">
        <f>ROUND(SUMPRODUCT(M6:M14,N6:N14)/M16,3)</f>
        <v>0.95</v>
      </c>
      <c r="O16" s="102">
        <f>SUM(O6:O14)</f>
        <v>0</v>
      </c>
      <c r="P16" s="102">
        <f>SUM(P6:P14)</f>
        <v>0</v>
      </c>
      <c r="Q16" s="104">
        <f>ROUND(SUMPRODUCT(Q6:Q13,K6:K13)/SUMPRODUCT((Q6:Q13&gt;0)*(K6:K13)),2)</f>
        <v>0.16</v>
      </c>
      <c r="R16" s="1236">
        <f ca="1">SUM(R6:R13)</f>
        <v>24409.179999999997</v>
      </c>
      <c r="S16" s="105">
        <f>SUM(S6:S13)</f>
        <v>142.43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5"/>
      <c r="AO16" s="2250"/>
      <c r="AP16" s="2250"/>
      <c r="AQ16" s="2250"/>
      <c r="AR16" s="2250"/>
      <c r="AS16" s="2250"/>
      <c r="AT16" s="2250"/>
      <c r="AU16" s="2250"/>
      <c r="AV16" s="2250"/>
      <c r="AW16" s="2250"/>
      <c r="AX16" s="2250"/>
      <c r="AY16" s="2250"/>
      <c r="AZ16" s="2250"/>
      <c r="BA16" s="2250"/>
      <c r="BB16" s="2250"/>
      <c r="BC16" s="2250"/>
      <c r="BD16" s="2250"/>
      <c r="BE16" s="2250"/>
      <c r="BF16" s="2250"/>
      <c r="BG16" s="2250"/>
      <c r="BH16" s="2250"/>
      <c r="BI16" s="2250"/>
      <c r="BJ16" s="2250"/>
      <c r="BK16" s="2250"/>
      <c r="BL16" s="2250"/>
      <c r="BM16" s="2250"/>
      <c r="BN16" s="2250"/>
      <c r="BO16" s="2250"/>
    </row>
    <row r="17" spans="1:67" ht="13.8" thickBot="1">
      <c r="A17" s="2286"/>
      <c r="B17" s="728"/>
      <c r="C17" s="1560"/>
      <c r="D17" s="2244"/>
      <c r="E17" s="2244"/>
      <c r="F17" s="1560"/>
      <c r="G17" s="1560"/>
      <c r="H17" s="1560"/>
      <c r="I17" s="1560"/>
      <c r="J17" s="1560"/>
      <c r="K17" s="168"/>
      <c r="L17" s="168"/>
      <c r="M17" s="1560"/>
      <c r="N17" s="1560"/>
      <c r="O17" s="1560"/>
      <c r="P17" s="1560"/>
      <c r="Q17" s="1560"/>
      <c r="R17" s="1560"/>
      <c r="S17" s="1560"/>
      <c r="T17" s="1560"/>
      <c r="U17" s="1560"/>
      <c r="V17" s="1560"/>
      <c r="W17" s="1560"/>
      <c r="X17" s="1560"/>
      <c r="Y17" s="1560"/>
      <c r="Z17" s="1560"/>
      <c r="AA17" s="1560"/>
      <c r="AB17" s="1560"/>
      <c r="AC17" s="1560"/>
      <c r="AD17" s="1560"/>
      <c r="AE17" s="1560"/>
      <c r="AF17" s="1560"/>
      <c r="AG17" s="1560"/>
      <c r="AH17" s="1560"/>
      <c r="AI17" s="1560"/>
      <c r="AJ17" s="1560"/>
      <c r="AK17" s="1560"/>
      <c r="AL17" s="1560"/>
      <c r="AM17" s="1560"/>
    </row>
    <row r="18" spans="1:67" ht="15" thickBot="1">
      <c r="A18" s="68" t="s">
        <v>2001</v>
      </c>
      <c r="B18" s="2251"/>
      <c r="C18" s="2248"/>
      <c r="D18" s="2249"/>
      <c r="E18" s="2248"/>
      <c r="F18" s="2248"/>
      <c r="G18" s="2248"/>
      <c r="H18" s="2248"/>
      <c r="I18" s="2248"/>
      <c r="J18" s="2248"/>
      <c r="K18" s="168"/>
      <c r="L18" s="168"/>
      <c r="M18" s="1560"/>
      <c r="N18" s="1560"/>
      <c r="O18" s="1560"/>
      <c r="P18" s="1560"/>
      <c r="Q18" s="1560"/>
      <c r="R18" s="1560"/>
      <c r="S18" s="1560"/>
      <c r="T18" s="1560"/>
      <c r="U18" s="1560"/>
      <c r="V18" s="1560"/>
      <c r="W18" s="1560"/>
      <c r="X18" s="1560"/>
      <c r="Y18" s="1560"/>
      <c r="Z18" s="1560"/>
      <c r="AA18" s="1560"/>
      <c r="AB18" s="1560"/>
      <c r="AC18" s="1560"/>
      <c r="AD18" s="1560"/>
      <c r="AE18" s="1560"/>
      <c r="AF18" s="1560"/>
      <c r="AG18" s="1560"/>
      <c r="AH18" s="1560"/>
      <c r="AI18" s="1560"/>
      <c r="AJ18" s="1560"/>
      <c r="AK18" s="1560"/>
      <c r="AL18" s="1560"/>
      <c r="AM18" s="1560"/>
    </row>
    <row r="19" spans="1:67" ht="14.4">
      <c r="A19" s="2287" t="s">
        <v>2002</v>
      </c>
      <c r="B19" s="112">
        <v>0</v>
      </c>
      <c r="C19" s="2248" t="s">
        <v>2003</v>
      </c>
      <c r="D19" s="2249"/>
      <c r="E19" s="2248"/>
      <c r="F19" s="2248"/>
      <c r="G19" s="2248"/>
      <c r="H19" s="2248"/>
      <c r="I19" s="2248"/>
      <c r="J19" s="2248"/>
      <c r="K19" s="168"/>
      <c r="L19" s="168"/>
      <c r="M19" s="1560"/>
      <c r="N19" s="1560"/>
      <c r="O19" s="1560"/>
      <c r="P19" s="1560"/>
      <c r="Q19" s="1560"/>
      <c r="R19" s="1560"/>
      <c r="S19" s="1560"/>
      <c r="T19" s="1560"/>
      <c r="U19" s="1560"/>
      <c r="V19" s="1560"/>
      <c r="W19" s="1560"/>
      <c r="X19" s="3435" t="s">
        <v>3520</v>
      </c>
      <c r="Y19" s="3435" t="s">
        <v>3519</v>
      </c>
      <c r="Z19" s="1560">
        <v>4.5</v>
      </c>
      <c r="AA19" s="1560"/>
      <c r="AB19" s="1560"/>
      <c r="AC19" s="1560"/>
      <c r="AD19" s="1560"/>
      <c r="AE19" s="1560"/>
      <c r="AF19" s="1560"/>
      <c r="AG19" s="1560"/>
      <c r="AH19" s="1560"/>
      <c r="AI19" s="1560"/>
      <c r="AJ19" s="1560"/>
      <c r="AK19" s="1560"/>
      <c r="AL19" s="1560"/>
      <c r="AM19" s="1560"/>
    </row>
    <row r="20" spans="1:67" ht="14.4">
      <c r="A20" s="2288" t="s">
        <v>2004</v>
      </c>
      <c r="B20" s="113">
        <v>3</v>
      </c>
      <c r="C20" s="2248" t="s">
        <v>2005</v>
      </c>
      <c r="D20" s="2249"/>
      <c r="E20" s="2248"/>
      <c r="F20" s="2248"/>
      <c r="G20" s="2248"/>
      <c r="H20" s="2248"/>
      <c r="I20" s="2248"/>
      <c r="J20" s="2248"/>
      <c r="K20" s="168"/>
      <c r="L20" s="168"/>
      <c r="M20" s="1560"/>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c r="AL20" s="1560"/>
      <c r="AM20" s="1560"/>
    </row>
    <row r="21" spans="1:67" ht="14.4">
      <c r="A21" s="2289" t="s">
        <v>2006</v>
      </c>
      <c r="B21" s="113">
        <f>B20</f>
        <v>3</v>
      </c>
      <c r="C21" s="2248"/>
      <c r="D21" s="2249"/>
      <c r="E21" s="2248"/>
      <c r="F21" s="2248"/>
      <c r="G21" s="2248"/>
      <c r="H21" s="2248"/>
      <c r="I21" s="2248"/>
      <c r="J21" s="2248"/>
      <c r="K21" s="168"/>
      <c r="L21" s="168"/>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1560"/>
    </row>
    <row r="22" spans="1:67" ht="14.4">
      <c r="A22" s="2288" t="s">
        <v>2007</v>
      </c>
      <c r="B22" s="114">
        <f>B19+B20</f>
        <v>3</v>
      </c>
      <c r="C22" s="2248"/>
      <c r="D22" s="2249"/>
      <c r="E22" s="2248"/>
      <c r="F22" s="2248"/>
      <c r="G22" s="2248"/>
      <c r="H22" s="2248"/>
      <c r="I22" s="2248"/>
      <c r="J22" s="2248"/>
      <c r="K22" s="168"/>
      <c r="L22" s="168"/>
      <c r="M22" s="1560"/>
      <c r="N22" s="1560"/>
      <c r="O22" s="1560"/>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1560"/>
      <c r="AM22" s="1560"/>
    </row>
    <row r="23" spans="1:67" ht="14.4">
      <c r="A23" s="2289" t="s">
        <v>2008</v>
      </c>
      <c r="B23" s="114">
        <f>B19+B21</f>
        <v>3</v>
      </c>
      <c r="C23" s="2248"/>
      <c r="D23" s="2249"/>
      <c r="E23" s="2248"/>
      <c r="F23" s="2248"/>
      <c r="G23" s="2248"/>
      <c r="H23" s="2248"/>
      <c r="I23" s="2248"/>
      <c r="J23" s="2248"/>
      <c r="K23" s="168"/>
      <c r="L23" s="168"/>
      <c r="M23" s="1560"/>
      <c r="N23" s="1742"/>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c r="AL23" s="1560"/>
      <c r="AM23" s="1560"/>
    </row>
    <row r="24" spans="1:67" ht="15" thickBot="1">
      <c r="A24" s="2290" t="s">
        <v>2009</v>
      </c>
      <c r="B24" s="115">
        <f>B20-B21</f>
        <v>0</v>
      </c>
      <c r="C24" s="2248"/>
      <c r="D24" s="2249"/>
      <c r="E24" s="2248"/>
      <c r="F24" s="2248"/>
      <c r="G24" s="2248"/>
      <c r="H24" s="2248"/>
      <c r="I24" s="2248"/>
      <c r="J24" s="2248"/>
      <c r="K24" s="168"/>
      <c r="L24" s="168"/>
      <c r="M24" s="1560"/>
      <c r="N24" s="1560"/>
      <c r="O24" s="1560"/>
      <c r="P24" s="1560"/>
      <c r="Q24" s="1560"/>
      <c r="R24" s="1560"/>
      <c r="S24" s="1560"/>
      <c r="T24" s="1560"/>
      <c r="U24" s="1560"/>
      <c r="V24" s="1560"/>
      <c r="W24" s="1560"/>
      <c r="X24" s="1560"/>
      <c r="Y24" s="1560"/>
      <c r="Z24" s="1560"/>
      <c r="AA24" s="1560"/>
      <c r="AB24" s="1560"/>
      <c r="AC24" s="1560"/>
      <c r="AD24" s="1560"/>
      <c r="AE24" s="1560"/>
      <c r="AF24" s="1560"/>
      <c r="AG24" s="1560"/>
      <c r="AH24" s="1560"/>
      <c r="AI24" s="1560"/>
      <c r="AJ24" s="1560"/>
      <c r="AK24" s="1560"/>
      <c r="AL24" s="1560"/>
      <c r="AM24" s="1560"/>
    </row>
    <row r="25" spans="1:67" ht="14.4" thickBot="1">
      <c r="A25" s="2006"/>
      <c r="B25" s="2251"/>
      <c r="C25" s="2248"/>
      <c r="D25" s="2249"/>
      <c r="E25" s="2248"/>
      <c r="F25" s="2248"/>
      <c r="G25" s="2248"/>
      <c r="H25" s="2248"/>
      <c r="I25" s="2248"/>
      <c r="J25" s="2248"/>
      <c r="K25" s="168"/>
      <c r="L25" s="168"/>
      <c r="M25" s="1560"/>
      <c r="N25" s="1560"/>
      <c r="O25" s="1560"/>
      <c r="P25" s="1560"/>
      <c r="Q25" s="1560"/>
      <c r="R25" s="1560"/>
      <c r="S25" s="1560"/>
      <c r="T25" s="1560"/>
      <c r="U25" s="1560"/>
      <c r="V25" s="1560"/>
      <c r="W25" s="1560"/>
      <c r="X25" s="1560"/>
      <c r="Y25" s="1560"/>
      <c r="Z25" s="1560"/>
      <c r="AA25" s="1560"/>
      <c r="AB25" s="1560"/>
      <c r="AC25" s="1560"/>
      <c r="AD25" s="1560"/>
      <c r="AE25" s="1560"/>
      <c r="AF25" s="1560"/>
      <c r="AG25" s="1560"/>
      <c r="AH25" s="1560"/>
      <c r="AI25" s="1560"/>
      <c r="AJ25" s="1560"/>
      <c r="AK25" s="1560"/>
      <c r="AL25" s="1560"/>
      <c r="AM25" s="1560"/>
    </row>
    <row r="26" spans="1:67" ht="15" thickBot="1">
      <c r="A26" s="2247" t="s">
        <v>2010</v>
      </c>
      <c r="B26" s="2291" t="s">
        <v>2011</v>
      </c>
      <c r="C26" s="2292" t="s">
        <v>2012</v>
      </c>
      <c r="D26" s="2249"/>
      <c r="E26" s="2248"/>
      <c r="F26" s="2248"/>
      <c r="G26" s="2248"/>
      <c r="H26" s="2248"/>
      <c r="I26" s="2248"/>
      <c r="J26" s="2248"/>
      <c r="K26" s="168"/>
      <c r="L26" s="168"/>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560"/>
      <c r="AM26" s="1560"/>
    </row>
    <row r="27" spans="1:67" s="2295" customFormat="1" ht="28.8">
      <c r="A27" s="2293" t="s">
        <v>2013</v>
      </c>
      <c r="B27" s="116">
        <v>220</v>
      </c>
      <c r="C27" s="1743" t="s">
        <v>2014</v>
      </c>
      <c r="D27" s="2294"/>
      <c r="E27" s="1407"/>
      <c r="F27" s="1407"/>
      <c r="G27" s="2248"/>
      <c r="H27" s="2248"/>
      <c r="I27" s="2248"/>
      <c r="J27" s="2248"/>
      <c r="K27" s="168"/>
      <c r="L27" s="168"/>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560"/>
      <c r="AM27" s="1560"/>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295" customFormat="1" ht="28.8">
      <c r="A28" s="2296" t="s">
        <v>2015</v>
      </c>
      <c r="B28" s="119">
        <v>220</v>
      </c>
      <c r="C28" s="2297"/>
      <c r="D28" s="2294"/>
      <c r="E28" s="1407"/>
      <c r="F28" s="1407"/>
      <c r="G28" s="2248"/>
      <c r="H28" s="2248"/>
      <c r="I28" s="2248"/>
      <c r="J28" s="2248"/>
      <c r="K28" s="168"/>
      <c r="L28" s="168"/>
      <c r="M28" s="1560"/>
      <c r="N28" s="1560"/>
      <c r="O28" s="1560"/>
      <c r="P28" s="1560"/>
      <c r="Q28" s="1560"/>
      <c r="R28" s="1560"/>
      <c r="S28" s="1560"/>
      <c r="T28" s="1560"/>
      <c r="U28" s="1560"/>
      <c r="V28" s="1560"/>
      <c r="W28" s="1560"/>
      <c r="X28" s="1560"/>
      <c r="Y28" s="1560"/>
      <c r="Z28" s="1560"/>
      <c r="AA28" s="1560"/>
      <c r="AB28" s="1560"/>
      <c r="AC28" s="1560"/>
      <c r="AD28" s="1560"/>
      <c r="AE28" s="1560"/>
      <c r="AF28" s="1560"/>
      <c r="AG28" s="1560"/>
      <c r="AH28" s="1560"/>
      <c r="AI28" s="1560"/>
      <c r="AJ28" s="1560"/>
      <c r="AK28" s="1560"/>
      <c r="AL28" s="1560"/>
      <c r="AM28" s="1560"/>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295" customFormat="1" ht="29.4" thickBot="1">
      <c r="A29" s="2298" t="s">
        <v>2016</v>
      </c>
      <c r="B29" s="121">
        <f>ROUND(B28*K16/10000,0)</f>
        <v>3662</v>
      </c>
      <c r="C29" s="1743" t="s">
        <v>2017</v>
      </c>
      <c r="D29" s="2294"/>
      <c r="E29" s="1407"/>
      <c r="F29" s="1407"/>
      <c r="G29" s="2248"/>
      <c r="H29" s="2248"/>
      <c r="I29" s="2248"/>
      <c r="J29" s="2248"/>
      <c r="K29" s="168"/>
      <c r="L29" s="168"/>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560"/>
      <c r="AM29" s="1560"/>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295" customFormat="1" ht="28.8">
      <c r="A30" s="2299" t="s">
        <v>2018</v>
      </c>
      <c r="B30" s="720">
        <v>200</v>
      </c>
      <c r="C30" s="2297"/>
      <c r="D30" s="2294"/>
      <c r="E30" s="1407"/>
      <c r="F30" s="1407"/>
      <c r="G30" s="2248"/>
      <c r="H30" s="2248"/>
      <c r="I30" s="2248"/>
      <c r="J30" s="2248"/>
      <c r="K30" s="168"/>
      <c r="L30" s="168"/>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560"/>
      <c r="AM30" s="1560"/>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295" customFormat="1" ht="28.8">
      <c r="A31" s="2296" t="s">
        <v>2019</v>
      </c>
      <c r="B31" s="120">
        <f>B30-B32</f>
        <v>200</v>
      </c>
      <c r="C31" s="1743"/>
      <c r="D31" s="2294"/>
      <c r="E31" s="1407"/>
      <c r="F31" s="1407"/>
      <c r="G31" s="2248"/>
      <c r="H31" s="2248"/>
      <c r="I31" s="2248"/>
      <c r="J31" s="2248"/>
      <c r="K31" s="168"/>
      <c r="L31" s="168"/>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560"/>
      <c r="AM31" s="1560"/>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295" customFormat="1" ht="29.4" thickBot="1">
      <c r="A32" s="2300" t="s">
        <v>2020</v>
      </c>
      <c r="B32" s="721">
        <v>0</v>
      </c>
      <c r="C32" s="2297"/>
      <c r="D32" s="2249"/>
      <c r="E32" s="2248"/>
      <c r="F32" s="2248"/>
      <c r="G32" s="2248"/>
      <c r="H32" s="2248"/>
      <c r="I32" s="2248"/>
      <c r="J32" s="2248"/>
      <c r="K32" s="168"/>
      <c r="L32" s="168"/>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560"/>
      <c r="AM32" s="1560"/>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295" customFormat="1" ht="14.4">
      <c r="A33" s="2293" t="s">
        <v>2021</v>
      </c>
      <c r="B33" s="722">
        <v>0.05</v>
      </c>
      <c r="C33" s="1742" t="s">
        <v>2022</v>
      </c>
      <c r="D33" s="2249"/>
      <c r="E33" s="2248"/>
      <c r="F33" s="2248"/>
      <c r="G33" s="2248"/>
      <c r="H33" s="2248"/>
      <c r="I33" s="2248"/>
      <c r="J33" s="2248"/>
      <c r="K33" s="168"/>
      <c r="L33" s="168"/>
      <c r="M33" s="1560"/>
      <c r="N33" s="1560"/>
      <c r="O33" s="1560"/>
      <c r="P33" s="1560"/>
      <c r="Q33" s="1560"/>
      <c r="R33" s="1560"/>
      <c r="S33" s="1560"/>
      <c r="T33" s="1560"/>
      <c r="U33" s="1560"/>
      <c r="V33" s="1560"/>
      <c r="W33" s="1560"/>
      <c r="X33" s="1560"/>
      <c r="Y33" s="1560"/>
      <c r="Z33" s="1560"/>
      <c r="AA33" s="1560"/>
      <c r="AB33" s="1560"/>
      <c r="AC33" s="1560"/>
      <c r="AD33" s="1560"/>
      <c r="AE33" s="1560"/>
      <c r="AF33" s="1560"/>
      <c r="AG33" s="1560"/>
      <c r="AH33" s="1560"/>
      <c r="AI33" s="1560"/>
      <c r="AJ33" s="1560"/>
      <c r="AK33" s="1560"/>
      <c r="AL33" s="1560"/>
      <c r="AM33" s="1560"/>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295" customFormat="1" ht="14.4">
      <c r="A34" s="2296" t="s">
        <v>2023</v>
      </c>
      <c r="B34" s="122">
        <v>0</v>
      </c>
      <c r="C34" s="1742" t="s">
        <v>2024</v>
      </c>
      <c r="D34" s="2249" t="s">
        <v>2025</v>
      </c>
      <c r="E34" s="728"/>
      <c r="F34" s="2248"/>
      <c r="G34" s="2248"/>
      <c r="H34" s="2248"/>
      <c r="I34" s="2248"/>
      <c r="J34" s="2248"/>
      <c r="K34" s="168"/>
      <c r="L34" s="168"/>
      <c r="M34" s="1560"/>
      <c r="N34" s="1560"/>
      <c r="O34" s="1560"/>
      <c r="P34" s="1560"/>
      <c r="Q34" s="1560"/>
      <c r="R34" s="1560"/>
      <c r="S34" s="1560"/>
      <c r="T34" s="1560"/>
      <c r="U34" s="1560"/>
      <c r="V34" s="1560"/>
      <c r="W34" s="1560"/>
      <c r="X34" s="1560"/>
      <c r="Y34" s="1560"/>
      <c r="Z34" s="1560"/>
      <c r="AA34" s="1560"/>
      <c r="AB34" s="1560"/>
      <c r="AC34" s="1560"/>
      <c r="AD34" s="1560"/>
      <c r="AE34" s="1560"/>
      <c r="AF34" s="1560"/>
      <c r="AG34" s="1560"/>
      <c r="AH34" s="1560"/>
      <c r="AI34" s="1560"/>
      <c r="AJ34" s="1560"/>
      <c r="AK34" s="1560"/>
      <c r="AL34" s="1560"/>
      <c r="AM34" s="1560"/>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295" customFormat="1" ht="14.4">
      <c r="A35" s="2296" t="s">
        <v>2026</v>
      </c>
      <c r="B35" s="119">
        <v>200</v>
      </c>
      <c r="C35" s="1742" t="s">
        <v>2027</v>
      </c>
      <c r="D35" s="2294"/>
      <c r="E35" s="1407"/>
      <c r="F35" s="1407"/>
      <c r="G35" s="2248"/>
      <c r="H35" s="2248"/>
      <c r="I35" s="2248"/>
      <c r="J35" s="2248"/>
      <c r="K35" s="168"/>
      <c r="L35" s="168"/>
      <c r="M35" s="1560"/>
      <c r="N35" s="1560"/>
      <c r="O35" s="1560"/>
      <c r="P35" s="1560"/>
      <c r="Q35" s="1560"/>
      <c r="R35" s="1560"/>
      <c r="S35" s="1560"/>
      <c r="T35" s="1560"/>
      <c r="U35" s="1560"/>
      <c r="V35" s="1560"/>
      <c r="W35" s="1560"/>
      <c r="X35" s="1560"/>
      <c r="Y35" s="1560"/>
      <c r="Z35" s="1560"/>
      <c r="AA35" s="1560"/>
      <c r="AB35" s="1560"/>
      <c r="AC35" s="1560"/>
      <c r="AD35" s="1560"/>
      <c r="AE35" s="1560"/>
      <c r="AF35" s="1560"/>
      <c r="AG35" s="1560"/>
      <c r="AH35" s="1560"/>
      <c r="AI35" s="1560"/>
      <c r="AJ35" s="1560"/>
      <c r="AK35" s="1560"/>
      <c r="AL35" s="1560"/>
      <c r="AM35" s="1560"/>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298" t="s">
        <v>2028</v>
      </c>
      <c r="B36" s="123">
        <v>1.4999999999999999E-2</v>
      </c>
      <c r="C36" s="1742" t="s">
        <v>2029</v>
      </c>
      <c r="D36" s="2249"/>
      <c r="E36" s="2248"/>
      <c r="F36" s="2248"/>
      <c r="G36" s="2248"/>
      <c r="H36" s="2248"/>
      <c r="I36" s="2248"/>
      <c r="J36" s="2248"/>
      <c r="K36" s="168"/>
      <c r="L36" s="168"/>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row>
    <row r="37" spans="1:67" ht="14.4">
      <c r="A37" s="2299" t="s">
        <v>2030</v>
      </c>
      <c r="B37" s="124">
        <v>0.02</v>
      </c>
      <c r="C37" s="1742" t="s">
        <v>2031</v>
      </c>
      <c r="D37" s="2249"/>
      <c r="E37" s="2248"/>
      <c r="F37" s="2248"/>
      <c r="G37" s="2248"/>
      <c r="H37" s="2248"/>
      <c r="I37" s="2248"/>
      <c r="J37" s="2248"/>
      <c r="K37" s="168"/>
      <c r="L37" s="168"/>
      <c r="M37" s="1560"/>
      <c r="N37" s="1560"/>
      <c r="O37" s="1560"/>
      <c r="P37" s="1560"/>
      <c r="Q37" s="1560"/>
      <c r="R37" s="1560"/>
      <c r="S37" s="1560"/>
      <c r="T37" s="1560"/>
      <c r="U37" s="1560"/>
      <c r="V37" s="1560"/>
      <c r="W37" s="1560"/>
      <c r="X37" s="1560"/>
      <c r="Y37" s="1560"/>
      <c r="Z37" s="1560"/>
      <c r="AA37" s="1560"/>
      <c r="AB37" s="1560"/>
      <c r="AC37" s="1560"/>
      <c r="AD37" s="1560"/>
      <c r="AE37" s="1560"/>
      <c r="AF37" s="1560"/>
      <c r="AG37" s="1560"/>
      <c r="AH37" s="1560"/>
      <c r="AI37" s="1560"/>
      <c r="AJ37" s="1560"/>
      <c r="AK37" s="1560"/>
      <c r="AL37" s="1560"/>
      <c r="AM37" s="1560"/>
    </row>
    <row r="38" spans="1:67" ht="14.4">
      <c r="A38" s="2296" t="s">
        <v>2032</v>
      </c>
      <c r="B38" s="122">
        <v>0.02</v>
      </c>
      <c r="C38" s="1742" t="s">
        <v>2031</v>
      </c>
      <c r="D38" s="2249"/>
      <c r="E38" s="2248"/>
      <c r="F38" s="2248"/>
      <c r="G38" s="2248"/>
      <c r="H38" s="2248"/>
      <c r="I38" s="2248"/>
      <c r="J38" s="2248"/>
      <c r="K38" s="168"/>
      <c r="L38" s="168"/>
      <c r="M38" s="1560"/>
      <c r="N38" s="1560"/>
      <c r="O38" s="1560"/>
      <c r="P38" s="1560"/>
      <c r="Q38" s="1560"/>
      <c r="R38" s="1560"/>
      <c r="S38" s="1560"/>
      <c r="T38" s="1560"/>
      <c r="U38" s="1560"/>
      <c r="V38" s="1560"/>
      <c r="W38" s="1560"/>
      <c r="X38" s="1560"/>
      <c r="Y38" s="1560"/>
      <c r="Z38" s="1560"/>
      <c r="AA38" s="1560"/>
      <c r="AB38" s="1560"/>
      <c r="AC38" s="1560"/>
      <c r="AD38" s="1560"/>
      <c r="AE38" s="1560"/>
      <c r="AF38" s="1560"/>
      <c r="AG38" s="1560"/>
      <c r="AH38" s="1560"/>
      <c r="AI38" s="1560"/>
      <c r="AJ38" s="1560"/>
      <c r="AK38" s="1560"/>
      <c r="AL38" s="1560"/>
      <c r="AM38" s="1560"/>
    </row>
    <row r="39" spans="1:67" ht="14.4">
      <c r="A39" s="2300" t="s">
        <v>2033</v>
      </c>
      <c r="B39" s="362">
        <f ca="1">存贷款利率!I1</f>
        <v>1.4999999999999999E-2</v>
      </c>
      <c r="C39" s="1742"/>
      <c r="D39" s="2249"/>
      <c r="E39" s="2248"/>
      <c r="F39" s="2248"/>
      <c r="G39" s="2248"/>
      <c r="H39" s="2248"/>
      <c r="I39" s="2248"/>
      <c r="J39" s="2248"/>
      <c r="K39" s="168"/>
      <c r="L39" s="168"/>
      <c r="M39" s="1560"/>
      <c r="N39" s="1560"/>
      <c r="O39" s="1560"/>
      <c r="P39" s="1560"/>
      <c r="Q39" s="1560"/>
      <c r="R39" s="1560"/>
      <c r="S39" s="1560"/>
      <c r="T39" s="1560"/>
      <c r="U39" s="1560"/>
      <c r="V39" s="1560"/>
      <c r="W39" s="1560"/>
      <c r="X39" s="1560"/>
      <c r="Y39" s="1560"/>
      <c r="Z39" s="1560"/>
      <c r="AA39" s="1560"/>
      <c r="AB39" s="1560"/>
      <c r="AC39" s="1560"/>
      <c r="AD39" s="1560"/>
      <c r="AE39" s="1560"/>
      <c r="AF39" s="1560"/>
      <c r="AG39" s="1560"/>
      <c r="AH39" s="1560"/>
      <c r="AI39" s="1560"/>
      <c r="AJ39" s="1560"/>
      <c r="AK39" s="1560"/>
      <c r="AL39" s="1560"/>
      <c r="AM39" s="1560"/>
    </row>
    <row r="40" spans="1:67" ht="15" thickBot="1">
      <c r="A40" s="2300" t="s">
        <v>2034</v>
      </c>
      <c r="B40" s="1281">
        <f ca="1">存贷款利率!G1</f>
        <v>4.7500000000000001E-2</v>
      </c>
      <c r="C40" s="1742" t="s">
        <v>2035</v>
      </c>
      <c r="D40" s="1560"/>
      <c r="E40" s="2249"/>
      <c r="F40" s="2248"/>
      <c r="G40" s="2248"/>
      <c r="H40" s="2248"/>
      <c r="I40" s="2248"/>
      <c r="J40" s="2248"/>
      <c r="K40" s="168"/>
      <c r="L40" s="168"/>
      <c r="M40" s="1560"/>
      <c r="N40" s="1560"/>
      <c r="O40" s="1560"/>
      <c r="P40" s="1560"/>
      <c r="Q40" s="1560"/>
      <c r="R40" s="1560"/>
      <c r="S40" s="1560"/>
      <c r="T40" s="1560"/>
      <c r="U40" s="1560"/>
      <c r="V40" s="1560"/>
      <c r="W40" s="1560"/>
      <c r="X40" s="1560"/>
      <c r="Y40" s="1560"/>
      <c r="Z40" s="1560"/>
      <c r="AA40" s="1560"/>
      <c r="AB40" s="1560"/>
      <c r="AC40" s="1560"/>
      <c r="AD40" s="1560"/>
      <c r="AE40" s="1560"/>
      <c r="AF40" s="1560"/>
      <c r="AG40" s="1560"/>
      <c r="AH40" s="1560"/>
      <c r="AI40" s="1560"/>
      <c r="AJ40" s="1560"/>
      <c r="AK40" s="1560"/>
      <c r="AL40" s="1560"/>
      <c r="AM40" s="1560"/>
    </row>
    <row r="41" spans="1:67" ht="14.4">
      <c r="A41" s="2293" t="s">
        <v>2036</v>
      </c>
      <c r="B41" s="125">
        <f>B42+B43</f>
        <v>5.6000000000000001E-2</v>
      </c>
      <c r="C41" s="1743"/>
      <c r="D41" s="1560"/>
      <c r="E41" s="2249"/>
      <c r="F41" s="2248"/>
      <c r="G41" s="2248"/>
      <c r="H41" s="2248"/>
      <c r="I41" s="2248"/>
      <c r="J41" s="2248"/>
      <c r="K41" s="168"/>
      <c r="L41" s="168"/>
      <c r="M41" s="1560"/>
      <c r="N41" s="1560"/>
      <c r="O41" s="1560"/>
      <c r="P41" s="1560"/>
      <c r="Q41" s="1560"/>
      <c r="R41" s="1560"/>
      <c r="S41" s="1560"/>
      <c r="T41" s="1560"/>
      <c r="U41" s="1560"/>
      <c r="V41" s="1560"/>
      <c r="W41" s="1560"/>
      <c r="X41" s="1560"/>
      <c r="Y41" s="1560"/>
      <c r="Z41" s="1560"/>
      <c r="AA41" s="1560"/>
      <c r="AB41" s="1560"/>
      <c r="AC41" s="1560"/>
      <c r="AD41" s="1560"/>
      <c r="AE41" s="1560"/>
      <c r="AF41" s="1560"/>
      <c r="AG41" s="1560"/>
      <c r="AH41" s="1560"/>
      <c r="AI41" s="1560"/>
      <c r="AJ41" s="1560"/>
      <c r="AK41" s="1560"/>
      <c r="AL41" s="1560"/>
      <c r="AM41" s="1560"/>
    </row>
    <row r="42" spans="1:67" ht="14.4">
      <c r="A42" s="2301" t="s">
        <v>2037</v>
      </c>
      <c r="B42" s="126">
        <v>0.05</v>
      </c>
      <c r="C42" s="2302">
        <f>IF(B2&lt;DATE(2016,5,1),0,B42)</f>
        <v>0.05</v>
      </c>
      <c r="D42" s="2249"/>
      <c r="E42" s="2248"/>
      <c r="F42" s="2248"/>
      <c r="G42" s="2248"/>
      <c r="H42" s="2248"/>
      <c r="I42" s="2248"/>
      <c r="J42" s="2248"/>
      <c r="K42" s="168"/>
      <c r="L42" s="168"/>
      <c r="M42" s="1560"/>
      <c r="N42" s="1560"/>
      <c r="O42" s="1560"/>
      <c r="P42" s="1560"/>
      <c r="Q42" s="1560"/>
      <c r="R42" s="1560"/>
      <c r="S42" s="1560"/>
      <c r="T42" s="1560"/>
      <c r="U42" s="1560"/>
      <c r="V42" s="1560"/>
      <c r="W42" s="1560"/>
      <c r="X42" s="1560"/>
      <c r="Y42" s="1560"/>
      <c r="Z42" s="1560"/>
      <c r="AA42" s="1560"/>
      <c r="AB42" s="1560"/>
      <c r="AC42" s="1560"/>
      <c r="AD42" s="1560"/>
      <c r="AE42" s="1560"/>
      <c r="AF42" s="1560"/>
      <c r="AG42" s="1560"/>
      <c r="AH42" s="1560"/>
      <c r="AI42" s="1560"/>
      <c r="AJ42" s="1560"/>
      <c r="AK42" s="1560"/>
      <c r="AL42" s="1560"/>
      <c r="AM42" s="1560"/>
    </row>
    <row r="43" spans="1:67" ht="14.4">
      <c r="A43" s="2301" t="s">
        <v>2038</v>
      </c>
      <c r="B43" s="127">
        <f>B42*(B44+B45+B46)+B47</f>
        <v>6.000000000000001E-3</v>
      </c>
      <c r="C43" s="1743"/>
      <c r="D43" s="2249"/>
      <c r="E43" s="2248"/>
      <c r="F43" s="2248"/>
      <c r="G43" s="2248"/>
      <c r="H43" s="2248"/>
      <c r="I43" s="2248"/>
      <c r="J43" s="2248"/>
      <c r="K43" s="168"/>
      <c r="L43" s="168"/>
      <c r="M43" s="1560"/>
      <c r="N43" s="1560"/>
      <c r="O43" s="1560"/>
      <c r="P43" s="1560"/>
      <c r="Q43" s="1560"/>
      <c r="R43" s="1560"/>
      <c r="S43" s="1560"/>
      <c r="T43" s="1560"/>
      <c r="U43" s="1560"/>
      <c r="V43" s="1560"/>
      <c r="W43" s="1560"/>
      <c r="X43" s="1560"/>
      <c r="Y43" s="1560"/>
      <c r="Z43" s="1560"/>
      <c r="AA43" s="1560"/>
      <c r="AB43" s="1560"/>
      <c r="AC43" s="1560"/>
      <c r="AD43" s="1560"/>
      <c r="AE43" s="1560"/>
      <c r="AF43" s="1560"/>
      <c r="AG43" s="1560"/>
      <c r="AH43" s="1560"/>
      <c r="AI43" s="1560"/>
      <c r="AJ43" s="1560"/>
      <c r="AK43" s="1560"/>
      <c r="AL43" s="1560"/>
      <c r="AM43" s="1560"/>
    </row>
    <row r="44" spans="1:67" ht="14.4">
      <c r="A44" s="2303" t="s">
        <v>2039</v>
      </c>
      <c r="B44" s="128">
        <v>7.0000000000000007E-2</v>
      </c>
      <c r="C44" s="1742" t="s">
        <v>2040</v>
      </c>
      <c r="D44" s="2249"/>
      <c r="E44" s="2248"/>
      <c r="F44" s="2248"/>
      <c r="G44" s="2248"/>
      <c r="H44" s="2248"/>
      <c r="I44" s="2248"/>
      <c r="J44" s="2248"/>
      <c r="K44" s="168"/>
      <c r="L44" s="168"/>
      <c r="M44" s="1560"/>
      <c r="N44" s="1560"/>
      <c r="O44" s="1560"/>
      <c r="P44" s="1560"/>
      <c r="Q44" s="1560"/>
      <c r="R44" s="1560"/>
      <c r="S44" s="1560"/>
      <c r="T44" s="1560"/>
      <c r="U44" s="1560"/>
      <c r="V44" s="1560"/>
      <c r="W44" s="1560"/>
      <c r="X44" s="1560"/>
      <c r="Y44" s="1560"/>
      <c r="Z44" s="1560"/>
      <c r="AA44" s="1560"/>
      <c r="AB44" s="1560"/>
      <c r="AC44" s="1560"/>
      <c r="AD44" s="1560"/>
      <c r="AE44" s="1560"/>
      <c r="AF44" s="1560"/>
      <c r="AG44" s="1560"/>
      <c r="AH44" s="1560"/>
      <c r="AI44" s="1560"/>
      <c r="AJ44" s="1560"/>
      <c r="AK44" s="1560"/>
      <c r="AL44" s="1560"/>
      <c r="AM44" s="1560"/>
    </row>
    <row r="45" spans="1:67" ht="14.4">
      <c r="A45" s="2303" t="s">
        <v>2041</v>
      </c>
      <c r="B45" s="126">
        <v>0.03</v>
      </c>
      <c r="C45" s="1743" t="s">
        <v>2042</v>
      </c>
      <c r="D45" s="2249"/>
      <c r="E45" s="2248"/>
      <c r="F45" s="2248"/>
      <c r="G45" s="2248"/>
      <c r="H45" s="2248"/>
      <c r="I45" s="2248"/>
      <c r="J45" s="2248"/>
      <c r="K45" s="168"/>
      <c r="L45" s="168"/>
      <c r="M45" s="1560"/>
      <c r="N45" s="1560"/>
      <c r="O45" s="1560"/>
      <c r="P45" s="1560"/>
      <c r="Q45" s="1560"/>
      <c r="R45" s="1560"/>
      <c r="S45" s="1560"/>
      <c r="T45" s="1560"/>
      <c r="U45" s="1560"/>
      <c r="V45" s="1560"/>
      <c r="W45" s="1560"/>
      <c r="X45" s="1560"/>
      <c r="Y45" s="1560"/>
      <c r="Z45" s="1560"/>
      <c r="AA45" s="1560"/>
      <c r="AB45" s="1560"/>
      <c r="AC45" s="1560"/>
      <c r="AD45" s="1560"/>
      <c r="AE45" s="1560"/>
      <c r="AF45" s="1560"/>
      <c r="AG45" s="1560"/>
      <c r="AH45" s="1560"/>
      <c r="AI45" s="1560"/>
      <c r="AJ45" s="1560"/>
      <c r="AK45" s="1560"/>
      <c r="AL45" s="1560"/>
      <c r="AM45" s="1560"/>
    </row>
    <row r="46" spans="1:67" ht="14.4">
      <c r="A46" s="2303" t="s">
        <v>2043</v>
      </c>
      <c r="B46" s="126">
        <v>0.02</v>
      </c>
      <c r="C46" s="1743" t="s">
        <v>2044</v>
      </c>
      <c r="D46" s="2249"/>
      <c r="E46" s="2248"/>
      <c r="F46" s="2248"/>
      <c r="G46" s="2248"/>
      <c r="H46" s="2248"/>
      <c r="I46" s="2248"/>
      <c r="J46" s="2248"/>
      <c r="K46" s="168"/>
      <c r="L46" s="168"/>
      <c r="M46" s="1560"/>
      <c r="N46" s="1560"/>
      <c r="O46" s="1560"/>
      <c r="P46" s="1560"/>
      <c r="Q46" s="1560"/>
      <c r="R46" s="1560"/>
      <c r="S46" s="1560"/>
      <c r="T46" s="1560"/>
      <c r="U46" s="1560"/>
      <c r="V46" s="1560"/>
      <c r="W46" s="1560"/>
      <c r="X46" s="1560"/>
      <c r="Y46" s="1560"/>
      <c r="Z46" s="1560"/>
      <c r="AA46" s="1560"/>
      <c r="AB46" s="1560"/>
      <c r="AC46" s="1560"/>
      <c r="AD46" s="1560"/>
      <c r="AE46" s="1560"/>
      <c r="AF46" s="1560"/>
      <c r="AG46" s="1560"/>
      <c r="AH46" s="1560"/>
      <c r="AI46" s="1560"/>
      <c r="AJ46" s="1560"/>
      <c r="AK46" s="1560"/>
      <c r="AL46" s="1560"/>
      <c r="AM46" s="1560"/>
    </row>
    <row r="47" spans="1:67" ht="15" thickBot="1">
      <c r="A47" s="2304" t="s">
        <v>2045</v>
      </c>
      <c r="B47" s="129"/>
      <c r="C47" s="1743" t="s">
        <v>2046</v>
      </c>
      <c r="D47" s="2249"/>
      <c r="E47" s="2248"/>
      <c r="F47" s="2248"/>
      <c r="G47" s="2248"/>
      <c r="H47" s="2248"/>
      <c r="I47" s="2248"/>
      <c r="J47" s="2248"/>
      <c r="K47" s="168"/>
      <c r="L47" s="168"/>
      <c r="M47" s="1560"/>
      <c r="N47" s="1560"/>
      <c r="O47" s="1560"/>
      <c r="P47" s="1560"/>
      <c r="Q47" s="1560"/>
      <c r="R47" s="1560"/>
      <c r="S47" s="1560"/>
      <c r="T47" s="1560"/>
      <c r="U47" s="1560"/>
      <c r="V47" s="1560"/>
      <c r="W47" s="1560"/>
      <c r="X47" s="1560"/>
      <c r="Y47" s="1560"/>
      <c r="Z47" s="1560"/>
      <c r="AA47" s="1560"/>
      <c r="AB47" s="1560"/>
      <c r="AC47" s="1560"/>
      <c r="AD47" s="1560"/>
      <c r="AE47" s="1560"/>
      <c r="AF47" s="1560"/>
      <c r="AG47" s="1560"/>
      <c r="AH47" s="1560"/>
      <c r="AI47" s="1560"/>
      <c r="AJ47" s="1560"/>
      <c r="AK47" s="1560"/>
      <c r="AL47" s="1560"/>
      <c r="AM47" s="1560"/>
    </row>
    <row r="48" spans="1:67" ht="14.4">
      <c r="A48" s="2305" t="s">
        <v>2047</v>
      </c>
      <c r="B48" s="130">
        <v>0.03</v>
      </c>
      <c r="C48" s="1749" t="s">
        <v>2048</v>
      </c>
      <c r="D48" s="2249"/>
      <c r="E48" s="2248"/>
      <c r="F48" s="2248"/>
      <c r="G48" s="2248"/>
      <c r="H48" s="2248"/>
      <c r="I48" s="2248"/>
      <c r="J48" s="2248"/>
      <c r="K48" s="168"/>
      <c r="L48" s="168"/>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560"/>
      <c r="AM48" s="1560"/>
    </row>
    <row r="49" spans="1:39" ht="15" thickBot="1">
      <c r="A49" s="2300" t="s">
        <v>2049</v>
      </c>
      <c r="B49" s="126">
        <v>5.0000000000000001E-4</v>
      </c>
      <c r="C49" s="1749" t="s">
        <v>2050</v>
      </c>
      <c r="D49" s="2249"/>
      <c r="E49" s="2248"/>
      <c r="F49" s="2248"/>
      <c r="G49" s="2248"/>
      <c r="H49" s="2248"/>
      <c r="I49" s="2248"/>
      <c r="J49" s="2248"/>
      <c r="K49" s="168"/>
      <c r="L49" s="168"/>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560"/>
      <c r="AM49" s="1560"/>
    </row>
    <row r="50" spans="1:39" ht="14.4">
      <c r="A50" s="2306" t="s">
        <v>2051</v>
      </c>
      <c r="B50" s="131">
        <v>1.2E-2</v>
      </c>
      <c r="C50" s="1407"/>
      <c r="D50" s="2249"/>
      <c r="E50" s="2248"/>
      <c r="F50" s="2248"/>
      <c r="G50" s="2248"/>
      <c r="H50" s="2248"/>
      <c r="I50" s="2248"/>
      <c r="J50" s="2248"/>
      <c r="K50" s="168"/>
      <c r="L50" s="168"/>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560"/>
      <c r="AM50" s="1560"/>
    </row>
    <row r="51" spans="1:39" ht="15" thickBot="1">
      <c r="A51" s="2298" t="s">
        <v>2052</v>
      </c>
      <c r="B51" s="132">
        <v>0.12</v>
      </c>
      <c r="C51" s="1407"/>
      <c r="D51" s="2249"/>
      <c r="E51" s="2248"/>
      <c r="F51" s="2248"/>
      <c r="G51" s="2248"/>
      <c r="H51" s="2248"/>
      <c r="I51" s="2248"/>
      <c r="J51" s="2248"/>
      <c r="K51" s="168"/>
      <c r="L51" s="168"/>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560"/>
      <c r="AM51" s="1560"/>
    </row>
    <row r="52" spans="1:39" ht="14.4">
      <c r="A52" s="2306" t="s">
        <v>2053</v>
      </c>
      <c r="B52" s="133">
        <f>SUMIF(A54:A63,B53,B54:B63)</f>
        <v>30</v>
      </c>
      <c r="C52" s="1407"/>
      <c r="D52" s="2249"/>
      <c r="E52" s="2248"/>
      <c r="F52" s="2248"/>
      <c r="G52" s="2248"/>
      <c r="H52" s="2248"/>
      <c r="I52" s="2248"/>
      <c r="J52" s="2248"/>
      <c r="K52" s="168"/>
      <c r="L52" s="168"/>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560"/>
      <c r="AM52" s="1560"/>
    </row>
    <row r="53" spans="1:39" ht="28.8">
      <c r="A53" s="2296" t="s">
        <v>2054</v>
      </c>
      <c r="B53" s="2307" t="s">
        <v>212</v>
      </c>
      <c r="C53" s="1407" t="s">
        <v>2055</v>
      </c>
      <c r="D53" s="2308" t="s">
        <v>2056</v>
      </c>
      <c r="E53" s="2248"/>
      <c r="F53" s="2248"/>
      <c r="G53" s="2248"/>
      <c r="H53" s="2248"/>
      <c r="I53" s="2248"/>
      <c r="J53" s="2248"/>
      <c r="K53" s="168"/>
      <c r="L53" s="168"/>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1560"/>
      <c r="AM53" s="1560"/>
    </row>
    <row r="54" spans="1:39" ht="14.4">
      <c r="A54" s="2309" t="s">
        <v>2057</v>
      </c>
      <c r="B54" s="84">
        <v>30</v>
      </c>
      <c r="C54" s="1407">
        <v>30</v>
      </c>
      <c r="D54" s="2249"/>
      <c r="E54" s="2248"/>
      <c r="F54" s="2248"/>
      <c r="G54" s="2248"/>
      <c r="H54" s="2248"/>
      <c r="I54" s="2248"/>
      <c r="J54" s="2248"/>
      <c r="K54" s="168"/>
      <c r="L54" s="168"/>
      <c r="M54" s="1560"/>
      <c r="N54" s="1560"/>
      <c r="O54" s="1560"/>
      <c r="P54" s="1560"/>
      <c r="Q54" s="1560"/>
      <c r="R54" s="1560"/>
      <c r="S54" s="1560"/>
      <c r="T54" s="1560"/>
      <c r="U54" s="1560"/>
      <c r="V54" s="1560"/>
      <c r="W54" s="1560"/>
      <c r="X54" s="1560"/>
      <c r="Y54" s="1560"/>
      <c r="Z54" s="1560"/>
      <c r="AA54" s="1560"/>
      <c r="AB54" s="1560"/>
      <c r="AC54" s="1560"/>
      <c r="AD54" s="1560"/>
      <c r="AE54" s="1560"/>
      <c r="AF54" s="1560"/>
      <c r="AG54" s="1560"/>
      <c r="AH54" s="1560"/>
      <c r="AI54" s="1560"/>
      <c r="AJ54" s="1560"/>
      <c r="AK54" s="1560"/>
      <c r="AL54" s="1560"/>
      <c r="AM54" s="1560"/>
    </row>
    <row r="55" spans="1:39" ht="14.4">
      <c r="A55" s="2309" t="s">
        <v>2058</v>
      </c>
      <c r="B55" s="84"/>
      <c r="C55" s="1407">
        <v>24</v>
      </c>
      <c r="D55" s="2249"/>
      <c r="E55" s="2248"/>
      <c r="F55" s="2248"/>
      <c r="G55" s="2248"/>
      <c r="H55" s="2248"/>
      <c r="I55" s="2310"/>
      <c r="J55" s="2248"/>
      <c r="K55" s="168"/>
      <c r="L55" s="168"/>
      <c r="M55" s="1560"/>
      <c r="N55" s="1560"/>
      <c r="O55" s="1560"/>
      <c r="P55" s="1560"/>
      <c r="Q55" s="1560"/>
      <c r="R55" s="1560"/>
      <c r="S55" s="1560"/>
      <c r="T55" s="1560"/>
      <c r="U55" s="1560"/>
      <c r="V55" s="1560"/>
      <c r="W55" s="1560"/>
      <c r="X55" s="1560"/>
      <c r="Y55" s="1560"/>
      <c r="Z55" s="1560"/>
      <c r="AA55" s="1560"/>
      <c r="AB55" s="1560"/>
      <c r="AC55" s="1560"/>
      <c r="AD55" s="1560"/>
      <c r="AE55" s="1560"/>
      <c r="AF55" s="1560"/>
      <c r="AG55" s="1560"/>
      <c r="AH55" s="1560"/>
      <c r="AI55" s="1560"/>
      <c r="AJ55" s="1560"/>
      <c r="AK55" s="1560"/>
      <c r="AL55" s="1560"/>
      <c r="AM55" s="1560"/>
    </row>
    <row r="56" spans="1:39" ht="14.4">
      <c r="A56" s="2309" t="s">
        <v>2059</v>
      </c>
      <c r="B56" s="84"/>
      <c r="C56" s="1407">
        <v>18</v>
      </c>
      <c r="D56" s="2249"/>
      <c r="E56" s="2248"/>
      <c r="F56" s="2248"/>
      <c r="G56" s="2248"/>
      <c r="H56" s="2248"/>
      <c r="I56" s="2248"/>
      <c r="J56" s="2248"/>
      <c r="K56" s="168"/>
      <c r="L56" s="168"/>
      <c r="M56" s="1560"/>
      <c r="N56" s="1560"/>
      <c r="O56" s="1560"/>
      <c r="P56" s="1560"/>
      <c r="Q56" s="1560"/>
      <c r="R56" s="1560"/>
      <c r="S56" s="1560"/>
      <c r="T56" s="1560"/>
      <c r="U56" s="1560"/>
      <c r="V56" s="1560"/>
      <c r="W56" s="1560"/>
      <c r="X56" s="1560"/>
      <c r="Y56" s="1560"/>
      <c r="Z56" s="1560"/>
      <c r="AA56" s="1560"/>
      <c r="AB56" s="1560"/>
      <c r="AC56" s="1560"/>
      <c r="AD56" s="1560"/>
      <c r="AE56" s="1560"/>
      <c r="AF56" s="1560"/>
      <c r="AG56" s="1560"/>
      <c r="AH56" s="1560"/>
      <c r="AI56" s="1560"/>
      <c r="AJ56" s="1560"/>
      <c r="AK56" s="1560"/>
      <c r="AL56" s="1560"/>
      <c r="AM56" s="1560"/>
    </row>
    <row r="57" spans="1:39" ht="14.4">
      <c r="A57" s="2309" t="s">
        <v>2060</v>
      </c>
      <c r="B57" s="84"/>
      <c r="C57" s="1407">
        <v>12</v>
      </c>
      <c r="D57" s="2249"/>
      <c r="E57" s="2248"/>
      <c r="F57" s="2248"/>
      <c r="G57" s="2248"/>
      <c r="H57" s="2248"/>
      <c r="I57" s="2248"/>
      <c r="J57" s="2248"/>
      <c r="K57" s="168"/>
      <c r="L57" s="168"/>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0"/>
      <c r="AI57" s="1560"/>
      <c r="AJ57" s="1560"/>
      <c r="AK57" s="1560"/>
      <c r="AL57" s="1560"/>
      <c r="AM57" s="1560"/>
    </row>
    <row r="58" spans="1:39" ht="14.4">
      <c r="A58" s="2309" t="s">
        <v>2061</v>
      </c>
      <c r="B58" s="84"/>
      <c r="C58" s="1407">
        <v>3</v>
      </c>
      <c r="D58" s="2249"/>
      <c r="E58" s="2248"/>
      <c r="F58" s="2248"/>
      <c r="G58" s="2248"/>
      <c r="H58" s="2248"/>
      <c r="I58" s="2248"/>
      <c r="J58" s="2248"/>
      <c r="K58" s="168"/>
      <c r="L58" s="168"/>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0"/>
      <c r="AI58" s="1560"/>
      <c r="AJ58" s="1560"/>
      <c r="AK58" s="1560"/>
      <c r="AL58" s="1560"/>
      <c r="AM58" s="1560"/>
    </row>
    <row r="59" spans="1:39" ht="14.4">
      <c r="A59" s="2309" t="s">
        <v>2062</v>
      </c>
      <c r="B59" s="84"/>
      <c r="C59" s="1407">
        <v>1.5</v>
      </c>
      <c r="D59" s="2249"/>
      <c r="E59" s="2248"/>
      <c r="F59" s="2248"/>
      <c r="G59" s="2248"/>
      <c r="H59" s="2248"/>
      <c r="I59" s="2248"/>
      <c r="J59" s="2248"/>
      <c r="K59" s="168"/>
      <c r="L59" s="168"/>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0"/>
      <c r="AI59" s="1560"/>
      <c r="AJ59" s="1560"/>
      <c r="AK59" s="1560"/>
      <c r="AL59" s="1560"/>
      <c r="AM59" s="1560"/>
    </row>
    <row r="60" spans="1:39" ht="14.4">
      <c r="A60" s="2309" t="s">
        <v>2063</v>
      </c>
      <c r="B60" s="84"/>
      <c r="C60" s="2248"/>
      <c r="D60" s="2249"/>
      <c r="E60" s="2248"/>
      <c r="F60" s="2248"/>
      <c r="G60" s="2248"/>
      <c r="H60" s="2248"/>
      <c r="I60" s="2248"/>
      <c r="J60" s="2248"/>
      <c r="K60" s="168"/>
      <c r="L60" s="168"/>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row>
    <row r="61" spans="1:39" ht="14.4">
      <c r="A61" s="2309" t="s">
        <v>2064</v>
      </c>
      <c r="B61" s="84"/>
      <c r="C61" s="2248"/>
      <c r="D61" s="2249"/>
      <c r="E61" s="2248"/>
      <c r="F61" s="2248"/>
      <c r="G61" s="2248"/>
      <c r="H61" s="2248"/>
      <c r="I61" s="2248"/>
      <c r="J61" s="2248"/>
      <c r="K61" s="168"/>
      <c r="L61" s="168"/>
      <c r="M61" s="1560"/>
      <c r="N61" s="1560"/>
      <c r="O61" s="1560"/>
      <c r="P61" s="1560"/>
      <c r="Q61" s="1560"/>
      <c r="R61" s="1560"/>
      <c r="S61" s="1560"/>
      <c r="T61" s="1560"/>
      <c r="U61" s="1560"/>
      <c r="V61" s="1560"/>
      <c r="W61" s="1560"/>
      <c r="X61" s="1560"/>
      <c r="Y61" s="1560"/>
      <c r="Z61" s="1560"/>
      <c r="AA61" s="1560"/>
      <c r="AB61" s="1560"/>
      <c r="AC61" s="1560"/>
      <c r="AD61" s="1560"/>
      <c r="AE61" s="1560"/>
      <c r="AF61" s="1560"/>
      <c r="AG61" s="1560"/>
      <c r="AH61" s="1560"/>
      <c r="AI61" s="1560"/>
      <c r="AJ61" s="1560"/>
      <c r="AK61" s="1560"/>
      <c r="AL61" s="1560"/>
      <c r="AM61" s="1560"/>
    </row>
    <row r="62" spans="1:39" ht="14.4">
      <c r="A62" s="2309" t="s">
        <v>2065</v>
      </c>
      <c r="B62" s="84"/>
      <c r="C62" s="2248"/>
      <c r="D62" s="2249"/>
      <c r="E62" s="2248"/>
      <c r="F62" s="2248"/>
      <c r="G62" s="2248"/>
      <c r="H62" s="2248"/>
      <c r="I62" s="2248"/>
      <c r="J62" s="2248"/>
      <c r="K62" s="168"/>
      <c r="L62" s="168"/>
      <c r="M62" s="1560"/>
      <c r="N62" s="1560"/>
      <c r="O62" s="1560"/>
      <c r="P62" s="1560"/>
      <c r="Q62" s="1560"/>
      <c r="R62" s="1560"/>
      <c r="S62" s="1560"/>
      <c r="T62" s="1560"/>
      <c r="U62" s="1560"/>
      <c r="V62" s="1560"/>
      <c r="W62" s="1560"/>
      <c r="X62" s="1560"/>
      <c r="Y62" s="1560"/>
      <c r="Z62" s="1560"/>
      <c r="AA62" s="1560"/>
      <c r="AB62" s="1560"/>
      <c r="AC62" s="1560"/>
      <c r="AD62" s="1560"/>
      <c r="AE62" s="1560"/>
      <c r="AF62" s="1560"/>
      <c r="AG62" s="1560"/>
      <c r="AH62" s="1560"/>
      <c r="AI62" s="1560"/>
      <c r="AJ62" s="1560"/>
      <c r="AK62" s="1560"/>
      <c r="AL62" s="1560"/>
      <c r="AM62" s="1560"/>
    </row>
    <row r="63" spans="1:39" ht="15" thickBot="1">
      <c r="A63" s="2311" t="s">
        <v>2066</v>
      </c>
      <c r="B63" s="134"/>
      <c r="C63" s="2248"/>
      <c r="D63" s="2249"/>
      <c r="E63" s="2248"/>
      <c r="F63" s="2248"/>
      <c r="G63" s="2248"/>
      <c r="H63" s="2248"/>
      <c r="I63" s="2248"/>
      <c r="J63" s="2248"/>
      <c r="K63" s="168"/>
      <c r="L63" s="168"/>
      <c r="M63" s="1560"/>
      <c r="N63" s="1560"/>
      <c r="O63" s="1560"/>
      <c r="P63" s="1560"/>
      <c r="Q63" s="1560"/>
      <c r="R63" s="1560"/>
      <c r="S63" s="1560"/>
      <c r="T63" s="1560"/>
      <c r="U63" s="1560"/>
      <c r="V63" s="1560"/>
      <c r="W63" s="1560"/>
      <c r="X63" s="1560"/>
      <c r="Y63" s="1560"/>
      <c r="Z63" s="1560"/>
      <c r="AA63" s="1560"/>
      <c r="AB63" s="1560"/>
      <c r="AC63" s="1560"/>
      <c r="AD63" s="1560"/>
      <c r="AE63" s="1560"/>
      <c r="AF63" s="1560"/>
      <c r="AG63" s="1560"/>
      <c r="AH63" s="1560"/>
      <c r="AI63" s="1560"/>
      <c r="AJ63" s="1560"/>
      <c r="AK63" s="1560"/>
      <c r="AL63" s="1560"/>
      <c r="AM63" s="1560"/>
    </row>
    <row r="64" spans="1:39" s="953" customFormat="1">
      <c r="A64" s="2312"/>
      <c r="D64" s="2313"/>
      <c r="K64" s="793"/>
      <c r="L64" s="793"/>
    </row>
    <row r="65" spans="1:12" s="953" customFormat="1">
      <c r="A65" s="2312"/>
      <c r="D65" s="2313"/>
      <c r="K65" s="793"/>
      <c r="L65" s="793"/>
    </row>
    <row r="66" spans="1:12" s="953" customFormat="1">
      <c r="A66" s="2312"/>
      <c r="D66" s="2313"/>
      <c r="K66" s="793"/>
      <c r="L66" s="793"/>
    </row>
    <row r="67" spans="1:12" s="953" customFormat="1">
      <c r="A67" s="2312"/>
      <c r="D67" s="2313"/>
      <c r="K67" s="793"/>
      <c r="L67" s="793"/>
    </row>
    <row r="68" spans="1:12" s="953" customFormat="1">
      <c r="A68" s="2312"/>
      <c r="D68" s="2313"/>
      <c r="K68" s="793"/>
      <c r="L68" s="793"/>
    </row>
    <row r="69" spans="1:12" s="953" customFormat="1">
      <c r="A69" s="2312"/>
      <c r="D69" s="2313"/>
      <c r="K69" s="793"/>
      <c r="L69" s="793"/>
    </row>
    <row r="70" spans="1:12" s="953" customFormat="1">
      <c r="A70" s="2312"/>
      <c r="D70" s="2313"/>
      <c r="K70" s="793"/>
      <c r="L70" s="793"/>
    </row>
    <row r="71" spans="1:12" s="953" customFormat="1">
      <c r="A71" s="2312"/>
      <c r="D71" s="2313"/>
      <c r="K71" s="793"/>
      <c r="L71" s="793"/>
    </row>
    <row r="72" spans="1:12" s="953" customFormat="1">
      <c r="A72" s="2312"/>
      <c r="D72" s="2313"/>
      <c r="K72" s="793"/>
      <c r="L72" s="793"/>
    </row>
    <row r="73" spans="1:12" s="953" customFormat="1">
      <c r="A73" s="2312"/>
      <c r="D73" s="2313"/>
      <c r="K73" s="793"/>
      <c r="L73" s="793"/>
    </row>
    <row r="74" spans="1:12" s="953" customFormat="1">
      <c r="A74" s="2312"/>
      <c r="D74" s="2313"/>
      <c r="K74" s="793"/>
      <c r="L74" s="793"/>
    </row>
    <row r="75" spans="1:12" s="953" customFormat="1">
      <c r="A75" s="2312"/>
      <c r="D75" s="2313"/>
      <c r="K75" s="793"/>
      <c r="L75" s="793"/>
    </row>
    <row r="76" spans="1:12" s="953" customFormat="1">
      <c r="A76" s="2312"/>
      <c r="D76" s="2313"/>
      <c r="K76" s="793"/>
      <c r="L76" s="793"/>
    </row>
    <row r="77" spans="1:12" s="953" customFormat="1">
      <c r="A77" s="2312"/>
      <c r="D77" s="2313"/>
      <c r="K77" s="793"/>
      <c r="L77" s="793"/>
    </row>
    <row r="78" spans="1:12" s="953" customFormat="1">
      <c r="A78" s="2312"/>
      <c r="D78" s="2313"/>
      <c r="K78" s="793"/>
      <c r="L78" s="793"/>
    </row>
    <row r="79" spans="1:12" s="953" customFormat="1">
      <c r="A79" s="2312"/>
      <c r="D79" s="2313"/>
      <c r="K79" s="793"/>
      <c r="L79" s="793"/>
    </row>
    <row r="80" spans="1:12" s="953" customFormat="1">
      <c r="A80" s="2312"/>
      <c r="D80" s="2313"/>
      <c r="K80" s="793"/>
      <c r="L80" s="793"/>
    </row>
    <row r="81" spans="1:12" s="953" customFormat="1">
      <c r="A81" s="2312"/>
      <c r="D81" s="2313"/>
      <c r="K81" s="793"/>
      <c r="L81" s="793"/>
    </row>
    <row r="82" spans="1:12" s="953" customFormat="1">
      <c r="A82" s="2312"/>
      <c r="D82" s="2313"/>
      <c r="K82" s="793"/>
      <c r="L82" s="793"/>
    </row>
    <row r="83" spans="1:12" s="953" customFormat="1">
      <c r="A83" s="2312"/>
      <c r="D83" s="2313"/>
      <c r="K83" s="793"/>
      <c r="L83" s="793"/>
    </row>
    <row r="84" spans="1:12" s="953" customFormat="1">
      <c r="A84" s="2312"/>
      <c r="D84" s="2313"/>
      <c r="K84" s="793"/>
      <c r="L84" s="793"/>
    </row>
    <row r="85" spans="1:12" s="953" customFormat="1">
      <c r="A85" s="2312"/>
      <c r="D85" s="2313"/>
      <c r="K85" s="793"/>
      <c r="L85" s="793"/>
    </row>
    <row r="86" spans="1:12" s="953" customFormat="1">
      <c r="A86" s="2312"/>
      <c r="D86" s="2313"/>
      <c r="K86" s="793"/>
      <c r="L86" s="793"/>
    </row>
    <row r="87" spans="1:12" s="953" customFormat="1">
      <c r="A87" s="2312"/>
      <c r="D87" s="2313"/>
      <c r="K87" s="793"/>
      <c r="L87" s="793"/>
    </row>
    <row r="88" spans="1:12" s="953" customFormat="1">
      <c r="A88" s="2312"/>
      <c r="D88" s="2313"/>
      <c r="K88" s="793"/>
      <c r="L88" s="793"/>
    </row>
    <row r="89" spans="1:12" s="953" customFormat="1">
      <c r="A89" s="2312"/>
      <c r="D89" s="2313"/>
      <c r="K89" s="793"/>
      <c r="L89" s="793"/>
    </row>
    <row r="90" spans="1:12" s="953" customFormat="1">
      <c r="A90" s="2312"/>
      <c r="D90" s="2313"/>
      <c r="K90" s="793"/>
      <c r="L90" s="793"/>
    </row>
    <row r="91" spans="1:12" s="953" customFormat="1">
      <c r="A91" s="2312"/>
      <c r="D91" s="2313"/>
      <c r="K91" s="793"/>
      <c r="L91" s="793"/>
    </row>
    <row r="92" spans="1:12" s="953" customFormat="1">
      <c r="A92" s="2312"/>
      <c r="D92" s="2313"/>
      <c r="K92" s="793"/>
      <c r="L92" s="793"/>
    </row>
    <row r="93" spans="1:12" s="953" customFormat="1">
      <c r="A93" s="2312"/>
      <c r="D93" s="2313"/>
      <c r="K93" s="793"/>
      <c r="L93" s="793"/>
    </row>
    <row r="94" spans="1:12" s="953" customFormat="1">
      <c r="A94" s="2312"/>
      <c r="D94" s="2313"/>
      <c r="K94" s="793"/>
      <c r="L94" s="793"/>
    </row>
    <row r="95" spans="1:12" s="953" customFormat="1">
      <c r="A95" s="2312"/>
      <c r="D95" s="2313"/>
      <c r="K95" s="793"/>
      <c r="L95" s="793"/>
    </row>
    <row r="96" spans="1:12" s="953" customFormat="1">
      <c r="A96" s="2312"/>
      <c r="D96" s="2313"/>
      <c r="K96" s="793"/>
      <c r="L96" s="793"/>
    </row>
    <row r="97" spans="1:12" s="953" customFormat="1">
      <c r="A97" s="2312"/>
      <c r="D97" s="2313"/>
      <c r="K97" s="793"/>
      <c r="L97" s="793"/>
    </row>
    <row r="98" spans="1:12" s="953" customFormat="1">
      <c r="A98" s="2312"/>
      <c r="D98" s="2313"/>
      <c r="K98" s="793"/>
      <c r="L98" s="793"/>
    </row>
    <row r="99" spans="1:12" s="953" customFormat="1">
      <c r="A99" s="2312"/>
      <c r="D99" s="2313"/>
      <c r="K99" s="793"/>
      <c r="L99" s="793"/>
    </row>
    <row r="100" spans="1:12" s="953" customFormat="1">
      <c r="A100" s="2312"/>
      <c r="D100" s="2313"/>
      <c r="K100" s="793"/>
      <c r="L100" s="793"/>
    </row>
    <row r="101" spans="1:12" s="953" customFormat="1">
      <c r="A101" s="2312"/>
      <c r="D101" s="2313"/>
      <c r="K101" s="793"/>
      <c r="L101" s="793"/>
    </row>
    <row r="102" spans="1:12" s="953" customFormat="1">
      <c r="A102" s="2312"/>
      <c r="D102" s="2313"/>
      <c r="K102" s="793"/>
      <c r="L102" s="793"/>
    </row>
    <row r="103" spans="1:12" s="953" customFormat="1">
      <c r="A103" s="2312"/>
      <c r="D103" s="2313"/>
      <c r="K103" s="793"/>
      <c r="L103" s="793"/>
    </row>
    <row r="104" spans="1:12" s="953" customFormat="1">
      <c r="A104" s="2312"/>
      <c r="D104" s="2313"/>
      <c r="K104" s="793"/>
      <c r="L104" s="793"/>
    </row>
    <row r="105" spans="1:12" s="953" customFormat="1">
      <c r="A105" s="2312"/>
      <c r="D105" s="2313"/>
      <c r="K105" s="793"/>
      <c r="L105" s="793"/>
    </row>
    <row r="106" spans="1:12" s="953" customFormat="1">
      <c r="A106" s="2312"/>
      <c r="D106" s="2313"/>
      <c r="K106" s="793"/>
      <c r="L106" s="793"/>
    </row>
    <row r="107" spans="1:12" s="953" customFormat="1">
      <c r="A107" s="2312"/>
      <c r="D107" s="2313"/>
      <c r="K107" s="793"/>
      <c r="L107" s="793"/>
    </row>
    <row r="108" spans="1:12" s="953" customFormat="1">
      <c r="A108" s="2312"/>
      <c r="D108" s="2313"/>
      <c r="K108" s="793"/>
      <c r="L108" s="793"/>
    </row>
    <row r="109" spans="1:12" s="953" customFormat="1">
      <c r="A109" s="2312"/>
      <c r="D109" s="2313"/>
      <c r="K109" s="793"/>
      <c r="L109" s="793"/>
    </row>
    <row r="110" spans="1:12" s="953" customFormat="1">
      <c r="A110" s="2312"/>
      <c r="D110" s="2313"/>
      <c r="K110" s="793"/>
      <c r="L110" s="793"/>
    </row>
    <row r="111" spans="1:12" s="953" customFormat="1">
      <c r="A111" s="2312"/>
      <c r="D111" s="2313"/>
      <c r="K111" s="793"/>
      <c r="L111" s="793"/>
    </row>
    <row r="112" spans="1:12" s="953" customFormat="1">
      <c r="A112" s="2312"/>
      <c r="D112" s="2313"/>
      <c r="K112" s="793"/>
      <c r="L112" s="793"/>
    </row>
    <row r="113" spans="1:12" s="953" customFormat="1">
      <c r="A113" s="2312"/>
      <c r="D113" s="2313"/>
      <c r="K113" s="793"/>
      <c r="L113" s="793"/>
    </row>
    <row r="114" spans="1:12" s="953" customFormat="1">
      <c r="A114" s="2312"/>
      <c r="D114" s="2313"/>
      <c r="K114" s="793"/>
      <c r="L114" s="793"/>
    </row>
    <row r="115" spans="1:12" s="953" customFormat="1">
      <c r="A115" s="2312"/>
      <c r="D115" s="2313"/>
      <c r="K115" s="793"/>
      <c r="L115" s="793"/>
    </row>
    <row r="116" spans="1:12" s="953" customFormat="1">
      <c r="A116" s="2312"/>
      <c r="D116" s="2313"/>
      <c r="K116" s="793"/>
      <c r="L116" s="793"/>
    </row>
    <row r="117" spans="1:12" s="953" customFormat="1">
      <c r="A117" s="2312"/>
      <c r="D117" s="2313"/>
      <c r="K117" s="793"/>
      <c r="L117" s="793"/>
    </row>
    <row r="118" spans="1:12" s="953" customFormat="1">
      <c r="A118" s="2312"/>
      <c r="D118" s="2313"/>
      <c r="K118" s="793"/>
      <c r="L118" s="793"/>
    </row>
    <row r="119" spans="1:12" s="953" customFormat="1">
      <c r="A119" s="2312"/>
      <c r="D119" s="2313"/>
      <c r="K119" s="793"/>
      <c r="L119" s="793"/>
    </row>
    <row r="120" spans="1:12" s="953" customFormat="1">
      <c r="A120" s="2312"/>
      <c r="D120" s="2313"/>
      <c r="K120" s="793"/>
      <c r="L120" s="793"/>
    </row>
    <row r="121" spans="1:12" s="953" customFormat="1">
      <c r="A121" s="2312"/>
      <c r="D121" s="2313"/>
      <c r="K121" s="793"/>
      <c r="L121" s="793"/>
    </row>
    <row r="122" spans="1:12" s="953" customFormat="1">
      <c r="A122" s="2312"/>
      <c r="D122" s="2313"/>
      <c r="K122" s="793"/>
      <c r="L122" s="793"/>
    </row>
    <row r="123" spans="1:12" s="953" customFormat="1">
      <c r="A123" s="2312"/>
      <c r="D123" s="2313"/>
      <c r="K123" s="793"/>
      <c r="L123" s="793"/>
    </row>
    <row r="124" spans="1:12" s="953" customFormat="1">
      <c r="A124" s="2312"/>
      <c r="D124" s="2313"/>
      <c r="K124" s="793"/>
      <c r="L124" s="793"/>
    </row>
    <row r="125" spans="1:12" s="953" customFormat="1">
      <c r="A125" s="2312"/>
      <c r="D125" s="2313"/>
      <c r="K125" s="793"/>
      <c r="L125" s="793"/>
    </row>
    <row r="126" spans="1:12" s="953" customFormat="1">
      <c r="A126" s="2312"/>
      <c r="D126" s="2313"/>
      <c r="K126" s="793"/>
      <c r="L126" s="793"/>
    </row>
    <row r="127" spans="1:12" s="953" customFormat="1">
      <c r="A127" s="2312"/>
      <c r="D127" s="2313"/>
      <c r="K127" s="793"/>
      <c r="L127" s="793"/>
    </row>
    <row r="128" spans="1:12" s="953" customFormat="1">
      <c r="A128" s="2312"/>
      <c r="D128" s="2313"/>
      <c r="K128" s="793"/>
      <c r="L128" s="793"/>
    </row>
    <row r="129" spans="1:12" s="953" customFormat="1">
      <c r="A129" s="2312"/>
      <c r="D129" s="2313"/>
      <c r="K129" s="793"/>
      <c r="L129" s="793"/>
    </row>
    <row r="130" spans="1:12" s="953" customFormat="1">
      <c r="A130" s="2312"/>
      <c r="D130" s="2313"/>
      <c r="K130" s="793"/>
      <c r="L130" s="793"/>
    </row>
    <row r="131" spans="1:12" s="953" customFormat="1">
      <c r="A131" s="2312"/>
      <c r="D131" s="2313"/>
      <c r="K131" s="793"/>
      <c r="L131" s="793"/>
    </row>
    <row r="132" spans="1:12" s="953" customFormat="1">
      <c r="A132" s="2312"/>
      <c r="D132" s="2313"/>
      <c r="K132" s="793"/>
      <c r="L132" s="793"/>
    </row>
    <row r="133" spans="1:12" s="953" customFormat="1">
      <c r="A133" s="2312"/>
      <c r="D133" s="2313"/>
      <c r="K133" s="793"/>
      <c r="L133" s="793"/>
    </row>
    <row r="134" spans="1:12" s="2245" customFormat="1">
      <c r="A134" s="2314"/>
      <c r="D134" s="2315"/>
      <c r="K134" s="27"/>
      <c r="L134" s="27"/>
    </row>
    <row r="135" spans="1:12" s="2245" customFormat="1">
      <c r="A135" s="2314"/>
      <c r="D135" s="2315"/>
      <c r="K135" s="27"/>
      <c r="L135" s="27"/>
    </row>
    <row r="136" spans="1:12" s="2245" customFormat="1">
      <c r="A136" s="2314"/>
      <c r="D136" s="2315"/>
      <c r="K136" s="27"/>
      <c r="L136" s="27"/>
    </row>
    <row r="137" spans="1:12" s="2245" customFormat="1">
      <c r="A137" s="2314"/>
      <c r="D137" s="2315"/>
      <c r="K137" s="27"/>
      <c r="L137" s="27"/>
    </row>
    <row r="138" spans="1:12" s="2245" customFormat="1">
      <c r="A138" s="2314"/>
      <c r="D138" s="2315"/>
      <c r="K138" s="27"/>
      <c r="L138" s="27"/>
    </row>
    <row r="139" spans="1:12" s="2245" customFormat="1">
      <c r="A139" s="2314"/>
      <c r="D139" s="2315"/>
      <c r="K139" s="27"/>
      <c r="L139" s="27"/>
    </row>
    <row r="140" spans="1:12" s="2245" customFormat="1">
      <c r="A140" s="2314"/>
      <c r="D140" s="2315"/>
      <c r="K140" s="27"/>
      <c r="L140" s="27"/>
    </row>
    <row r="141" spans="1:12" s="2245" customFormat="1">
      <c r="A141" s="2314"/>
      <c r="D141" s="2315"/>
      <c r="K141" s="27"/>
      <c r="L141" s="27"/>
    </row>
    <row r="142" spans="1:12" s="2245" customFormat="1">
      <c r="A142" s="2314"/>
      <c r="D142" s="2315"/>
      <c r="K142" s="27"/>
      <c r="L142" s="27"/>
    </row>
    <row r="143" spans="1:12" s="2245" customFormat="1">
      <c r="A143" s="2314"/>
      <c r="D143" s="2315"/>
      <c r="K143" s="27"/>
      <c r="L143" s="27"/>
    </row>
    <row r="144" spans="1:12" s="2245" customFormat="1">
      <c r="A144" s="2314"/>
      <c r="D144" s="2315"/>
      <c r="K144" s="27"/>
      <c r="L144" s="27"/>
    </row>
    <row r="145" spans="1:12" s="2245" customFormat="1">
      <c r="A145" s="2314"/>
      <c r="D145" s="2315"/>
      <c r="K145" s="27"/>
      <c r="L145" s="27"/>
    </row>
    <row r="146" spans="1:12" s="2245" customFormat="1">
      <c r="A146" s="2314"/>
      <c r="D146" s="2315"/>
      <c r="K146" s="27"/>
      <c r="L146" s="27"/>
    </row>
    <row r="147" spans="1:12" s="2245" customFormat="1">
      <c r="A147" s="2314"/>
      <c r="D147" s="2315"/>
      <c r="K147" s="27"/>
      <c r="L147" s="27"/>
    </row>
    <row r="148" spans="1:12" s="2245" customFormat="1">
      <c r="A148" s="2314"/>
      <c r="D148" s="2315"/>
      <c r="K148" s="27"/>
      <c r="L148" s="27"/>
    </row>
    <row r="149" spans="1:12" s="2245" customFormat="1">
      <c r="A149" s="2314"/>
      <c r="D149" s="2315"/>
      <c r="K149" s="27"/>
      <c r="L149" s="27"/>
    </row>
    <row r="150" spans="1:12" s="2245" customFormat="1">
      <c r="A150" s="2314"/>
      <c r="D150" s="2315"/>
      <c r="K150" s="27"/>
      <c r="L150" s="27"/>
    </row>
    <row r="151" spans="1:12" s="2245" customFormat="1">
      <c r="A151" s="2314"/>
      <c r="D151" s="2315"/>
      <c r="K151" s="27"/>
      <c r="L151" s="27"/>
    </row>
    <row r="152" spans="1:12" s="2245" customFormat="1">
      <c r="A152" s="2314"/>
      <c r="D152" s="2315"/>
      <c r="K152" s="27"/>
      <c r="L152" s="27"/>
    </row>
    <row r="153" spans="1:12" s="2245" customFormat="1">
      <c r="A153" s="2314"/>
      <c r="D153" s="2315"/>
      <c r="K153" s="27"/>
      <c r="L153" s="27"/>
    </row>
    <row r="154" spans="1:12" s="2245" customFormat="1">
      <c r="A154" s="2314"/>
      <c r="D154" s="2315"/>
      <c r="K154" s="27"/>
      <c r="L154" s="27"/>
    </row>
    <row r="155" spans="1:12" s="2245" customFormat="1">
      <c r="A155" s="2314"/>
      <c r="D155" s="2315"/>
      <c r="K155" s="27"/>
      <c r="L155" s="27"/>
    </row>
    <row r="156" spans="1:12" s="2245" customFormat="1">
      <c r="A156" s="2314"/>
      <c r="D156" s="2315"/>
      <c r="K156" s="27"/>
      <c r="L156" s="27"/>
    </row>
    <row r="157" spans="1:12" s="2245" customFormat="1">
      <c r="A157" s="2314"/>
      <c r="D157" s="2315"/>
      <c r="K157" s="27"/>
      <c r="L157" s="27"/>
    </row>
    <row r="158" spans="1:12" s="2245" customFormat="1">
      <c r="A158" s="2314"/>
      <c r="D158" s="2315"/>
      <c r="K158" s="27"/>
      <c r="L158" s="27"/>
    </row>
    <row r="159" spans="1:12" s="2245" customFormat="1">
      <c r="A159" s="2314"/>
      <c r="D159" s="2315"/>
      <c r="K159" s="27"/>
      <c r="L159" s="27"/>
    </row>
    <row r="160" spans="1:12" s="2245" customFormat="1">
      <c r="A160" s="2314"/>
      <c r="D160" s="2315"/>
      <c r="K160" s="27"/>
      <c r="L160" s="27"/>
    </row>
    <row r="161" spans="1:12" s="2245" customFormat="1">
      <c r="A161" s="2314"/>
      <c r="D161" s="2315"/>
      <c r="K161" s="27"/>
      <c r="L161" s="27"/>
    </row>
    <row r="162" spans="1:12" s="2245" customFormat="1">
      <c r="A162" s="2314"/>
      <c r="D162" s="2315"/>
      <c r="K162" s="27"/>
      <c r="L162" s="27"/>
    </row>
    <row r="163" spans="1:12" s="2245" customFormat="1">
      <c r="A163" s="2314"/>
      <c r="D163" s="2315"/>
      <c r="K163" s="27"/>
      <c r="L163" s="27"/>
    </row>
    <row r="164" spans="1:12" s="2245" customFormat="1">
      <c r="A164" s="2314"/>
      <c r="D164" s="2315"/>
      <c r="K164" s="27"/>
      <c r="L164" s="27"/>
    </row>
    <row r="165" spans="1:12" s="2245" customFormat="1">
      <c r="A165" s="2314"/>
      <c r="D165" s="2315"/>
      <c r="K165" s="27"/>
      <c r="L165" s="27"/>
    </row>
    <row r="166" spans="1:12" s="2245" customFormat="1">
      <c r="A166" s="2314"/>
      <c r="D166" s="2315"/>
      <c r="K166" s="27"/>
      <c r="L166" s="27"/>
    </row>
    <row r="167" spans="1:12" s="2245" customFormat="1">
      <c r="A167" s="2314"/>
      <c r="D167" s="2315"/>
      <c r="K167" s="27"/>
      <c r="L167" s="27"/>
    </row>
    <row r="168" spans="1:12" s="2245" customFormat="1">
      <c r="A168" s="2314"/>
      <c r="D168" s="2315"/>
      <c r="K168" s="27"/>
      <c r="L168" s="27"/>
    </row>
    <row r="169" spans="1:12" s="2245" customFormat="1">
      <c r="A169" s="2314"/>
      <c r="D169" s="2315"/>
      <c r="K169" s="27"/>
      <c r="L169" s="27"/>
    </row>
    <row r="170" spans="1:12" s="2245" customFormat="1">
      <c r="A170" s="2314"/>
      <c r="D170" s="2315"/>
      <c r="K170" s="27"/>
      <c r="L170" s="27"/>
    </row>
    <row r="171" spans="1:12" s="2245" customFormat="1">
      <c r="A171" s="2314"/>
      <c r="D171" s="2315"/>
      <c r="K171" s="27"/>
      <c r="L171" s="27"/>
    </row>
    <row r="172" spans="1:12" s="2245" customFormat="1">
      <c r="A172" s="2314"/>
      <c r="D172" s="2315"/>
      <c r="K172" s="27"/>
      <c r="L172" s="27"/>
    </row>
    <row r="173" spans="1:12" s="2245" customFormat="1">
      <c r="A173" s="2314"/>
      <c r="D173" s="2315"/>
      <c r="K173" s="27"/>
      <c r="L173" s="27"/>
    </row>
    <row r="174" spans="1:12" s="2245" customFormat="1">
      <c r="A174" s="2314"/>
      <c r="D174" s="2315"/>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O29"/>
  <sheetViews>
    <sheetView topLeftCell="B4" workbookViewId="0">
      <selection activeCell="R30" sqref="R30"/>
    </sheetView>
  </sheetViews>
  <sheetFormatPr defaultRowHeight="14.4"/>
  <sheetData>
    <row r="1" spans="1:15">
      <c r="A1" s="3439" t="s">
        <v>3523</v>
      </c>
      <c r="O1" s="3439" t="s">
        <v>3524</v>
      </c>
    </row>
    <row r="29" spans="2:2">
      <c r="B29" s="3439" t="s">
        <v>3525</v>
      </c>
    </row>
  </sheetData>
  <phoneticPr fontId="14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L1"/>
  <sheetViews>
    <sheetView topLeftCell="A13" workbookViewId="0">
      <selection activeCell="A3" sqref="A3"/>
    </sheetView>
  </sheetViews>
  <sheetFormatPr defaultRowHeight="14.4"/>
  <sheetData>
    <row r="1" spans="1:12">
      <c r="A1" s="3440" t="s">
        <v>3522</v>
      </c>
      <c r="L1" s="3440" t="s">
        <v>3521</v>
      </c>
    </row>
  </sheetData>
  <phoneticPr fontId="144" type="noConversion"/>
  <hyperlinks>
    <hyperlink ref="L1" r:id="rId1" xr:uid="{00000000-0004-0000-1100-000000000000}"/>
    <hyperlink ref="A1" r:id="rId2" xr:uid="{00000000-0004-0000-1100-000001000000}"/>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4" sqref="I4"/>
    </sheetView>
  </sheetViews>
  <sheetFormatPr defaultColWidth="9" defaultRowHeight="13.8"/>
  <cols>
    <col min="1" max="1" width="9.44140625" style="2339" customWidth="1"/>
    <col min="2" max="2" width="24.44140625" style="2384" customWidth="1"/>
    <col min="3" max="3" width="24.44140625" style="2383" customWidth="1"/>
    <col min="4" max="4" width="2.6640625" style="2383" customWidth="1"/>
    <col min="5" max="5" width="5.88671875" style="2383" customWidth="1"/>
    <col min="6" max="6" width="27" style="2384" customWidth="1"/>
    <col min="7" max="7" width="27" style="2385" customWidth="1"/>
    <col min="8" max="8" width="11.88671875" style="2363" customWidth="1"/>
    <col min="9" max="9" width="16.77734375" style="2364" customWidth="1"/>
    <col min="10" max="10" width="2.6640625" style="2363" customWidth="1"/>
    <col min="11" max="11" width="11.88671875" style="2363" customWidth="1"/>
    <col min="12" max="12" width="16.77734375" style="2364" customWidth="1"/>
    <col min="13" max="13" width="2.6640625" style="2363" customWidth="1"/>
    <col min="14" max="14" width="11.88671875" style="2363" customWidth="1"/>
    <col min="15" max="15" width="16.77734375" style="2364" customWidth="1"/>
    <col min="16" max="16" width="2.6640625" style="2363" customWidth="1"/>
    <col min="17" max="17" width="11.88671875" style="2363" customWidth="1"/>
    <col min="18" max="18" width="16.77734375" style="2365" customWidth="1"/>
    <col min="19" max="29" width="9" style="2338"/>
    <col min="30" max="16384" width="9" style="2339"/>
  </cols>
  <sheetData>
    <row r="1" spans="1:29" s="2332" customFormat="1" ht="18" thickBot="1">
      <c r="A1" s="3534" t="s">
        <v>2067</v>
      </c>
      <c r="B1" s="3535"/>
      <c r="C1" s="3535"/>
      <c r="D1" s="3535"/>
      <c r="E1" s="3535"/>
      <c r="F1" s="3535"/>
      <c r="G1" s="3535"/>
      <c r="H1" s="2327"/>
      <c r="I1" s="2328"/>
      <c r="J1" s="2327"/>
      <c r="K1" s="2327"/>
      <c r="L1" s="2328"/>
      <c r="M1" s="2327"/>
      <c r="N1" s="2327"/>
      <c r="O1" s="2328"/>
      <c r="P1" s="2327"/>
      <c r="Q1" s="2329"/>
      <c r="R1" s="2330"/>
      <c r="S1" s="2331"/>
      <c r="T1" s="2331"/>
      <c r="U1" s="2331"/>
      <c r="V1" s="2331"/>
      <c r="W1" s="2331"/>
      <c r="X1" s="2331"/>
      <c r="Y1" s="2331"/>
      <c r="Z1" s="2331"/>
      <c r="AA1" s="2331"/>
      <c r="AB1" s="2331"/>
      <c r="AC1" s="2331"/>
    </row>
    <row r="2" spans="1:29" ht="15" thickBot="1">
      <c r="A2" s="2333"/>
      <c r="B2" s="2334"/>
      <c r="C2" s="2335" t="s">
        <v>2068</v>
      </c>
      <c r="D2" s="2336"/>
      <c r="E2" s="2337"/>
      <c r="F2" s="2257"/>
      <c r="G2" s="2335" t="s">
        <v>2069</v>
      </c>
      <c r="H2" s="2338"/>
      <c r="I2" s="2338"/>
      <c r="J2" s="2338"/>
      <c r="K2" s="2338"/>
      <c r="L2" s="2338"/>
      <c r="M2" s="2338"/>
      <c r="N2" s="2338"/>
      <c r="O2" s="2338"/>
      <c r="P2" s="2338"/>
      <c r="Q2" s="2338"/>
      <c r="R2" s="2338"/>
    </row>
    <row r="3" spans="1:29" ht="43.2">
      <c r="A3" s="414" t="s">
        <v>2070</v>
      </c>
      <c r="B3" s="1249" t="s">
        <v>2071</v>
      </c>
      <c r="C3" s="2955"/>
      <c r="D3" s="2340"/>
      <c r="E3" s="430" t="s">
        <v>2070</v>
      </c>
      <c r="F3" s="2341" t="s">
        <v>2072</v>
      </c>
      <c r="G3" s="2342" t="s">
        <v>2073</v>
      </c>
      <c r="H3" s="2338"/>
      <c r="I3" s="2338"/>
      <c r="J3" s="2338"/>
      <c r="K3" s="2338"/>
      <c r="L3" s="2338"/>
      <c r="M3" s="2338"/>
      <c r="N3" s="2338"/>
      <c r="O3" s="2338"/>
      <c r="P3" s="2338"/>
      <c r="Q3" s="2338"/>
      <c r="R3" s="2338"/>
    </row>
    <row r="4" spans="1:29" ht="43.2">
      <c r="A4" s="430"/>
      <c r="B4" s="1773" t="s">
        <v>2074</v>
      </c>
      <c r="C4" s="2956" t="s">
        <v>3423</v>
      </c>
      <c r="D4" s="2340"/>
      <c r="E4" s="2343"/>
      <c r="F4" s="42" t="s">
        <v>2075</v>
      </c>
      <c r="G4" s="2344" t="s">
        <v>2076</v>
      </c>
      <c r="H4" s="2338"/>
      <c r="I4" s="2338"/>
      <c r="J4" s="2338"/>
      <c r="K4" s="2338"/>
      <c r="L4" s="2338"/>
      <c r="M4" s="2338"/>
      <c r="N4" s="2338"/>
      <c r="O4" s="2338"/>
      <c r="P4" s="2338"/>
      <c r="Q4" s="2338"/>
      <c r="R4" s="2338"/>
    </row>
    <row r="5" spans="1:29" ht="57.6">
      <c r="A5" s="430"/>
      <c r="B5" s="1773" t="s">
        <v>2077</v>
      </c>
      <c r="C5" s="2956" t="s">
        <v>3422</v>
      </c>
      <c r="D5" s="2340"/>
      <c r="E5" s="2343"/>
      <c r="F5" s="1773" t="s">
        <v>2078</v>
      </c>
      <c r="G5" s="2344" t="s">
        <v>2079</v>
      </c>
      <c r="H5" s="2338"/>
      <c r="I5" s="2338"/>
      <c r="J5" s="2338"/>
      <c r="K5" s="2338"/>
      <c r="L5" s="2338"/>
      <c r="M5" s="2338"/>
      <c r="N5" s="2338"/>
      <c r="O5" s="2338"/>
      <c r="P5" s="2338"/>
      <c r="Q5" s="2338"/>
      <c r="R5" s="2338"/>
    </row>
    <row r="6" spans="1:29" ht="72">
      <c r="A6" s="430"/>
      <c r="B6" s="1773" t="s">
        <v>2080</v>
      </c>
      <c r="C6" s="2957" t="s">
        <v>3176</v>
      </c>
      <c r="D6" s="2340"/>
      <c r="E6" s="2343"/>
      <c r="F6" s="1773" t="s">
        <v>2081</v>
      </c>
      <c r="G6" s="2344" t="s">
        <v>2082</v>
      </c>
      <c r="H6" s="2338"/>
      <c r="I6" s="2338"/>
      <c r="J6" s="2338"/>
      <c r="K6" s="2338"/>
      <c r="L6" s="2338"/>
      <c r="M6" s="2338"/>
      <c r="N6" s="2338"/>
      <c r="O6" s="2338"/>
      <c r="P6" s="2338"/>
      <c r="Q6" s="2338"/>
      <c r="R6" s="2338"/>
    </row>
    <row r="7" spans="1:29" ht="43.8" thickBot="1">
      <c r="A7" s="430"/>
      <c r="B7" s="1773" t="s">
        <v>2078</v>
      </c>
      <c r="C7" s="2957" t="s">
        <v>3175</v>
      </c>
      <c r="D7" s="2345"/>
      <c r="E7" s="2346"/>
      <c r="F7" s="2347" t="s">
        <v>2083</v>
      </c>
      <c r="G7" s="2348" t="s">
        <v>2084</v>
      </c>
      <c r="H7" s="2338"/>
      <c r="I7" s="2338"/>
      <c r="J7" s="2338"/>
      <c r="K7" s="2338"/>
      <c r="L7" s="2338"/>
      <c r="M7" s="2338"/>
      <c r="N7" s="2338"/>
      <c r="O7" s="2338"/>
      <c r="P7" s="2338"/>
      <c r="Q7" s="2338"/>
      <c r="R7" s="2338"/>
    </row>
    <row r="8" spans="1:29" ht="28.8">
      <c r="A8" s="430"/>
      <c r="B8" s="1773" t="s">
        <v>2081</v>
      </c>
      <c r="C8" s="2957" t="s">
        <v>3051</v>
      </c>
      <c r="D8" s="2345"/>
      <c r="E8" s="2345"/>
      <c r="F8" s="1115"/>
      <c r="G8" s="1115"/>
      <c r="H8" s="2338"/>
      <c r="I8" s="2338"/>
      <c r="J8" s="2338"/>
      <c r="K8" s="2338"/>
      <c r="L8" s="2338"/>
      <c r="M8" s="2338"/>
      <c r="N8" s="2338"/>
      <c r="O8" s="2338"/>
      <c r="P8" s="2338"/>
      <c r="Q8" s="2338"/>
      <c r="R8" s="2338"/>
    </row>
    <row r="9" spans="1:29" ht="57.6">
      <c r="A9" s="430"/>
      <c r="B9" s="1773" t="s">
        <v>2085</v>
      </c>
      <c r="C9" s="2956" t="s">
        <v>3177</v>
      </c>
      <c r="D9" s="2340"/>
      <c r="E9" s="2345"/>
      <c r="F9" s="1115"/>
      <c r="G9" s="1115"/>
      <c r="H9" s="2338"/>
      <c r="I9" s="2338"/>
      <c r="J9" s="2338"/>
      <c r="K9" s="2338"/>
      <c r="L9" s="2338"/>
      <c r="M9" s="2338"/>
      <c r="N9" s="2338"/>
      <c r="O9" s="2338"/>
      <c r="P9" s="2338"/>
      <c r="Q9" s="2338"/>
      <c r="R9" s="2338"/>
    </row>
    <row r="10" spans="1:29" s="117" customFormat="1" ht="15" thickBot="1">
      <c r="A10" s="2349"/>
      <c r="B10" s="2350" t="s">
        <v>2086</v>
      </c>
      <c r="C10" s="2958" t="s">
        <v>3178</v>
      </c>
      <c r="D10" s="2340"/>
      <c r="E10" s="2340"/>
      <c r="F10" s="1115"/>
      <c r="G10" s="1115"/>
      <c r="H10" s="2351"/>
      <c r="I10" s="2352"/>
      <c r="J10" s="2353"/>
      <c r="K10" s="2351"/>
      <c r="L10" s="2352"/>
      <c r="M10" s="2353"/>
      <c r="N10" s="2351"/>
      <c r="O10" s="2352"/>
      <c r="P10" s="2353"/>
      <c r="Q10" s="2351"/>
      <c r="R10" s="2352"/>
      <c r="S10" s="2338"/>
      <c r="T10" s="2338"/>
      <c r="U10" s="2338"/>
      <c r="V10" s="2338"/>
      <c r="W10" s="2338"/>
      <c r="X10" s="2338"/>
      <c r="Y10" s="2338"/>
      <c r="Z10" s="2338"/>
      <c r="AA10" s="2338"/>
      <c r="AB10" s="2338"/>
      <c r="AC10" s="2338"/>
    </row>
    <row r="11" spans="1:29" s="117" customFormat="1">
      <c r="A11" s="2354"/>
      <c r="B11" s="2345"/>
      <c r="C11" s="2340"/>
      <c r="D11" s="2340"/>
      <c r="E11" s="2340"/>
      <c r="F11" s="2345"/>
      <c r="G11" s="1133"/>
      <c r="H11" s="2351"/>
      <c r="I11" s="2352"/>
      <c r="J11" s="2353"/>
      <c r="K11" s="2351"/>
      <c r="L11" s="2352"/>
      <c r="M11" s="2353"/>
      <c r="N11" s="2351"/>
      <c r="O11" s="2352"/>
      <c r="P11" s="2353"/>
      <c r="Q11" s="2351"/>
      <c r="R11" s="2352"/>
      <c r="S11" s="2338"/>
      <c r="T11" s="2338"/>
      <c r="U11" s="2338"/>
      <c r="V11" s="2338"/>
      <c r="W11" s="2338"/>
      <c r="X11" s="2338"/>
      <c r="Y11" s="2338"/>
      <c r="Z11" s="2338"/>
      <c r="AA11" s="2338"/>
      <c r="AB11" s="2338"/>
      <c r="AC11" s="2338"/>
    </row>
    <row r="12" spans="1:29" s="2332" customFormat="1" ht="17.399999999999999">
      <c r="A12" s="2354"/>
      <c r="B12" s="2345"/>
      <c r="C12" s="2340"/>
      <c r="D12" s="2355"/>
      <c r="E12" s="2340"/>
      <c r="F12" s="2345"/>
      <c r="G12" s="1133"/>
      <c r="H12" s="2356"/>
      <c r="I12" s="2357"/>
      <c r="J12" s="2356"/>
      <c r="K12" s="2356"/>
      <c r="L12" s="2358"/>
      <c r="M12" s="2356"/>
      <c r="N12" s="2359"/>
      <c r="O12" s="2360"/>
      <c r="P12" s="2359"/>
      <c r="Q12" s="2359"/>
      <c r="R12" s="2330"/>
      <c r="S12" s="2331"/>
      <c r="T12" s="2331"/>
      <c r="U12" s="2331"/>
      <c r="V12" s="2331"/>
      <c r="W12" s="2331"/>
      <c r="X12" s="2331"/>
      <c r="Y12" s="2331"/>
      <c r="Z12" s="2331"/>
      <c r="AA12" s="2331"/>
      <c r="AB12" s="2331"/>
      <c r="AC12" s="2331"/>
    </row>
    <row r="13" spans="1:29" ht="18" thickBot="1">
      <c r="A13" s="2361" t="s">
        <v>2087</v>
      </c>
      <c r="B13" s="2355"/>
      <c r="C13" s="2355"/>
      <c r="D13" s="2362"/>
      <c r="E13" s="2355"/>
      <c r="F13" s="2355"/>
      <c r="G13" s="2355"/>
    </row>
    <row r="14" spans="1:29" ht="15" thickBot="1">
      <c r="A14" s="2366"/>
      <c r="B14" s="2367"/>
      <c r="C14" s="2368" t="s">
        <v>2088</v>
      </c>
      <c r="D14" s="2340"/>
      <c r="E14" s="2369"/>
      <c r="F14" s="2369"/>
      <c r="G14" s="2335" t="s">
        <v>2089</v>
      </c>
    </row>
    <row r="15" spans="1:29" ht="41.4">
      <c r="A15" s="68" t="s">
        <v>2090</v>
      </c>
      <c r="B15" s="1248" t="s">
        <v>2071</v>
      </c>
      <c r="C15" s="2370">
        <f>C3</f>
        <v>0</v>
      </c>
      <c r="D15" s="2340"/>
      <c r="E15" s="2371" t="s">
        <v>2091</v>
      </c>
      <c r="F15" s="1248" t="s">
        <v>2092</v>
      </c>
      <c r="G15" s="135" t="str">
        <f>G3</f>
        <v>估价对象位于XX开发区，园区建设成熟度XX，产业集聚程度XX</v>
      </c>
    </row>
    <row r="16" spans="1:29" ht="41.4">
      <c r="A16" s="644"/>
      <c r="B16" s="2372" t="s">
        <v>2074</v>
      </c>
      <c r="C16" s="2373" t="str">
        <f>C4</f>
        <v>估价对象位于天府广场商圈，周边商业氛围成熟，人流量大，商业繁华度好</v>
      </c>
      <c r="D16" s="2340"/>
      <c r="E16" s="2374"/>
      <c r="F16" s="2375" t="s">
        <v>2075</v>
      </c>
      <c r="G16" s="136" t="str">
        <f>G4</f>
        <v>估价对象周边道路状况、公共交通通达情况、停车便捷程度，综合评价交通便捷度较好</v>
      </c>
    </row>
    <row r="17" spans="1:18" ht="55.2">
      <c r="A17" s="644"/>
      <c r="B17" s="2372" t="s">
        <v>2077</v>
      </c>
      <c r="C17" s="2373" t="str">
        <f>C5</f>
        <v>估价对象位于天府广场商圈，周边办公楼项目多，入驻率高，办公集聚程度好</v>
      </c>
      <c r="D17" s="2345"/>
      <c r="E17" s="2374"/>
      <c r="F17" s="2375" t="s">
        <v>2093</v>
      </c>
      <c r="G17" s="1548"/>
    </row>
    <row r="18" spans="1:18" ht="69">
      <c r="A18" s="644"/>
      <c r="B18" s="2375" t="s">
        <v>2080</v>
      </c>
      <c r="C18" s="136" t="str">
        <f>C6</f>
        <v>估价对象周边道路状况较好、地铁14、15号线通过，公共交通通达情况较好、停车便捷程度较好，综合评价交通便捷度较好</v>
      </c>
      <c r="D18" s="2345"/>
      <c r="E18" s="2374"/>
      <c r="F18" s="2375" t="s">
        <v>2083</v>
      </c>
      <c r="G18" s="136" t="str">
        <f>G7</f>
        <v>该园区内是否有污染型企业，绿化情况，卫生条件，整体环境状况判断</v>
      </c>
    </row>
    <row r="19" spans="1:18" ht="28.8">
      <c r="A19" s="644"/>
      <c r="B19" s="2375" t="s">
        <v>2094</v>
      </c>
      <c r="C19" s="2959" t="s">
        <v>3052</v>
      </c>
      <c r="D19" s="2340"/>
      <c r="E19" s="2374"/>
      <c r="F19" s="1773" t="s">
        <v>2078</v>
      </c>
      <c r="G19" s="136" t="str">
        <f>G5</f>
        <v>估价对象所在区域公共配套设施齐备情况</v>
      </c>
    </row>
    <row r="20" spans="1:18" ht="55.2">
      <c r="A20" s="644"/>
      <c r="B20" s="2375" t="s">
        <v>2095</v>
      </c>
      <c r="C20" s="2373" t="str">
        <f>C9</f>
        <v>区域自然环境：望湖公园、北小河公园；人文环境：青年政治学院；综合评价环境状况较好</v>
      </c>
      <c r="D20" s="2345"/>
      <c r="E20" s="2374"/>
      <c r="F20" s="1773" t="s">
        <v>2096</v>
      </c>
      <c r="G20" s="136" t="str">
        <f>G6</f>
        <v>估价对象所在区域基础设施水平</v>
      </c>
    </row>
    <row r="21" spans="1:18" ht="27.6">
      <c r="A21" s="644"/>
      <c r="B21" s="1773" t="s">
        <v>2078</v>
      </c>
      <c r="C21" s="136" t="str">
        <f>C7</f>
        <v>估价对象所在区域公共配套设施齐备情况较好</v>
      </c>
      <c r="D21" s="2340"/>
      <c r="E21" s="2374"/>
      <c r="F21" s="2375" t="s">
        <v>2097</v>
      </c>
      <c r="G21" s="2376"/>
    </row>
    <row r="22" spans="1:18" ht="13.5" customHeight="1">
      <c r="A22" s="644"/>
      <c r="B22" s="1773" t="s">
        <v>2081</v>
      </c>
      <c r="C22" s="136" t="str">
        <f>C8</f>
        <v>估价对象所在区域基础设施水平“七通一平</v>
      </c>
      <c r="D22" s="2340"/>
      <c r="E22" s="2374"/>
      <c r="F22" s="2375" t="s">
        <v>2086</v>
      </c>
      <c r="G22" s="1548"/>
    </row>
    <row r="23" spans="1:18" s="2338" customFormat="1" ht="15" thickBot="1">
      <c r="A23" s="644"/>
      <c r="B23" s="2375" t="s">
        <v>2097</v>
      </c>
      <c r="C23" s="2960" t="s">
        <v>3053</v>
      </c>
      <c r="D23" s="2363"/>
      <c r="E23" s="2377"/>
      <c r="F23" s="2378" t="s">
        <v>2098</v>
      </c>
      <c r="G23" s="2379"/>
      <c r="H23" s="2363"/>
      <c r="I23" s="2364"/>
      <c r="J23" s="2363"/>
      <c r="K23" s="2363"/>
      <c r="L23" s="2364"/>
      <c r="M23" s="2363"/>
      <c r="N23" s="2363"/>
      <c r="O23" s="2364"/>
      <c r="P23" s="2363"/>
      <c r="Q23" s="2363"/>
      <c r="R23" s="2365"/>
    </row>
    <row r="24" spans="1:18" s="2338" customFormat="1" ht="15" thickBot="1">
      <c r="A24" s="2380"/>
      <c r="B24" s="2378" t="s">
        <v>2099</v>
      </c>
      <c r="C24" s="137" t="str">
        <f>C10</f>
        <v>城市主干道——望京北路</v>
      </c>
      <c r="D24" s="2363"/>
      <c r="E24" s="2381"/>
      <c r="F24" s="2381"/>
      <c r="G24" s="2382"/>
      <c r="H24" s="2363"/>
      <c r="I24" s="2364"/>
      <c r="J24" s="2363"/>
      <c r="K24" s="2363"/>
      <c r="L24" s="2364"/>
      <c r="M24" s="2363"/>
      <c r="N24" s="2363"/>
      <c r="O24" s="2364"/>
      <c r="P24" s="2363"/>
      <c r="Q24" s="2363"/>
      <c r="R24" s="2365"/>
    </row>
    <row r="25" spans="1:18" s="2338" customFormat="1">
      <c r="B25" s="2363"/>
      <c r="C25" s="2363"/>
      <c r="D25" s="2363"/>
      <c r="H25" s="2363"/>
      <c r="I25" s="2364"/>
      <c r="J25" s="2363"/>
      <c r="K25" s="2363"/>
      <c r="L25" s="2364"/>
      <c r="M25" s="2363"/>
      <c r="N25" s="2363"/>
      <c r="O25" s="2364"/>
      <c r="P25" s="2363"/>
      <c r="Q25" s="2363"/>
      <c r="R25" s="2365"/>
    </row>
    <row r="26" spans="1:18" s="2338" customFormat="1">
      <c r="B26" s="2363"/>
      <c r="C26" s="2363"/>
      <c r="D26" s="2363"/>
      <c r="H26" s="2363"/>
      <c r="I26" s="2364"/>
      <c r="J26" s="2363"/>
      <c r="K26" s="2363"/>
      <c r="L26" s="2364"/>
      <c r="M26" s="2363"/>
      <c r="N26" s="2363"/>
      <c r="O26" s="2364"/>
      <c r="P26" s="2363"/>
      <c r="Q26" s="2363"/>
      <c r="R26" s="2365"/>
    </row>
    <row r="27" spans="1:18" s="2338" customFormat="1">
      <c r="B27" s="2363"/>
      <c r="C27" s="2363"/>
      <c r="D27" s="2363"/>
      <c r="H27" s="2363"/>
      <c r="I27" s="2364"/>
      <c r="J27" s="2363"/>
      <c r="K27" s="2363"/>
      <c r="L27" s="2364"/>
      <c r="M27" s="2363"/>
      <c r="N27" s="2363"/>
      <c r="O27" s="2364"/>
      <c r="P27" s="2363"/>
      <c r="Q27" s="2363"/>
      <c r="R27" s="2365"/>
    </row>
    <row r="28" spans="1:18" s="2338" customFormat="1">
      <c r="B28" s="2363"/>
      <c r="C28" s="2363"/>
      <c r="D28" s="2363"/>
      <c r="H28" s="2363"/>
      <c r="I28" s="2364"/>
      <c r="J28" s="2363"/>
      <c r="K28" s="2363"/>
      <c r="L28" s="2364"/>
      <c r="M28" s="2363"/>
      <c r="N28" s="2363"/>
      <c r="O28" s="2364"/>
      <c r="P28" s="2363"/>
      <c r="Q28" s="2363"/>
      <c r="R28" s="2365"/>
    </row>
    <row r="29" spans="1:18" s="2338" customFormat="1">
      <c r="B29" s="2363"/>
      <c r="C29" s="2363"/>
      <c r="D29" s="2363"/>
      <c r="H29" s="2363"/>
      <c r="I29" s="2364"/>
      <c r="J29" s="2363"/>
      <c r="K29" s="2363"/>
      <c r="L29" s="2364"/>
      <c r="M29" s="2363"/>
      <c r="N29" s="2363"/>
      <c r="O29" s="2364"/>
      <c r="P29" s="2363"/>
      <c r="Q29" s="2363"/>
      <c r="R29" s="2365"/>
    </row>
    <row r="30" spans="1:18" s="2338" customFormat="1">
      <c r="B30" s="2363"/>
      <c r="C30" s="2363"/>
      <c r="D30" s="2363"/>
      <c r="H30" s="2363"/>
      <c r="I30" s="2364"/>
      <c r="J30" s="2363"/>
      <c r="K30" s="2363"/>
      <c r="L30" s="2364"/>
      <c r="M30" s="2363"/>
      <c r="N30" s="2363"/>
      <c r="O30" s="2364"/>
      <c r="P30" s="2363"/>
      <c r="Q30" s="2363"/>
      <c r="R30" s="2365"/>
    </row>
    <row r="31" spans="1:18" s="2338" customFormat="1">
      <c r="B31" s="2363"/>
      <c r="C31" s="2363"/>
      <c r="D31" s="2363"/>
      <c r="H31" s="2363"/>
      <c r="I31" s="2364"/>
      <c r="J31" s="2363"/>
      <c r="K31" s="2363"/>
      <c r="L31" s="2364"/>
      <c r="M31" s="2363"/>
      <c r="N31" s="2363"/>
      <c r="O31" s="2364"/>
      <c r="P31" s="2363"/>
      <c r="Q31" s="2363"/>
      <c r="R31" s="2365"/>
    </row>
    <row r="32" spans="1:18" s="2338" customFormat="1">
      <c r="B32" s="2363"/>
      <c r="C32" s="2363"/>
      <c r="D32" s="2363"/>
      <c r="H32" s="2363"/>
      <c r="I32" s="2364"/>
      <c r="J32" s="2363"/>
      <c r="K32" s="2363"/>
      <c r="L32" s="2364"/>
      <c r="M32" s="2363"/>
      <c r="N32" s="2363"/>
      <c r="O32" s="2364"/>
      <c r="P32" s="2363"/>
      <c r="Q32" s="2363"/>
      <c r="R32" s="2365"/>
    </row>
    <row r="33" spans="2:18" s="2338" customFormat="1">
      <c r="B33" s="2363"/>
      <c r="C33" s="2363"/>
      <c r="D33" s="2363"/>
      <c r="H33" s="2363"/>
      <c r="I33" s="2364"/>
      <c r="J33" s="2363"/>
      <c r="K33" s="2363"/>
      <c r="L33" s="2364"/>
      <c r="M33" s="2363"/>
      <c r="N33" s="2363"/>
      <c r="O33" s="2364"/>
      <c r="P33" s="2363"/>
      <c r="Q33" s="2363"/>
      <c r="R33" s="2365"/>
    </row>
    <row r="34" spans="2:18" s="2338" customFormat="1">
      <c r="B34" s="2363"/>
      <c r="C34" s="2363"/>
      <c r="D34" s="2363"/>
      <c r="H34" s="2363"/>
      <c r="I34" s="2364"/>
      <c r="J34" s="2363"/>
      <c r="K34" s="2363"/>
      <c r="L34" s="2364"/>
      <c r="M34" s="2363"/>
      <c r="N34" s="2363"/>
      <c r="O34" s="2364"/>
      <c r="P34" s="2363"/>
      <c r="Q34" s="2363"/>
      <c r="R34" s="2365"/>
    </row>
    <row r="35" spans="2:18" s="2338" customFormat="1">
      <c r="B35" s="2363"/>
      <c r="C35" s="2363"/>
      <c r="D35" s="2363"/>
      <c r="H35" s="2363"/>
      <c r="I35" s="2364"/>
      <c r="J35" s="2363"/>
      <c r="K35" s="2363"/>
      <c r="L35" s="2364"/>
      <c r="M35" s="2363"/>
      <c r="N35" s="2363"/>
      <c r="O35" s="2364"/>
      <c r="P35" s="2363"/>
      <c r="Q35" s="2363"/>
      <c r="R35" s="2365"/>
    </row>
    <row r="36" spans="2:18" s="2338" customFormat="1">
      <c r="B36" s="2363"/>
      <c r="C36" s="2363"/>
      <c r="D36" s="2363"/>
      <c r="H36" s="2363"/>
      <c r="I36" s="2364"/>
      <c r="J36" s="2363"/>
      <c r="K36" s="2363"/>
      <c r="L36" s="2364"/>
      <c r="M36" s="2363"/>
      <c r="N36" s="2363"/>
      <c r="O36" s="2364"/>
      <c r="P36" s="2363"/>
      <c r="Q36" s="2363"/>
      <c r="R36" s="2365"/>
    </row>
    <row r="37" spans="2:18" s="2338" customFormat="1">
      <c r="B37" s="2363"/>
      <c r="C37" s="2363"/>
      <c r="D37" s="2363"/>
      <c r="H37" s="2363"/>
      <c r="I37" s="2364"/>
      <c r="J37" s="2363"/>
      <c r="K37" s="2363"/>
      <c r="L37" s="2364"/>
      <c r="M37" s="2363"/>
      <c r="N37" s="2363"/>
      <c r="O37" s="2364"/>
      <c r="P37" s="2363"/>
      <c r="Q37" s="2363"/>
      <c r="R37" s="2365"/>
    </row>
    <row r="38" spans="2:18" s="2338" customFormat="1">
      <c r="B38" s="2363"/>
      <c r="C38" s="2363"/>
      <c r="D38" s="2363"/>
      <c r="E38" s="2363"/>
      <c r="F38" s="2363"/>
      <c r="G38" s="2364"/>
      <c r="H38" s="2363"/>
      <c r="I38" s="2364"/>
      <c r="J38" s="2363"/>
      <c r="K38" s="2363"/>
      <c r="L38" s="2364"/>
      <c r="M38" s="2363"/>
      <c r="N38" s="2363"/>
      <c r="O38" s="2364"/>
      <c r="P38" s="2363"/>
      <c r="Q38" s="2363"/>
      <c r="R38" s="2365"/>
    </row>
    <row r="39" spans="2:18" s="2338" customFormat="1">
      <c r="B39" s="2363"/>
      <c r="C39" s="2363"/>
      <c r="D39" s="2363"/>
      <c r="E39" s="2363"/>
      <c r="F39" s="2363"/>
      <c r="G39" s="2364"/>
      <c r="H39" s="2363"/>
      <c r="I39" s="2364"/>
      <c r="J39" s="2363"/>
      <c r="K39" s="2363"/>
      <c r="L39" s="2364"/>
      <c r="M39" s="2363"/>
      <c r="N39" s="2363"/>
      <c r="O39" s="2364"/>
      <c r="P39" s="2363"/>
      <c r="Q39" s="2363"/>
      <c r="R39" s="2365"/>
    </row>
    <row r="40" spans="2:18" s="2338" customFormat="1">
      <c r="B40" s="2363"/>
      <c r="C40" s="2363"/>
      <c r="D40" s="2363"/>
      <c r="E40" s="2363"/>
      <c r="F40" s="2363"/>
      <c r="G40" s="2364"/>
      <c r="H40" s="2363"/>
      <c r="I40" s="2364"/>
      <c r="J40" s="2363"/>
      <c r="K40" s="2363"/>
      <c r="L40" s="2364"/>
      <c r="M40" s="2363"/>
      <c r="N40" s="2363"/>
      <c r="O40" s="2364"/>
      <c r="P40" s="2363"/>
      <c r="Q40" s="2363"/>
      <c r="R40" s="2365"/>
    </row>
    <row r="41" spans="2:18" s="2338" customFormat="1">
      <c r="B41" s="2363"/>
      <c r="C41" s="2363"/>
      <c r="D41" s="2363"/>
      <c r="E41" s="2363"/>
      <c r="F41" s="2363"/>
      <c r="G41" s="2364"/>
      <c r="H41" s="2363"/>
      <c r="I41" s="2364"/>
      <c r="J41" s="2363"/>
      <c r="K41" s="2363"/>
      <c r="L41" s="2364"/>
      <c r="M41" s="2363"/>
      <c r="N41" s="2363"/>
      <c r="O41" s="2364"/>
      <c r="P41" s="2363"/>
      <c r="Q41" s="2363"/>
      <c r="R41" s="2365"/>
    </row>
    <row r="42" spans="2:18" s="2338" customFormat="1">
      <c r="B42" s="2363"/>
      <c r="C42" s="2363"/>
      <c r="D42" s="2363"/>
      <c r="E42" s="2363"/>
      <c r="F42" s="2363"/>
      <c r="G42" s="2364"/>
      <c r="H42" s="2363"/>
      <c r="I42" s="2364"/>
      <c r="J42" s="2363"/>
      <c r="K42" s="2363"/>
      <c r="L42" s="2364"/>
      <c r="M42" s="2363"/>
      <c r="N42" s="2363"/>
      <c r="O42" s="2364"/>
      <c r="P42" s="2363"/>
      <c r="Q42" s="2363"/>
      <c r="R42" s="2365"/>
    </row>
    <row r="43" spans="2:18" s="2338" customFormat="1">
      <c r="B43" s="2363"/>
      <c r="C43" s="2363"/>
      <c r="D43" s="2363"/>
      <c r="E43" s="2363"/>
      <c r="F43" s="2363"/>
      <c r="G43" s="2364"/>
      <c r="H43" s="2363"/>
      <c r="I43" s="2364"/>
      <c r="J43" s="2363"/>
      <c r="K43" s="2363"/>
      <c r="L43" s="2364"/>
      <c r="M43" s="2363"/>
      <c r="N43" s="2363"/>
      <c r="O43" s="2364"/>
      <c r="P43" s="2363"/>
      <c r="Q43" s="2363"/>
      <c r="R43" s="2365"/>
    </row>
    <row r="44" spans="2:18" s="2338" customFormat="1">
      <c r="B44" s="2363"/>
      <c r="C44" s="2363"/>
      <c r="D44" s="2363"/>
      <c r="E44" s="2363"/>
      <c r="F44" s="2363"/>
      <c r="G44" s="2364"/>
      <c r="H44" s="2363"/>
      <c r="I44" s="2364"/>
      <c r="J44" s="2363"/>
      <c r="K44" s="2363"/>
      <c r="L44" s="2364"/>
      <c r="M44" s="2363"/>
      <c r="N44" s="2363"/>
      <c r="O44" s="2364"/>
      <c r="P44" s="2363"/>
      <c r="Q44" s="2363"/>
      <c r="R44" s="2365"/>
    </row>
    <row r="45" spans="2:18" s="2338" customFormat="1">
      <c r="B45" s="2363"/>
      <c r="C45" s="2363"/>
      <c r="D45" s="2363"/>
      <c r="E45" s="2363"/>
      <c r="F45" s="2363"/>
      <c r="G45" s="2364"/>
      <c r="H45" s="2363"/>
      <c r="I45" s="2364"/>
      <c r="J45" s="2363"/>
      <c r="K45" s="2363"/>
      <c r="L45" s="2364"/>
      <c r="M45" s="2363"/>
      <c r="N45" s="2363"/>
      <c r="O45" s="2364"/>
      <c r="P45" s="2363"/>
      <c r="Q45" s="2363"/>
      <c r="R45" s="2365"/>
    </row>
    <row r="46" spans="2:18" s="2338" customFormat="1">
      <c r="B46" s="2363"/>
      <c r="C46" s="2363"/>
      <c r="D46" s="2363"/>
      <c r="E46" s="2363"/>
      <c r="F46" s="2363"/>
      <c r="G46" s="2364"/>
      <c r="H46" s="2363"/>
      <c r="I46" s="2364"/>
      <c r="J46" s="2363"/>
      <c r="K46" s="2363"/>
      <c r="L46" s="2364"/>
      <c r="M46" s="2363"/>
      <c r="N46" s="2363"/>
      <c r="O46" s="2364"/>
      <c r="P46" s="2363"/>
      <c r="Q46" s="2363"/>
      <c r="R46" s="2365"/>
    </row>
    <row r="47" spans="2:18" s="2338" customFormat="1">
      <c r="B47" s="2363"/>
      <c r="C47" s="2363"/>
      <c r="D47" s="2363"/>
      <c r="E47" s="2363"/>
      <c r="F47" s="2363"/>
      <c r="G47" s="2364"/>
      <c r="H47" s="2363"/>
      <c r="I47" s="2364"/>
      <c r="J47" s="2363"/>
      <c r="K47" s="2363"/>
      <c r="L47" s="2364"/>
      <c r="M47" s="2363"/>
      <c r="N47" s="2363"/>
      <c r="O47" s="2364"/>
      <c r="P47" s="2363"/>
      <c r="Q47" s="2363"/>
      <c r="R47" s="2365"/>
    </row>
    <row r="48" spans="2:18" s="2338" customFormat="1">
      <c r="B48" s="2363"/>
      <c r="C48" s="2363"/>
      <c r="D48" s="2363"/>
      <c r="E48" s="2363"/>
      <c r="F48" s="2363"/>
      <c r="G48" s="2364"/>
      <c r="H48" s="2363"/>
      <c r="I48" s="2364"/>
      <c r="J48" s="2363"/>
      <c r="K48" s="2363"/>
      <c r="L48" s="2364"/>
      <c r="M48" s="2363"/>
      <c r="N48" s="2363"/>
      <c r="O48" s="2364"/>
      <c r="P48" s="2363"/>
      <c r="Q48" s="2363"/>
      <c r="R48" s="2365"/>
    </row>
    <row r="49" spans="2:18" s="2338" customFormat="1">
      <c r="B49" s="2363"/>
      <c r="C49" s="2363"/>
      <c r="D49" s="2363"/>
      <c r="E49" s="2363"/>
      <c r="F49" s="2363"/>
      <c r="G49" s="2364"/>
      <c r="H49" s="2363"/>
      <c r="I49" s="2364"/>
      <c r="J49" s="2363"/>
      <c r="K49" s="2363"/>
      <c r="L49" s="2364"/>
      <c r="M49" s="2363"/>
      <c r="N49" s="2363"/>
      <c r="O49" s="2364"/>
      <c r="P49" s="2363"/>
      <c r="Q49" s="2363"/>
      <c r="R49" s="2365"/>
    </row>
    <row r="50" spans="2:18" s="2338" customFormat="1">
      <c r="B50" s="2363"/>
      <c r="C50" s="2363"/>
      <c r="D50" s="2363"/>
      <c r="E50" s="2363"/>
      <c r="F50" s="2363"/>
      <c r="G50" s="2364"/>
      <c r="H50" s="2363"/>
      <c r="I50" s="2364"/>
      <c r="J50" s="2363"/>
      <c r="K50" s="2363"/>
      <c r="L50" s="2364"/>
      <c r="M50" s="2363"/>
      <c r="N50" s="2363"/>
      <c r="O50" s="2364"/>
      <c r="P50" s="2363"/>
      <c r="Q50" s="2363"/>
      <c r="R50" s="2365"/>
    </row>
    <row r="51" spans="2:18" s="2338" customFormat="1">
      <c r="B51" s="2363"/>
      <c r="C51" s="2363"/>
      <c r="D51" s="2363"/>
      <c r="E51" s="2363"/>
      <c r="F51" s="2363"/>
      <c r="G51" s="2364"/>
      <c r="H51" s="2363"/>
      <c r="I51" s="2364"/>
      <c r="J51" s="2363"/>
      <c r="K51" s="2363"/>
      <c r="L51" s="2364"/>
      <c r="M51" s="2363"/>
      <c r="N51" s="2363"/>
      <c r="O51" s="2364"/>
      <c r="P51" s="2363"/>
      <c r="Q51" s="2363"/>
      <c r="R51" s="2365"/>
    </row>
    <row r="52" spans="2:18" s="2338" customFormat="1">
      <c r="B52" s="2363"/>
      <c r="C52" s="2363"/>
      <c r="D52" s="2363"/>
      <c r="E52" s="2363"/>
      <c r="F52" s="2363"/>
      <c r="G52" s="2364"/>
      <c r="H52" s="2363"/>
      <c r="I52" s="2364"/>
      <c r="J52" s="2363"/>
      <c r="K52" s="2363"/>
      <c r="L52" s="2364"/>
      <c r="M52" s="2363"/>
      <c r="N52" s="2363"/>
      <c r="O52" s="2364"/>
      <c r="P52" s="2363"/>
      <c r="Q52" s="2363"/>
      <c r="R52" s="2365"/>
    </row>
    <row r="53" spans="2:18" s="2338" customFormat="1">
      <c r="B53" s="2363"/>
      <c r="C53" s="2363"/>
      <c r="D53" s="2363"/>
      <c r="E53" s="2363"/>
      <c r="F53" s="2363"/>
      <c r="G53" s="2364"/>
      <c r="H53" s="2363"/>
      <c r="I53" s="2364"/>
      <c r="J53" s="2363"/>
      <c r="K53" s="2363"/>
      <c r="L53" s="2364"/>
      <c r="M53" s="2363"/>
      <c r="N53" s="2363"/>
      <c r="O53" s="2364"/>
      <c r="P53" s="2363"/>
      <c r="Q53" s="2363"/>
      <c r="R53" s="2365"/>
    </row>
    <row r="54" spans="2:18" s="2338" customFormat="1">
      <c r="B54" s="2363"/>
      <c r="C54" s="2363"/>
      <c r="D54" s="2363"/>
      <c r="E54" s="2363"/>
      <c r="F54" s="2363"/>
      <c r="G54" s="2364"/>
      <c r="H54" s="2363"/>
      <c r="I54" s="2364"/>
      <c r="J54" s="2363"/>
      <c r="K54" s="2363"/>
      <c r="L54" s="2364"/>
      <c r="M54" s="2363"/>
      <c r="N54" s="2363"/>
      <c r="O54" s="2364"/>
      <c r="P54" s="2363"/>
      <c r="Q54" s="2363"/>
      <c r="R54" s="2365"/>
    </row>
    <row r="55" spans="2:18" s="2338" customFormat="1">
      <c r="B55" s="2363"/>
      <c r="C55" s="2363"/>
      <c r="D55" s="2363"/>
      <c r="E55" s="2363"/>
      <c r="F55" s="2363"/>
      <c r="G55" s="2364"/>
      <c r="H55" s="2363"/>
      <c r="I55" s="2364"/>
      <c r="J55" s="2363"/>
      <c r="K55" s="2363"/>
      <c r="L55" s="2364"/>
      <c r="M55" s="2363"/>
      <c r="N55" s="2363"/>
      <c r="O55" s="2364"/>
      <c r="P55" s="2363"/>
      <c r="Q55" s="2363"/>
      <c r="R55" s="2365"/>
    </row>
    <row r="56" spans="2:18" s="2338" customFormat="1">
      <c r="B56" s="2363"/>
      <c r="C56" s="2363"/>
      <c r="D56" s="2363"/>
      <c r="E56" s="2363"/>
      <c r="F56" s="2363"/>
      <c r="G56" s="2364"/>
      <c r="H56" s="2363"/>
      <c r="I56" s="2364"/>
      <c r="J56" s="2363"/>
      <c r="K56" s="2363"/>
      <c r="L56" s="2364"/>
      <c r="M56" s="2363"/>
      <c r="N56" s="2363"/>
      <c r="O56" s="2364"/>
      <c r="P56" s="2363"/>
      <c r="Q56" s="2363"/>
      <c r="R56" s="2365"/>
    </row>
    <row r="57" spans="2:18" s="2338" customFormat="1">
      <c r="B57" s="2363"/>
      <c r="C57" s="2363"/>
      <c r="D57" s="2363"/>
      <c r="E57" s="2363"/>
      <c r="F57" s="2363"/>
      <c r="G57" s="2364"/>
      <c r="H57" s="2363"/>
      <c r="I57" s="2364"/>
      <c r="J57" s="2363"/>
      <c r="K57" s="2363"/>
      <c r="L57" s="2364"/>
      <c r="M57" s="2363"/>
      <c r="N57" s="2363"/>
      <c r="O57" s="2364"/>
      <c r="P57" s="2363"/>
      <c r="Q57" s="2363"/>
      <c r="R57" s="2365"/>
    </row>
    <row r="58" spans="2:18" s="2338" customFormat="1">
      <c r="B58" s="2363"/>
      <c r="C58" s="2363"/>
      <c r="D58" s="2363"/>
      <c r="E58" s="2363"/>
      <c r="F58" s="2363"/>
      <c r="G58" s="2364"/>
      <c r="H58" s="2363"/>
      <c r="I58" s="2364"/>
      <c r="J58" s="2363"/>
      <c r="K58" s="2363"/>
      <c r="L58" s="2364"/>
      <c r="M58" s="2363"/>
      <c r="N58" s="2363"/>
      <c r="O58" s="2364"/>
      <c r="P58" s="2363"/>
      <c r="Q58" s="2363"/>
      <c r="R58" s="2365"/>
    </row>
    <row r="59" spans="2:18" s="2338" customFormat="1">
      <c r="B59" s="2363"/>
      <c r="C59" s="2363"/>
      <c r="D59" s="2363"/>
      <c r="E59" s="2363"/>
      <c r="F59" s="2363"/>
      <c r="G59" s="2364"/>
      <c r="H59" s="2363"/>
      <c r="I59" s="2364"/>
      <c r="J59" s="2363"/>
      <c r="K59" s="2363"/>
      <c r="L59" s="2364"/>
      <c r="M59" s="2363"/>
      <c r="N59" s="2363"/>
      <c r="O59" s="2364"/>
      <c r="P59" s="2363"/>
      <c r="Q59" s="2363"/>
      <c r="R59" s="2365"/>
    </row>
    <row r="60" spans="2:18" s="2338" customFormat="1">
      <c r="B60" s="2363"/>
      <c r="C60" s="2363"/>
      <c r="D60" s="2363"/>
      <c r="E60" s="2363"/>
      <c r="F60" s="2363"/>
      <c r="G60" s="2364"/>
      <c r="H60" s="2363"/>
      <c r="I60" s="2364"/>
      <c r="J60" s="2363"/>
      <c r="K60" s="2363"/>
      <c r="L60" s="2364"/>
      <c r="M60" s="2363"/>
      <c r="N60" s="2363"/>
      <c r="O60" s="2364"/>
      <c r="P60" s="2363"/>
      <c r="Q60" s="2363"/>
      <c r="R60" s="2365"/>
    </row>
    <row r="61" spans="2:18" s="2338" customFormat="1">
      <c r="B61" s="2363"/>
      <c r="C61" s="2363"/>
      <c r="D61" s="2363"/>
      <c r="E61" s="2363"/>
      <c r="F61" s="2363"/>
      <c r="G61" s="2364"/>
      <c r="H61" s="2363"/>
      <c r="I61" s="2364"/>
      <c r="J61" s="2363"/>
      <c r="K61" s="2363"/>
      <c r="L61" s="2364"/>
      <c r="M61" s="2363"/>
      <c r="N61" s="2363"/>
      <c r="O61" s="2364"/>
      <c r="P61" s="2363"/>
      <c r="Q61" s="2363"/>
      <c r="R61" s="2365"/>
    </row>
    <row r="62" spans="2:18" s="2338" customFormat="1">
      <c r="B62" s="2363"/>
      <c r="C62" s="2363"/>
      <c r="D62" s="2363"/>
      <c r="E62" s="2363"/>
      <c r="F62" s="2363"/>
      <c r="G62" s="2364"/>
      <c r="H62" s="2363"/>
      <c r="I62" s="2364"/>
      <c r="J62" s="2363"/>
      <c r="K62" s="2363"/>
      <c r="L62" s="2364"/>
      <c r="M62" s="2363"/>
      <c r="N62" s="2363"/>
      <c r="O62" s="2364"/>
      <c r="P62" s="2363"/>
      <c r="Q62" s="2363"/>
      <c r="R62" s="2365"/>
    </row>
    <row r="63" spans="2:18" s="2338" customFormat="1">
      <c r="B63" s="2363"/>
      <c r="C63" s="2363"/>
      <c r="D63" s="2363"/>
      <c r="E63" s="2363"/>
      <c r="F63" s="2363"/>
      <c r="G63" s="2364"/>
      <c r="H63" s="2363"/>
      <c r="I63" s="2364"/>
      <c r="J63" s="2363"/>
      <c r="K63" s="2363"/>
      <c r="L63" s="2364"/>
      <c r="M63" s="2363"/>
      <c r="N63" s="2363"/>
      <c r="O63" s="2364"/>
      <c r="P63" s="2363"/>
      <c r="Q63" s="2363"/>
      <c r="R63" s="2365"/>
    </row>
    <row r="64" spans="2:18" s="2338" customFormat="1">
      <c r="B64" s="2363"/>
      <c r="C64" s="2363"/>
      <c r="D64" s="2363"/>
      <c r="E64" s="2363"/>
      <c r="F64" s="2363"/>
      <c r="G64" s="2364"/>
      <c r="H64" s="2363"/>
      <c r="I64" s="2364"/>
      <c r="J64" s="2363"/>
      <c r="K64" s="2363"/>
      <c r="L64" s="2364"/>
      <c r="M64" s="2363"/>
      <c r="N64" s="2363"/>
      <c r="O64" s="2364"/>
      <c r="P64" s="2363"/>
      <c r="Q64" s="2363"/>
      <c r="R64" s="2365"/>
    </row>
    <row r="65" spans="2:18" s="2338" customFormat="1">
      <c r="B65" s="2363"/>
      <c r="C65" s="2363"/>
      <c r="D65" s="2363"/>
      <c r="E65" s="2363"/>
      <c r="F65" s="2363"/>
      <c r="G65" s="2364"/>
      <c r="H65" s="2363"/>
      <c r="I65" s="2364"/>
      <c r="J65" s="2363"/>
      <c r="K65" s="2363"/>
      <c r="L65" s="2364"/>
      <c r="M65" s="2363"/>
      <c r="N65" s="2363"/>
      <c r="O65" s="2364"/>
      <c r="P65" s="2363"/>
      <c r="Q65" s="2363"/>
      <c r="R65" s="2365"/>
    </row>
    <row r="66" spans="2:18" s="2338" customFormat="1">
      <c r="B66" s="2363"/>
      <c r="C66" s="2363"/>
      <c r="D66" s="2363"/>
      <c r="E66" s="2363"/>
      <c r="F66" s="2363"/>
      <c r="G66" s="2364"/>
      <c r="H66" s="2363"/>
      <c r="I66" s="2364"/>
      <c r="J66" s="2363"/>
      <c r="K66" s="2363"/>
      <c r="L66" s="2364"/>
      <c r="M66" s="2363"/>
      <c r="N66" s="2363"/>
      <c r="O66" s="2364"/>
      <c r="P66" s="2363"/>
      <c r="Q66" s="2363"/>
      <c r="R66" s="2365"/>
    </row>
    <row r="67" spans="2:18" s="2338" customFormat="1">
      <c r="B67" s="2363"/>
      <c r="C67" s="2363"/>
      <c r="D67" s="2363"/>
      <c r="E67" s="2363"/>
      <c r="F67" s="2363"/>
      <c r="G67" s="2364"/>
      <c r="H67" s="2363"/>
      <c r="I67" s="2364"/>
      <c r="J67" s="2363"/>
      <c r="K67" s="2363"/>
      <c r="L67" s="2364"/>
      <c r="M67" s="2363"/>
      <c r="N67" s="2363"/>
      <c r="O67" s="2364"/>
      <c r="P67" s="2363"/>
      <c r="Q67" s="2363"/>
      <c r="R67" s="2365"/>
    </row>
    <row r="68" spans="2:18" s="2338" customFormat="1">
      <c r="B68" s="2363"/>
      <c r="C68" s="2363"/>
      <c r="D68" s="2363"/>
      <c r="E68" s="2363"/>
      <c r="F68" s="2363"/>
      <c r="G68" s="2364"/>
      <c r="H68" s="2363"/>
      <c r="I68" s="2364"/>
      <c r="J68" s="2363"/>
      <c r="K68" s="2363"/>
      <c r="L68" s="2364"/>
      <c r="M68" s="2363"/>
      <c r="N68" s="2363"/>
      <c r="O68" s="2364"/>
      <c r="P68" s="2363"/>
      <c r="Q68" s="2363"/>
      <c r="R68" s="2365"/>
    </row>
    <row r="69" spans="2:18" s="2338" customFormat="1">
      <c r="B69" s="2363"/>
      <c r="C69" s="2363"/>
      <c r="D69" s="2363"/>
      <c r="E69" s="2363"/>
      <c r="F69" s="2363"/>
      <c r="G69" s="2364"/>
      <c r="H69" s="2363"/>
      <c r="I69" s="2364"/>
      <c r="J69" s="2363"/>
      <c r="K69" s="2363"/>
      <c r="L69" s="2364"/>
      <c r="M69" s="2363"/>
      <c r="N69" s="2363"/>
      <c r="O69" s="2364"/>
      <c r="P69" s="2363"/>
      <c r="Q69" s="2363"/>
      <c r="R69" s="2365"/>
    </row>
    <row r="70" spans="2:18" s="2338" customFormat="1">
      <c r="B70" s="2363"/>
      <c r="C70" s="2363"/>
      <c r="D70" s="2363"/>
      <c r="E70" s="2363"/>
      <c r="F70" s="2363"/>
      <c r="G70" s="2364"/>
      <c r="H70" s="2363"/>
      <c r="I70" s="2364"/>
      <c r="J70" s="2363"/>
      <c r="K70" s="2363"/>
      <c r="L70" s="2364"/>
      <c r="M70" s="2363"/>
      <c r="N70" s="2363"/>
      <c r="O70" s="2364"/>
      <c r="P70" s="2363"/>
      <c r="Q70" s="2363"/>
      <c r="R70" s="2365"/>
    </row>
    <row r="71" spans="2:18" s="2338" customFormat="1">
      <c r="B71" s="2363"/>
      <c r="C71" s="2363"/>
      <c r="D71" s="2363"/>
      <c r="E71" s="2363"/>
      <c r="F71" s="2363"/>
      <c r="G71" s="2364"/>
      <c r="H71" s="2363"/>
      <c r="I71" s="2364"/>
      <c r="J71" s="2363"/>
      <c r="K71" s="2363"/>
      <c r="L71" s="2364"/>
      <c r="M71" s="2363"/>
      <c r="N71" s="2363"/>
      <c r="O71" s="2364"/>
      <c r="P71" s="2363"/>
      <c r="Q71" s="2363"/>
      <c r="R71" s="2365"/>
    </row>
    <row r="72" spans="2:18" s="2338" customFormat="1">
      <c r="B72" s="2363"/>
      <c r="C72" s="2363"/>
      <c r="D72" s="2363"/>
      <c r="E72" s="2363"/>
      <c r="F72" s="2363"/>
      <c r="G72" s="2364"/>
      <c r="H72" s="2363"/>
      <c r="I72" s="2364"/>
      <c r="J72" s="2363"/>
      <c r="K72" s="2363"/>
      <c r="L72" s="2364"/>
      <c r="M72" s="2363"/>
      <c r="N72" s="2363"/>
      <c r="O72" s="2364"/>
      <c r="P72" s="2363"/>
      <c r="Q72" s="2363"/>
      <c r="R72" s="2365"/>
    </row>
    <row r="73" spans="2:18" s="2338" customFormat="1">
      <c r="B73" s="2363"/>
      <c r="C73" s="2363"/>
      <c r="D73" s="2363"/>
      <c r="E73" s="2363"/>
      <c r="F73" s="2363"/>
      <c r="G73" s="2364"/>
      <c r="H73" s="2363"/>
      <c r="I73" s="2364"/>
      <c r="J73" s="2363"/>
      <c r="K73" s="2363"/>
      <c r="L73" s="2364"/>
      <c r="M73" s="2363"/>
      <c r="N73" s="2363"/>
      <c r="O73" s="2364"/>
      <c r="P73" s="2363"/>
      <c r="Q73" s="2363"/>
      <c r="R73" s="2365"/>
    </row>
    <row r="74" spans="2:18" s="2338" customFormat="1">
      <c r="B74" s="2363"/>
      <c r="C74" s="2363"/>
      <c r="D74" s="2363"/>
      <c r="E74" s="2363"/>
      <c r="F74" s="2363"/>
      <c r="G74" s="2364"/>
      <c r="H74" s="2363"/>
      <c r="I74" s="2364"/>
      <c r="J74" s="2363"/>
      <c r="K74" s="2363"/>
      <c r="L74" s="2364"/>
      <c r="M74" s="2363"/>
      <c r="N74" s="2363"/>
      <c r="O74" s="2364"/>
      <c r="P74" s="2363"/>
      <c r="Q74" s="2363"/>
      <c r="R74" s="2365"/>
    </row>
    <row r="75" spans="2:18" s="2338" customFormat="1">
      <c r="B75" s="2363"/>
      <c r="C75" s="2363"/>
      <c r="D75" s="2363"/>
      <c r="E75" s="2363"/>
      <c r="F75" s="2363"/>
      <c r="G75" s="2364"/>
      <c r="H75" s="2363"/>
      <c r="I75" s="2364"/>
      <c r="J75" s="2363"/>
      <c r="K75" s="2363"/>
      <c r="L75" s="2364"/>
      <c r="M75" s="2363"/>
      <c r="N75" s="2363"/>
      <c r="O75" s="2364"/>
      <c r="P75" s="2363"/>
      <c r="Q75" s="2363"/>
      <c r="R75" s="2365"/>
    </row>
    <row r="76" spans="2:18" s="2338" customFormat="1">
      <c r="B76" s="2363"/>
      <c r="C76" s="2363"/>
      <c r="D76" s="2363"/>
      <c r="E76" s="2363"/>
      <c r="F76" s="2363"/>
      <c r="G76" s="2364"/>
      <c r="H76" s="2363"/>
      <c r="I76" s="2364"/>
      <c r="J76" s="2363"/>
      <c r="K76" s="2363"/>
      <c r="L76" s="2364"/>
      <c r="M76" s="2363"/>
      <c r="N76" s="2363"/>
      <c r="O76" s="2364"/>
      <c r="P76" s="2363"/>
      <c r="Q76" s="2363"/>
      <c r="R76" s="2365"/>
    </row>
    <row r="77" spans="2:18" s="2338" customFormat="1">
      <c r="B77" s="2363"/>
      <c r="C77" s="2363"/>
      <c r="D77" s="2363"/>
      <c r="E77" s="2363"/>
      <c r="F77" s="2363"/>
      <c r="G77" s="2364"/>
      <c r="H77" s="2363"/>
      <c r="I77" s="2364"/>
      <c r="J77" s="2363"/>
      <c r="K77" s="2363"/>
      <c r="L77" s="2364"/>
      <c r="M77" s="2363"/>
      <c r="N77" s="2363"/>
      <c r="O77" s="2364"/>
      <c r="P77" s="2363"/>
      <c r="Q77" s="2363"/>
      <c r="R77" s="2365"/>
    </row>
    <row r="78" spans="2:18" s="2338" customFormat="1">
      <c r="B78" s="2363"/>
      <c r="C78" s="2363"/>
      <c r="D78" s="2363"/>
      <c r="E78" s="2363"/>
      <c r="F78" s="2363"/>
      <c r="G78" s="2364"/>
      <c r="H78" s="2363"/>
      <c r="I78" s="2364"/>
      <c r="J78" s="2363"/>
      <c r="K78" s="2363"/>
      <c r="L78" s="2364"/>
      <c r="M78" s="2363"/>
      <c r="N78" s="2363"/>
      <c r="O78" s="2364"/>
      <c r="P78" s="2363"/>
      <c r="Q78" s="2363"/>
      <c r="R78" s="2365"/>
    </row>
    <row r="79" spans="2:18" s="2338" customFormat="1">
      <c r="B79" s="2363"/>
      <c r="C79" s="2363"/>
      <c r="D79" s="2363"/>
      <c r="E79" s="2363"/>
      <c r="F79" s="2363"/>
      <c r="G79" s="2364"/>
      <c r="H79" s="2363"/>
      <c r="I79" s="2364"/>
      <c r="J79" s="2363"/>
      <c r="K79" s="2363"/>
      <c r="L79" s="2364"/>
      <c r="M79" s="2363"/>
      <c r="N79" s="2363"/>
      <c r="O79" s="2364"/>
      <c r="P79" s="2363"/>
      <c r="Q79" s="2363"/>
      <c r="R79" s="2365"/>
    </row>
    <row r="80" spans="2:18" s="2338" customFormat="1">
      <c r="B80" s="2363"/>
      <c r="C80" s="2363"/>
      <c r="D80" s="2363"/>
      <c r="E80" s="2363"/>
      <c r="F80" s="2363"/>
      <c r="G80" s="2364"/>
      <c r="H80" s="2363"/>
      <c r="I80" s="2364"/>
      <c r="J80" s="2363"/>
      <c r="K80" s="2363"/>
      <c r="L80" s="2364"/>
      <c r="M80" s="2363"/>
      <c r="N80" s="2363"/>
      <c r="O80" s="2364"/>
      <c r="P80" s="2363"/>
      <c r="Q80" s="2363"/>
      <c r="R80" s="2365"/>
    </row>
    <row r="81" spans="2:18" s="2338" customFormat="1">
      <c r="B81" s="2363"/>
      <c r="C81" s="2363"/>
      <c r="D81" s="2363"/>
      <c r="E81" s="2363"/>
      <c r="F81" s="2363"/>
      <c r="G81" s="2364"/>
      <c r="H81" s="2363"/>
      <c r="I81" s="2364"/>
      <c r="J81" s="2363"/>
      <c r="K81" s="2363"/>
      <c r="L81" s="2364"/>
      <c r="M81" s="2363"/>
      <c r="N81" s="2363"/>
      <c r="O81" s="2364"/>
      <c r="P81" s="2363"/>
      <c r="Q81" s="2363"/>
      <c r="R81" s="2365"/>
    </row>
    <row r="82" spans="2:18" s="2338" customFormat="1">
      <c r="B82" s="2363"/>
      <c r="C82" s="2363"/>
      <c r="D82" s="2363"/>
      <c r="E82" s="2363"/>
      <c r="F82" s="2363"/>
      <c r="G82" s="2364"/>
      <c r="H82" s="2363"/>
      <c r="I82" s="2364"/>
      <c r="J82" s="2363"/>
      <c r="K82" s="2363"/>
      <c r="L82" s="2364"/>
      <c r="M82" s="2363"/>
      <c r="N82" s="2363"/>
      <c r="O82" s="2364"/>
      <c r="P82" s="2363"/>
      <c r="Q82" s="2363"/>
      <c r="R82" s="2365"/>
    </row>
    <row r="83" spans="2:18" s="2338" customFormat="1">
      <c r="B83" s="2363"/>
      <c r="C83" s="2363"/>
      <c r="D83" s="2363"/>
      <c r="E83" s="2363"/>
      <c r="F83" s="2363"/>
      <c r="G83" s="2364"/>
      <c r="H83" s="2363"/>
      <c r="I83" s="2364"/>
      <c r="J83" s="2363"/>
      <c r="K83" s="2363"/>
      <c r="L83" s="2364"/>
      <c r="M83" s="2363"/>
      <c r="N83" s="2363"/>
      <c r="O83" s="2364"/>
      <c r="P83" s="2363"/>
      <c r="Q83" s="2363"/>
      <c r="R83" s="2365"/>
    </row>
    <row r="84" spans="2:18" s="2338" customFormat="1">
      <c r="B84" s="2363"/>
      <c r="C84" s="2363"/>
      <c r="D84" s="2363"/>
      <c r="E84" s="2363"/>
      <c r="F84" s="2363"/>
      <c r="G84" s="2364"/>
      <c r="H84" s="2363"/>
      <c r="I84" s="2364"/>
      <c r="J84" s="2363"/>
      <c r="K84" s="2363"/>
      <c r="L84" s="2364"/>
      <c r="M84" s="2363"/>
      <c r="N84" s="2363"/>
      <c r="O84" s="2364"/>
      <c r="P84" s="2363"/>
      <c r="Q84" s="2363"/>
      <c r="R84" s="2365"/>
    </row>
    <row r="85" spans="2:18" s="2338" customFormat="1">
      <c r="B85" s="2363"/>
      <c r="C85" s="2363"/>
      <c r="D85" s="2363"/>
      <c r="E85" s="2363"/>
      <c r="F85" s="2363"/>
      <c r="G85" s="2364"/>
      <c r="H85" s="2363"/>
      <c r="I85" s="2364"/>
      <c r="J85" s="2363"/>
      <c r="K85" s="2363"/>
      <c r="L85" s="2364"/>
      <c r="M85" s="2363"/>
      <c r="N85" s="2363"/>
      <c r="O85" s="2364"/>
      <c r="P85" s="2363"/>
      <c r="Q85" s="2363"/>
      <c r="R85" s="2365"/>
    </row>
    <row r="86" spans="2:18" s="2338" customFormat="1">
      <c r="B86" s="2363"/>
      <c r="C86" s="2363"/>
      <c r="D86" s="2363"/>
      <c r="E86" s="2363"/>
      <c r="F86" s="2363"/>
      <c r="G86" s="2364"/>
      <c r="H86" s="2363"/>
      <c r="I86" s="2364"/>
      <c r="J86" s="2363"/>
      <c r="K86" s="2363"/>
      <c r="L86" s="2364"/>
      <c r="M86" s="2363"/>
      <c r="N86" s="2363"/>
      <c r="O86" s="2364"/>
      <c r="P86" s="2363"/>
      <c r="Q86" s="2363"/>
      <c r="R86" s="2365"/>
    </row>
    <row r="87" spans="2:18" s="2338" customFormat="1">
      <c r="B87" s="2363"/>
      <c r="C87" s="2363"/>
      <c r="D87" s="2363"/>
      <c r="E87" s="2363"/>
      <c r="F87" s="2363"/>
      <c r="G87" s="2364"/>
      <c r="H87" s="2363"/>
      <c r="I87" s="2364"/>
      <c r="J87" s="2363"/>
      <c r="K87" s="2363"/>
      <c r="L87" s="2364"/>
      <c r="M87" s="2363"/>
      <c r="N87" s="2363"/>
      <c r="O87" s="2364"/>
      <c r="P87" s="2363"/>
      <c r="Q87" s="2363"/>
      <c r="R87" s="2365"/>
    </row>
    <row r="88" spans="2:18" s="2338" customFormat="1">
      <c r="B88" s="2363"/>
      <c r="C88" s="2363"/>
      <c r="D88" s="2363"/>
      <c r="E88" s="2363"/>
      <c r="F88" s="2363"/>
      <c r="G88" s="2364"/>
      <c r="H88" s="2363"/>
      <c r="I88" s="2364"/>
      <c r="J88" s="2363"/>
      <c r="K88" s="2363"/>
      <c r="L88" s="2364"/>
      <c r="M88" s="2363"/>
      <c r="N88" s="2363"/>
      <c r="O88" s="2364"/>
      <c r="P88" s="2363"/>
      <c r="Q88" s="2363"/>
      <c r="R88" s="2365"/>
    </row>
    <row r="89" spans="2:18" s="2338" customFormat="1">
      <c r="B89" s="2363"/>
      <c r="C89" s="2363"/>
      <c r="D89" s="2363"/>
      <c r="E89" s="2363"/>
      <c r="F89" s="2363"/>
      <c r="G89" s="2364"/>
      <c r="H89" s="2363"/>
      <c r="I89" s="2364"/>
      <c r="J89" s="2363"/>
      <c r="K89" s="2363"/>
      <c r="L89" s="2364"/>
      <c r="M89" s="2363"/>
      <c r="N89" s="2363"/>
      <c r="O89" s="2364"/>
      <c r="P89" s="2363"/>
      <c r="Q89" s="2363"/>
      <c r="R89" s="2365"/>
    </row>
    <row r="90" spans="2:18" s="2338" customFormat="1">
      <c r="B90" s="2363"/>
      <c r="C90" s="2363"/>
      <c r="D90" s="2363"/>
      <c r="E90" s="2363"/>
      <c r="F90" s="2363"/>
      <c r="G90" s="2364"/>
      <c r="H90" s="2363"/>
      <c r="I90" s="2364"/>
      <c r="J90" s="2363"/>
      <c r="K90" s="2363"/>
      <c r="L90" s="2364"/>
      <c r="M90" s="2363"/>
      <c r="N90" s="2363"/>
      <c r="O90" s="2364"/>
      <c r="P90" s="2363"/>
      <c r="Q90" s="2363"/>
      <c r="R90" s="2365"/>
    </row>
    <row r="91" spans="2:18" s="2338" customFormat="1">
      <c r="B91" s="2363"/>
      <c r="C91" s="2363"/>
      <c r="D91" s="2363"/>
      <c r="E91" s="2363"/>
      <c r="F91" s="2363"/>
      <c r="G91" s="2364"/>
      <c r="H91" s="2363"/>
      <c r="I91" s="2364"/>
      <c r="J91" s="2363"/>
      <c r="K91" s="2363"/>
      <c r="L91" s="2364"/>
      <c r="M91" s="2363"/>
      <c r="N91" s="2363"/>
      <c r="O91" s="2364"/>
      <c r="P91" s="2363"/>
      <c r="Q91" s="2363"/>
      <c r="R91" s="2365"/>
    </row>
    <row r="92" spans="2:18" s="2338" customFormat="1">
      <c r="B92" s="2363"/>
      <c r="C92" s="2363"/>
      <c r="D92" s="2363"/>
      <c r="E92" s="2363"/>
      <c r="F92" s="2363"/>
      <c r="G92" s="2364"/>
      <c r="H92" s="2363"/>
      <c r="I92" s="2364"/>
      <c r="J92" s="2363"/>
      <c r="K92" s="2363"/>
      <c r="L92" s="2364"/>
      <c r="M92" s="2363"/>
      <c r="N92" s="2363"/>
      <c r="O92" s="2364"/>
      <c r="P92" s="2363"/>
      <c r="Q92" s="2363"/>
      <c r="R92" s="2365"/>
    </row>
    <row r="93" spans="2:18" s="2338" customFormat="1">
      <c r="B93" s="2363"/>
      <c r="C93" s="2363"/>
      <c r="D93" s="2363"/>
      <c r="E93" s="2363"/>
      <c r="F93" s="2363"/>
      <c r="G93" s="2364"/>
      <c r="H93" s="2363"/>
      <c r="I93" s="2364"/>
      <c r="J93" s="2363"/>
      <c r="K93" s="2363"/>
      <c r="L93" s="2364"/>
      <c r="M93" s="2363"/>
      <c r="N93" s="2363"/>
      <c r="O93" s="2364"/>
      <c r="P93" s="2363"/>
      <c r="Q93" s="2363"/>
      <c r="R93" s="2365"/>
    </row>
    <row r="94" spans="2:18" s="2338" customFormat="1">
      <c r="B94" s="2363"/>
      <c r="C94" s="2363"/>
      <c r="D94" s="2363"/>
      <c r="E94" s="2363"/>
      <c r="F94" s="2363"/>
      <c r="G94" s="2364"/>
      <c r="H94" s="2363"/>
      <c r="I94" s="2364"/>
      <c r="J94" s="2363"/>
      <c r="K94" s="2363"/>
      <c r="L94" s="2364"/>
      <c r="M94" s="2363"/>
      <c r="N94" s="2363"/>
      <c r="O94" s="2364"/>
      <c r="P94" s="2363"/>
      <c r="Q94" s="2363"/>
      <c r="R94" s="2365"/>
    </row>
    <row r="95" spans="2:18" s="2338" customFormat="1">
      <c r="B95" s="2363"/>
      <c r="C95" s="2363"/>
      <c r="D95" s="2363"/>
      <c r="E95" s="2363"/>
      <c r="F95" s="2363"/>
      <c r="G95" s="2364"/>
      <c r="H95" s="2363"/>
      <c r="I95" s="2364"/>
      <c r="J95" s="2363"/>
      <c r="K95" s="2363"/>
      <c r="L95" s="2364"/>
      <c r="M95" s="2363"/>
      <c r="N95" s="2363"/>
      <c r="O95" s="2364"/>
      <c r="P95" s="2363"/>
      <c r="Q95" s="2363"/>
      <c r="R95" s="2365"/>
    </row>
    <row r="96" spans="2:18" s="2338" customFormat="1">
      <c r="B96" s="2363"/>
      <c r="C96" s="2363"/>
      <c r="D96" s="2363"/>
      <c r="E96" s="2363"/>
      <c r="F96" s="2363"/>
      <c r="G96" s="2364"/>
      <c r="H96" s="2363"/>
      <c r="I96" s="2364"/>
      <c r="J96" s="2363"/>
      <c r="K96" s="2363"/>
      <c r="L96" s="2364"/>
      <c r="M96" s="2363"/>
      <c r="N96" s="2363"/>
      <c r="O96" s="2364"/>
      <c r="P96" s="2363"/>
      <c r="Q96" s="2363"/>
      <c r="R96" s="2365"/>
    </row>
    <row r="97" spans="2:18" s="2338" customFormat="1">
      <c r="B97" s="2363"/>
      <c r="C97" s="2363"/>
      <c r="D97" s="2363"/>
      <c r="E97" s="2363"/>
      <c r="F97" s="2363"/>
      <c r="G97" s="2364"/>
      <c r="H97" s="2363"/>
      <c r="I97" s="2364"/>
      <c r="J97" s="2363"/>
      <c r="K97" s="2363"/>
      <c r="L97" s="2364"/>
      <c r="M97" s="2363"/>
      <c r="N97" s="2363"/>
      <c r="O97" s="2364"/>
      <c r="P97" s="2363"/>
      <c r="Q97" s="2363"/>
      <c r="R97" s="2365"/>
    </row>
    <row r="98" spans="2:18" s="2338" customFormat="1">
      <c r="B98" s="2363"/>
      <c r="C98" s="2363"/>
      <c r="D98" s="2363"/>
      <c r="E98" s="2363"/>
      <c r="F98" s="2363"/>
      <c r="G98" s="2364"/>
      <c r="H98" s="2363"/>
      <c r="I98" s="2364"/>
      <c r="J98" s="2363"/>
      <c r="K98" s="2363"/>
      <c r="L98" s="2364"/>
      <c r="M98" s="2363"/>
      <c r="N98" s="2363"/>
      <c r="O98" s="2364"/>
      <c r="P98" s="2363"/>
      <c r="Q98" s="2363"/>
      <c r="R98" s="2365"/>
    </row>
    <row r="99" spans="2:18" s="2338" customFormat="1">
      <c r="B99" s="2363"/>
      <c r="C99" s="2363"/>
      <c r="D99" s="2363"/>
      <c r="E99" s="2363"/>
      <c r="F99" s="2363"/>
      <c r="G99" s="2364"/>
      <c r="H99" s="2363"/>
      <c r="I99" s="2364"/>
      <c r="J99" s="2363"/>
      <c r="K99" s="2363"/>
      <c r="L99" s="2364"/>
      <c r="M99" s="2363"/>
      <c r="N99" s="2363"/>
      <c r="O99" s="2364"/>
      <c r="P99" s="2363"/>
      <c r="Q99" s="2363"/>
      <c r="R99" s="2365"/>
    </row>
    <row r="100" spans="2:18" s="2338" customFormat="1">
      <c r="B100" s="2363"/>
      <c r="C100" s="2363"/>
      <c r="D100" s="2363"/>
      <c r="E100" s="2363"/>
      <c r="F100" s="2363"/>
      <c r="G100" s="2364"/>
      <c r="H100" s="2363"/>
      <c r="I100" s="2364"/>
      <c r="J100" s="2363"/>
      <c r="K100" s="2363"/>
      <c r="L100" s="2364"/>
      <c r="M100" s="2363"/>
      <c r="N100" s="2363"/>
      <c r="O100" s="2364"/>
      <c r="P100" s="2363"/>
      <c r="Q100" s="2363"/>
      <c r="R100" s="2365"/>
    </row>
    <row r="101" spans="2:18" s="2338" customFormat="1">
      <c r="B101" s="2363"/>
      <c r="C101" s="2363"/>
      <c r="D101" s="2363"/>
      <c r="E101" s="2363"/>
      <c r="F101" s="2363"/>
      <c r="G101" s="2364"/>
      <c r="H101" s="2363"/>
      <c r="I101" s="2364"/>
      <c r="J101" s="2363"/>
      <c r="K101" s="2363"/>
      <c r="L101" s="2364"/>
      <c r="M101" s="2363"/>
      <c r="N101" s="2363"/>
      <c r="O101" s="2364"/>
      <c r="P101" s="2363"/>
      <c r="Q101" s="2363"/>
      <c r="R101" s="2365"/>
    </row>
    <row r="102" spans="2:18" s="2338" customFormat="1">
      <c r="B102" s="2363"/>
      <c r="C102" s="2363"/>
      <c r="D102" s="2363"/>
      <c r="E102" s="2363"/>
      <c r="F102" s="2363"/>
      <c r="G102" s="2364"/>
      <c r="H102" s="2363"/>
      <c r="I102" s="2364"/>
      <c r="J102" s="2363"/>
      <c r="K102" s="2363"/>
      <c r="L102" s="2364"/>
      <c r="M102" s="2363"/>
      <c r="N102" s="2363"/>
      <c r="O102" s="2364"/>
      <c r="P102" s="2363"/>
      <c r="Q102" s="2363"/>
      <c r="R102" s="2365"/>
    </row>
    <row r="103" spans="2:18" s="2338" customFormat="1">
      <c r="B103" s="2363"/>
      <c r="C103" s="2363"/>
      <c r="D103" s="2363"/>
      <c r="E103" s="2363"/>
      <c r="F103" s="2363"/>
      <c r="G103" s="2364"/>
      <c r="H103" s="2363"/>
      <c r="I103" s="2364"/>
      <c r="J103" s="2363"/>
      <c r="K103" s="2363"/>
      <c r="L103" s="2364"/>
      <c r="M103" s="2363"/>
      <c r="N103" s="2363"/>
      <c r="O103" s="2364"/>
      <c r="P103" s="2363"/>
      <c r="Q103" s="2363"/>
      <c r="R103" s="2365"/>
    </row>
    <row r="104" spans="2:18" s="2338" customFormat="1">
      <c r="B104" s="2363"/>
      <c r="C104" s="2363"/>
      <c r="D104" s="2363"/>
      <c r="E104" s="2363"/>
      <c r="F104" s="2363"/>
      <c r="G104" s="2364"/>
      <c r="H104" s="2363"/>
      <c r="I104" s="2364"/>
      <c r="J104" s="2363"/>
      <c r="K104" s="2363"/>
      <c r="L104" s="2364"/>
      <c r="M104" s="2363"/>
      <c r="N104" s="2363"/>
      <c r="O104" s="2364"/>
      <c r="P104" s="2363"/>
      <c r="Q104" s="2363"/>
      <c r="R104" s="2365"/>
    </row>
    <row r="105" spans="2:18" s="2338" customFormat="1">
      <c r="B105" s="2363"/>
      <c r="C105" s="2363"/>
      <c r="D105" s="2363"/>
      <c r="E105" s="2363"/>
      <c r="F105" s="2363"/>
      <c r="G105" s="2364"/>
      <c r="H105" s="2363"/>
      <c r="I105" s="2364"/>
      <c r="J105" s="2363"/>
      <c r="K105" s="2363"/>
      <c r="L105" s="2364"/>
      <c r="M105" s="2363"/>
      <c r="N105" s="2363"/>
      <c r="O105" s="2364"/>
      <c r="P105" s="2363"/>
      <c r="Q105" s="2363"/>
      <c r="R105" s="2365"/>
    </row>
    <row r="106" spans="2:18" s="2338" customFormat="1">
      <c r="B106" s="2363"/>
      <c r="C106" s="2363"/>
      <c r="D106" s="2363"/>
      <c r="E106" s="2363"/>
      <c r="F106" s="2363"/>
      <c r="G106" s="2364"/>
      <c r="H106" s="2363"/>
      <c r="I106" s="2364"/>
      <c r="J106" s="2363"/>
      <c r="K106" s="2363"/>
      <c r="L106" s="2364"/>
      <c r="M106" s="2363"/>
      <c r="N106" s="2363"/>
      <c r="O106" s="2364"/>
      <c r="P106" s="2363"/>
      <c r="Q106" s="2363"/>
      <c r="R106" s="2365"/>
    </row>
    <row r="107" spans="2:18" s="2338" customFormat="1">
      <c r="B107" s="2363"/>
      <c r="C107" s="2363"/>
      <c r="D107" s="2363"/>
      <c r="E107" s="2363"/>
      <c r="F107" s="2363"/>
      <c r="G107" s="2364"/>
      <c r="H107" s="2363"/>
      <c r="I107" s="2364"/>
      <c r="J107" s="2363"/>
      <c r="K107" s="2363"/>
      <c r="L107" s="2364"/>
      <c r="M107" s="2363"/>
      <c r="N107" s="2363"/>
      <c r="O107" s="2364"/>
      <c r="P107" s="2363"/>
      <c r="Q107" s="2363"/>
      <c r="R107" s="2365"/>
    </row>
    <row r="108" spans="2:18" s="2338" customFormat="1">
      <c r="B108" s="2363"/>
      <c r="C108" s="2363"/>
      <c r="D108" s="2363"/>
      <c r="E108" s="2363"/>
      <c r="F108" s="2363"/>
      <c r="G108" s="2364"/>
      <c r="H108" s="2363"/>
      <c r="I108" s="2364"/>
      <c r="J108" s="2363"/>
      <c r="K108" s="2363"/>
      <c r="L108" s="2364"/>
      <c r="M108" s="2363"/>
      <c r="N108" s="2363"/>
      <c r="O108" s="2364"/>
      <c r="P108" s="2363"/>
      <c r="Q108" s="2363"/>
      <c r="R108" s="2365"/>
    </row>
    <row r="109" spans="2:18" s="2338" customFormat="1">
      <c r="B109" s="2363"/>
      <c r="C109" s="2363"/>
      <c r="D109" s="2363"/>
      <c r="E109" s="2363"/>
      <c r="F109" s="2363"/>
      <c r="G109" s="2364"/>
      <c r="H109" s="2363"/>
      <c r="I109" s="2364"/>
      <c r="J109" s="2363"/>
      <c r="K109" s="2363"/>
      <c r="L109" s="2364"/>
      <c r="M109" s="2363"/>
      <c r="N109" s="2363"/>
      <c r="O109" s="2364"/>
      <c r="P109" s="2363"/>
      <c r="Q109" s="2363"/>
      <c r="R109" s="2365"/>
    </row>
    <row r="110" spans="2:18" s="2338" customFormat="1">
      <c r="B110" s="2363"/>
      <c r="C110" s="2363"/>
      <c r="D110" s="2363"/>
      <c r="E110" s="2363"/>
      <c r="F110" s="2363"/>
      <c r="G110" s="2364"/>
      <c r="H110" s="2363"/>
      <c r="I110" s="2364"/>
      <c r="J110" s="2363"/>
      <c r="K110" s="2363"/>
      <c r="L110" s="2364"/>
      <c r="M110" s="2363"/>
      <c r="N110" s="2363"/>
      <c r="O110" s="2364"/>
      <c r="P110" s="2363"/>
      <c r="Q110" s="2363"/>
      <c r="R110" s="2365"/>
    </row>
    <row r="111" spans="2:18" s="2338" customFormat="1">
      <c r="B111" s="2363"/>
      <c r="C111" s="2363"/>
      <c r="D111" s="2363"/>
      <c r="E111" s="2363"/>
      <c r="F111" s="2363"/>
      <c r="G111" s="2364"/>
      <c r="H111" s="2363"/>
      <c r="I111" s="2364"/>
      <c r="J111" s="2363"/>
      <c r="K111" s="2363"/>
      <c r="L111" s="2364"/>
      <c r="M111" s="2363"/>
      <c r="N111" s="2363"/>
      <c r="O111" s="2364"/>
      <c r="P111" s="2363"/>
      <c r="Q111" s="2363"/>
      <c r="R111" s="2365"/>
    </row>
    <row r="112" spans="2:18" s="2338" customFormat="1">
      <c r="B112" s="2363"/>
      <c r="C112" s="2363"/>
      <c r="D112" s="2363"/>
      <c r="E112" s="2363"/>
      <c r="F112" s="2363"/>
      <c r="G112" s="2364"/>
      <c r="H112" s="2363"/>
      <c r="I112" s="2364"/>
      <c r="J112" s="2363"/>
      <c r="K112" s="2363"/>
      <c r="L112" s="2364"/>
      <c r="M112" s="2363"/>
      <c r="N112" s="2363"/>
      <c r="O112" s="2364"/>
      <c r="P112" s="2363"/>
      <c r="Q112" s="2363"/>
      <c r="R112" s="2365"/>
    </row>
    <row r="113" spans="2:18" s="2338" customFormat="1">
      <c r="B113" s="2363"/>
      <c r="C113" s="2363"/>
      <c r="D113" s="2363"/>
      <c r="E113" s="2363"/>
      <c r="F113" s="2363"/>
      <c r="G113" s="2364"/>
      <c r="H113" s="2363"/>
      <c r="I113" s="2364"/>
      <c r="J113" s="2363"/>
      <c r="K113" s="2363"/>
      <c r="L113" s="2364"/>
      <c r="M113" s="2363"/>
      <c r="N113" s="2363"/>
      <c r="O113" s="2364"/>
      <c r="P113" s="2363"/>
      <c r="Q113" s="2363"/>
      <c r="R113" s="2365"/>
    </row>
    <row r="114" spans="2:18" s="2338" customFormat="1">
      <c r="B114" s="2363"/>
      <c r="C114" s="2363"/>
      <c r="D114" s="2363"/>
      <c r="E114" s="2363"/>
      <c r="F114" s="2363"/>
      <c r="G114" s="2364"/>
      <c r="H114" s="2363"/>
      <c r="I114" s="2364"/>
      <c r="J114" s="2363"/>
      <c r="K114" s="2363"/>
      <c r="L114" s="2364"/>
      <c r="M114" s="2363"/>
      <c r="N114" s="2363"/>
      <c r="O114" s="2364"/>
      <c r="P114" s="2363"/>
      <c r="Q114" s="2363"/>
      <c r="R114" s="2365"/>
    </row>
    <row r="115" spans="2:18" s="2338" customFormat="1">
      <c r="B115" s="2363"/>
      <c r="C115" s="2363"/>
      <c r="D115" s="2363"/>
      <c r="E115" s="2363"/>
      <c r="F115" s="2363"/>
      <c r="G115" s="2364"/>
      <c r="H115" s="2363"/>
      <c r="I115" s="2364"/>
      <c r="J115" s="2363"/>
      <c r="K115" s="2363"/>
      <c r="L115" s="2364"/>
      <c r="M115" s="2363"/>
      <c r="N115" s="2363"/>
      <c r="O115" s="2364"/>
      <c r="P115" s="2363"/>
      <c r="Q115" s="2363"/>
      <c r="R115" s="2365"/>
    </row>
    <row r="116" spans="2:18" s="2338" customFormat="1">
      <c r="B116" s="2363"/>
      <c r="C116" s="2363"/>
      <c r="D116" s="2363"/>
      <c r="E116" s="2363"/>
      <c r="F116" s="2363"/>
      <c r="G116" s="2364"/>
      <c r="H116" s="2363"/>
      <c r="I116" s="2364"/>
      <c r="J116" s="2363"/>
      <c r="K116" s="2363"/>
      <c r="L116" s="2364"/>
      <c r="M116" s="2363"/>
      <c r="N116" s="2363"/>
      <c r="O116" s="2364"/>
      <c r="P116" s="2363"/>
      <c r="Q116" s="2363"/>
      <c r="R116" s="2365"/>
    </row>
    <row r="117" spans="2:18" s="2338" customFormat="1">
      <c r="B117" s="2363"/>
      <c r="C117" s="2363"/>
      <c r="D117" s="2363"/>
      <c r="E117" s="2363"/>
      <c r="F117" s="2363"/>
      <c r="G117" s="2364"/>
      <c r="H117" s="2363"/>
      <c r="I117" s="2364"/>
      <c r="J117" s="2363"/>
      <c r="K117" s="2363"/>
      <c r="L117" s="2364"/>
      <c r="M117" s="2363"/>
      <c r="N117" s="2363"/>
      <c r="O117" s="2364"/>
      <c r="P117" s="2363"/>
      <c r="Q117" s="2363"/>
      <c r="R117" s="2365"/>
    </row>
    <row r="118" spans="2:18" s="2338" customFormat="1">
      <c r="B118" s="2363"/>
      <c r="C118" s="2363"/>
      <c r="D118" s="2363"/>
      <c r="E118" s="2363"/>
      <c r="F118" s="2363"/>
      <c r="G118" s="2364"/>
      <c r="H118" s="2363"/>
      <c r="I118" s="2364"/>
      <c r="J118" s="2363"/>
      <c r="K118" s="2363"/>
      <c r="L118" s="2364"/>
      <c r="M118" s="2363"/>
      <c r="N118" s="2363"/>
      <c r="O118" s="2364"/>
      <c r="P118" s="2363"/>
      <c r="Q118" s="2363"/>
      <c r="R118" s="2365"/>
    </row>
    <row r="119" spans="2:18" s="2338" customFormat="1">
      <c r="B119" s="2363"/>
      <c r="C119" s="2363"/>
      <c r="D119" s="2363"/>
      <c r="E119" s="2363"/>
      <c r="F119" s="2363"/>
      <c r="G119" s="2364"/>
      <c r="H119" s="2363"/>
      <c r="I119" s="2364"/>
      <c r="J119" s="2363"/>
      <c r="K119" s="2363"/>
      <c r="L119" s="2364"/>
      <c r="M119" s="2363"/>
      <c r="N119" s="2363"/>
      <c r="O119" s="2364"/>
      <c r="P119" s="2363"/>
      <c r="Q119" s="2363"/>
      <c r="R119" s="2365"/>
    </row>
    <row r="120" spans="2:18" s="2338" customFormat="1">
      <c r="B120" s="2363"/>
      <c r="C120" s="2363"/>
      <c r="D120" s="2363"/>
      <c r="E120" s="2363"/>
      <c r="F120" s="2363"/>
      <c r="G120" s="2364"/>
      <c r="H120" s="2363"/>
      <c r="I120" s="2364"/>
      <c r="J120" s="2363"/>
      <c r="K120" s="2363"/>
      <c r="L120" s="2364"/>
      <c r="M120" s="2363"/>
      <c r="N120" s="2363"/>
      <c r="O120" s="2364"/>
      <c r="P120" s="2363"/>
      <c r="Q120" s="2363"/>
      <c r="R120" s="2365"/>
    </row>
    <row r="121" spans="2:18" s="2338" customFormat="1">
      <c r="B121" s="2363"/>
      <c r="C121" s="2363"/>
      <c r="D121" s="2363"/>
      <c r="E121" s="2363"/>
      <c r="F121" s="2363"/>
      <c r="G121" s="2364"/>
      <c r="H121" s="2363"/>
      <c r="I121" s="2364"/>
      <c r="J121" s="2363"/>
      <c r="K121" s="2363"/>
      <c r="L121" s="2364"/>
      <c r="M121" s="2363"/>
      <c r="N121" s="2363"/>
      <c r="O121" s="2364"/>
      <c r="P121" s="2363"/>
      <c r="Q121" s="2363"/>
      <c r="R121" s="2365"/>
    </row>
    <row r="122" spans="2:18" s="2338" customFormat="1">
      <c r="B122" s="2363"/>
      <c r="C122" s="2363"/>
      <c r="D122" s="2363"/>
      <c r="E122" s="2363"/>
      <c r="F122" s="2363"/>
      <c r="G122" s="2364"/>
      <c r="H122" s="2363"/>
      <c r="I122" s="2364"/>
      <c r="J122" s="2363"/>
      <c r="K122" s="2363"/>
      <c r="L122" s="2364"/>
      <c r="M122" s="2363"/>
      <c r="N122" s="2363"/>
      <c r="O122" s="2364"/>
      <c r="P122" s="2363"/>
      <c r="Q122" s="2363"/>
      <c r="R122" s="2365"/>
    </row>
    <row r="123" spans="2:18" s="2338" customFormat="1">
      <c r="B123" s="2363"/>
      <c r="C123" s="2363"/>
      <c r="D123" s="2363"/>
      <c r="E123" s="2363"/>
      <c r="F123" s="2363"/>
      <c r="G123" s="2364"/>
      <c r="H123" s="2363"/>
      <c r="I123" s="2364"/>
      <c r="J123" s="2363"/>
      <c r="K123" s="2363"/>
      <c r="L123" s="2364"/>
      <c r="M123" s="2363"/>
      <c r="N123" s="2363"/>
      <c r="O123" s="2364"/>
      <c r="P123" s="2363"/>
      <c r="Q123" s="2363"/>
      <c r="R123" s="2365"/>
    </row>
    <row r="124" spans="2:18" s="2338" customFormat="1">
      <c r="B124" s="2363"/>
      <c r="C124" s="2363"/>
      <c r="D124" s="2363"/>
      <c r="E124" s="2363"/>
      <c r="F124" s="2363"/>
      <c r="G124" s="2364"/>
      <c r="H124" s="2363"/>
      <c r="I124" s="2364"/>
      <c r="J124" s="2363"/>
      <c r="K124" s="2363"/>
      <c r="L124" s="2364"/>
      <c r="M124" s="2363"/>
      <c r="N124" s="2363"/>
      <c r="O124" s="2364"/>
      <c r="P124" s="2363"/>
      <c r="Q124" s="2363"/>
      <c r="R124" s="2365"/>
    </row>
    <row r="125" spans="2:18" s="2338" customFormat="1">
      <c r="B125" s="2363"/>
      <c r="C125" s="2363"/>
      <c r="D125" s="2363"/>
      <c r="E125" s="2363"/>
      <c r="F125" s="2363"/>
      <c r="G125" s="2364"/>
      <c r="H125" s="2363"/>
      <c r="I125" s="2364"/>
      <c r="J125" s="2363"/>
      <c r="K125" s="2363"/>
      <c r="L125" s="2364"/>
      <c r="M125" s="2363"/>
      <c r="N125" s="2363"/>
      <c r="O125" s="2364"/>
      <c r="P125" s="2363"/>
      <c r="Q125" s="2363"/>
      <c r="R125" s="2365"/>
    </row>
    <row r="126" spans="2:18" s="2338" customFormat="1">
      <c r="B126" s="2363"/>
      <c r="C126" s="2363"/>
      <c r="D126" s="2363"/>
      <c r="E126" s="2363"/>
      <c r="F126" s="2363"/>
      <c r="G126" s="2364"/>
      <c r="H126" s="2363"/>
      <c r="I126" s="2364"/>
      <c r="J126" s="2363"/>
      <c r="K126" s="2363"/>
      <c r="L126" s="2364"/>
      <c r="M126" s="2363"/>
      <c r="N126" s="2363"/>
      <c r="O126" s="2364"/>
      <c r="P126" s="2363"/>
      <c r="Q126" s="2363"/>
      <c r="R126" s="2365"/>
    </row>
    <row r="127" spans="2:18" s="2338" customFormat="1">
      <c r="B127" s="2363"/>
      <c r="C127" s="2363"/>
      <c r="D127" s="2363"/>
      <c r="E127" s="2363"/>
      <c r="F127" s="2363"/>
      <c r="G127" s="2364"/>
      <c r="H127" s="2363"/>
      <c r="I127" s="2364"/>
      <c r="J127" s="2363"/>
      <c r="K127" s="2363"/>
      <c r="L127" s="2364"/>
      <c r="M127" s="2363"/>
      <c r="N127" s="2363"/>
      <c r="O127" s="2364"/>
      <c r="P127" s="2363"/>
      <c r="Q127" s="2363"/>
      <c r="R127" s="2365"/>
    </row>
    <row r="128" spans="2:18" s="2338" customFormat="1">
      <c r="B128" s="2363"/>
      <c r="C128" s="2363"/>
      <c r="D128" s="2363"/>
      <c r="E128" s="2363"/>
      <c r="F128" s="2363"/>
      <c r="G128" s="2364"/>
      <c r="H128" s="2363"/>
      <c r="I128" s="2364"/>
      <c r="J128" s="2363"/>
      <c r="K128" s="2363"/>
      <c r="L128" s="2364"/>
      <c r="M128" s="2363"/>
      <c r="N128" s="2363"/>
      <c r="O128" s="2364"/>
      <c r="P128" s="2363"/>
      <c r="Q128" s="2363"/>
      <c r="R128" s="2365"/>
    </row>
    <row r="129" spans="2:18" s="2338" customFormat="1">
      <c r="B129" s="2363"/>
      <c r="C129" s="2363"/>
      <c r="D129" s="2363"/>
      <c r="E129" s="2363"/>
      <c r="F129" s="2363"/>
      <c r="G129" s="2364"/>
      <c r="H129" s="2363"/>
      <c r="I129" s="2364"/>
      <c r="J129" s="2363"/>
      <c r="K129" s="2363"/>
      <c r="L129" s="2364"/>
      <c r="M129" s="2363"/>
      <c r="N129" s="2363"/>
      <c r="O129" s="2364"/>
      <c r="P129" s="2363"/>
      <c r="Q129" s="2363"/>
      <c r="R129" s="2365"/>
    </row>
    <row r="130" spans="2:18" s="2338" customFormat="1">
      <c r="B130" s="2363"/>
      <c r="C130" s="2363"/>
      <c r="D130" s="2363"/>
      <c r="E130" s="2363"/>
      <c r="F130" s="2363"/>
      <c r="G130" s="2364"/>
      <c r="H130" s="2363"/>
      <c r="I130" s="2364"/>
      <c r="J130" s="2363"/>
      <c r="K130" s="2363"/>
      <c r="L130" s="2364"/>
      <c r="M130" s="2363"/>
      <c r="N130" s="2363"/>
      <c r="O130" s="2364"/>
      <c r="P130" s="2363"/>
      <c r="Q130" s="2363"/>
      <c r="R130" s="2365"/>
    </row>
    <row r="131" spans="2:18" s="2338" customFormat="1">
      <c r="B131" s="2363"/>
      <c r="C131" s="2363"/>
      <c r="D131" s="2363"/>
      <c r="E131" s="2363"/>
      <c r="F131" s="2363"/>
      <c r="G131" s="2364"/>
      <c r="H131" s="2363"/>
      <c r="I131" s="2364"/>
      <c r="J131" s="2363"/>
      <c r="K131" s="2363"/>
      <c r="L131" s="2364"/>
      <c r="M131" s="2363"/>
      <c r="N131" s="2363"/>
      <c r="O131" s="2364"/>
      <c r="P131" s="2363"/>
      <c r="Q131" s="2363"/>
      <c r="R131" s="2365"/>
    </row>
    <row r="132" spans="2:18" s="2338" customFormat="1">
      <c r="B132" s="2363"/>
      <c r="C132" s="2363"/>
      <c r="D132" s="2363"/>
      <c r="E132" s="2363"/>
      <c r="F132" s="2363"/>
      <c r="G132" s="2364"/>
      <c r="H132" s="2363"/>
      <c r="I132" s="2364"/>
      <c r="J132" s="2363"/>
      <c r="K132" s="2363"/>
      <c r="L132" s="2364"/>
      <c r="M132" s="2363"/>
      <c r="N132" s="2363"/>
      <c r="O132" s="2364"/>
      <c r="P132" s="2363"/>
      <c r="Q132" s="2363"/>
      <c r="R132" s="2365"/>
    </row>
    <row r="133" spans="2:18" s="2338" customFormat="1">
      <c r="B133" s="2363"/>
      <c r="C133" s="2363"/>
      <c r="D133" s="2363"/>
      <c r="E133" s="2363"/>
      <c r="F133" s="2363"/>
      <c r="G133" s="2364"/>
      <c r="H133" s="2363"/>
      <c r="I133" s="2364"/>
      <c r="J133" s="2363"/>
      <c r="K133" s="2363"/>
      <c r="L133" s="2364"/>
      <c r="M133" s="2363"/>
      <c r="N133" s="2363"/>
      <c r="O133" s="2364"/>
      <c r="P133" s="2363"/>
      <c r="Q133" s="2363"/>
      <c r="R133" s="2365"/>
    </row>
    <row r="134" spans="2:18" s="2338" customFormat="1">
      <c r="B134" s="2363"/>
      <c r="C134" s="2363"/>
      <c r="D134" s="2363"/>
      <c r="E134" s="2363"/>
      <c r="F134" s="2363"/>
      <c r="G134" s="2364"/>
      <c r="H134" s="2363"/>
      <c r="I134" s="2364"/>
      <c r="J134" s="2363"/>
      <c r="K134" s="2363"/>
      <c r="L134" s="2364"/>
      <c r="M134" s="2363"/>
      <c r="N134" s="2363"/>
      <c r="O134" s="2364"/>
      <c r="P134" s="2363"/>
      <c r="Q134" s="2363"/>
      <c r="R134" s="2365"/>
    </row>
    <row r="135" spans="2:18" s="2338" customFormat="1">
      <c r="B135" s="2363"/>
      <c r="C135" s="2363"/>
      <c r="D135" s="2363"/>
      <c r="E135" s="2363"/>
      <c r="F135" s="2363"/>
      <c r="G135" s="2364"/>
      <c r="H135" s="2363"/>
      <c r="I135" s="2364"/>
      <c r="J135" s="2363"/>
      <c r="K135" s="2363"/>
      <c r="L135" s="2364"/>
      <c r="M135" s="2363"/>
      <c r="N135" s="2363"/>
      <c r="O135" s="2364"/>
      <c r="P135" s="2363"/>
      <c r="Q135" s="2363"/>
      <c r="R135" s="2365"/>
    </row>
    <row r="136" spans="2:18" s="2338" customFormat="1">
      <c r="B136" s="2363"/>
      <c r="C136" s="2363"/>
      <c r="D136" s="2363"/>
      <c r="E136" s="2363"/>
      <c r="F136" s="2363"/>
      <c r="G136" s="2364"/>
      <c r="H136" s="2363"/>
      <c r="I136" s="2364"/>
      <c r="J136" s="2363"/>
      <c r="K136" s="2363"/>
      <c r="L136" s="2364"/>
      <c r="M136" s="2363"/>
      <c r="N136" s="2363"/>
      <c r="O136" s="2364"/>
      <c r="P136" s="2363"/>
      <c r="Q136" s="2363"/>
      <c r="R136" s="2365"/>
    </row>
    <row r="137" spans="2:18" s="2338" customFormat="1">
      <c r="B137" s="2363"/>
      <c r="C137" s="2363"/>
      <c r="D137" s="2363"/>
      <c r="E137" s="2363"/>
      <c r="F137" s="2363"/>
      <c r="G137" s="2364"/>
      <c r="H137" s="2363"/>
      <c r="I137" s="2364"/>
      <c r="J137" s="2363"/>
      <c r="K137" s="2363"/>
      <c r="L137" s="2364"/>
      <c r="M137" s="2363"/>
      <c r="N137" s="2363"/>
      <c r="O137" s="2364"/>
      <c r="P137" s="2363"/>
      <c r="Q137" s="2363"/>
      <c r="R137" s="2365"/>
    </row>
    <row r="138" spans="2:18" s="2338" customFormat="1">
      <c r="B138" s="2363"/>
      <c r="C138" s="2363"/>
      <c r="D138" s="2363"/>
      <c r="E138" s="2363"/>
      <c r="F138" s="2363"/>
      <c r="G138" s="2364"/>
      <c r="H138" s="2363"/>
      <c r="I138" s="2364"/>
      <c r="J138" s="2363"/>
      <c r="K138" s="2363"/>
      <c r="L138" s="2364"/>
      <c r="M138" s="2363"/>
      <c r="N138" s="2363"/>
      <c r="O138" s="2364"/>
      <c r="P138" s="2363"/>
      <c r="Q138" s="2363"/>
      <c r="R138" s="2365"/>
    </row>
    <row r="139" spans="2:18" s="2338" customFormat="1">
      <c r="B139" s="2363"/>
      <c r="C139" s="2363"/>
      <c r="D139" s="2363"/>
      <c r="E139" s="2363"/>
      <c r="F139" s="2363"/>
      <c r="G139" s="2364"/>
      <c r="H139" s="2363"/>
      <c r="I139" s="2364"/>
      <c r="J139" s="2363"/>
      <c r="K139" s="2363"/>
      <c r="L139" s="2364"/>
      <c r="M139" s="2363"/>
      <c r="N139" s="2363"/>
      <c r="O139" s="2364"/>
      <c r="P139" s="2363"/>
      <c r="Q139" s="2363"/>
      <c r="R139" s="2365"/>
    </row>
    <row r="140" spans="2:18" s="2338" customFormat="1">
      <c r="B140" s="2363"/>
      <c r="C140" s="2363"/>
      <c r="D140" s="2363"/>
      <c r="E140" s="2363"/>
      <c r="F140" s="2363"/>
      <c r="G140" s="2364"/>
      <c r="H140" s="2363"/>
      <c r="I140" s="2364"/>
      <c r="J140" s="2363"/>
      <c r="K140" s="2363"/>
      <c r="L140" s="2364"/>
      <c r="M140" s="2363"/>
      <c r="N140" s="2363"/>
      <c r="O140" s="2364"/>
      <c r="P140" s="2363"/>
      <c r="Q140" s="2363"/>
      <c r="R140" s="2365"/>
    </row>
    <row r="141" spans="2:18" s="2338" customFormat="1">
      <c r="B141" s="2363"/>
      <c r="C141" s="2363"/>
      <c r="D141" s="2363"/>
      <c r="E141" s="2363"/>
      <c r="F141" s="2363"/>
      <c r="G141" s="2364"/>
      <c r="H141" s="2363"/>
      <c r="I141" s="2364"/>
      <c r="J141" s="2363"/>
      <c r="K141" s="2363"/>
      <c r="L141" s="2364"/>
      <c r="M141" s="2363"/>
      <c r="N141" s="2363"/>
      <c r="O141" s="2364"/>
      <c r="P141" s="2363"/>
      <c r="Q141" s="2363"/>
      <c r="R141" s="2365"/>
    </row>
    <row r="142" spans="2:18" s="2338" customFormat="1">
      <c r="B142" s="2363"/>
      <c r="C142" s="2363"/>
      <c r="D142" s="2363"/>
      <c r="E142" s="2363"/>
      <c r="F142" s="2363"/>
      <c r="G142" s="2364"/>
      <c r="H142" s="2363"/>
      <c r="I142" s="2364"/>
      <c r="J142" s="2363"/>
      <c r="K142" s="2363"/>
      <c r="L142" s="2364"/>
      <c r="M142" s="2363"/>
      <c r="N142" s="2363"/>
      <c r="O142" s="2364"/>
      <c r="P142" s="2363"/>
      <c r="Q142" s="2363"/>
      <c r="R142" s="2365"/>
    </row>
    <row r="143" spans="2:18" s="2338" customFormat="1">
      <c r="B143" s="2363"/>
      <c r="C143" s="2363"/>
      <c r="D143" s="2363"/>
      <c r="E143" s="2363"/>
      <c r="F143" s="2363"/>
      <c r="G143" s="2364"/>
      <c r="H143" s="2363"/>
      <c r="I143" s="2364"/>
      <c r="J143" s="2363"/>
      <c r="K143" s="2363"/>
      <c r="L143" s="2364"/>
      <c r="M143" s="2363"/>
      <c r="N143" s="2363"/>
      <c r="O143" s="2364"/>
      <c r="P143" s="2363"/>
      <c r="Q143" s="2363"/>
      <c r="R143" s="2365"/>
    </row>
    <row r="144" spans="2:18" s="2338" customFormat="1">
      <c r="B144" s="2363"/>
      <c r="C144" s="2363"/>
      <c r="D144" s="2363"/>
      <c r="E144" s="2363"/>
      <c r="F144" s="2363"/>
      <c r="G144" s="2364"/>
      <c r="H144" s="2363"/>
      <c r="I144" s="2364"/>
      <c r="J144" s="2363"/>
      <c r="K144" s="2363"/>
      <c r="L144" s="2364"/>
      <c r="M144" s="2363"/>
      <c r="N144" s="2363"/>
      <c r="O144" s="2364"/>
      <c r="P144" s="2363"/>
      <c r="Q144" s="2363"/>
      <c r="R144" s="2365"/>
    </row>
    <row r="145" spans="2:18" s="2338" customFormat="1">
      <c r="B145" s="2363"/>
      <c r="C145" s="2363"/>
      <c r="D145" s="2363"/>
      <c r="E145" s="2363"/>
      <c r="F145" s="2363"/>
      <c r="G145" s="2364"/>
      <c r="H145" s="2363"/>
      <c r="I145" s="2364"/>
      <c r="J145" s="2363"/>
      <c r="K145" s="2363"/>
      <c r="L145" s="2364"/>
      <c r="M145" s="2363"/>
      <c r="N145" s="2363"/>
      <c r="O145" s="2364"/>
      <c r="P145" s="2363"/>
      <c r="Q145" s="2363"/>
      <c r="R145" s="2365"/>
    </row>
    <row r="146" spans="2:18" s="2338" customFormat="1">
      <c r="B146" s="2363"/>
      <c r="C146" s="2363"/>
      <c r="D146" s="2363"/>
      <c r="E146" s="2363"/>
      <c r="F146" s="2363"/>
      <c r="G146" s="2364"/>
      <c r="H146" s="2363"/>
      <c r="I146" s="2364"/>
      <c r="J146" s="2363"/>
      <c r="K146" s="2363"/>
      <c r="L146" s="2364"/>
      <c r="M146" s="2363"/>
      <c r="N146" s="2363"/>
      <c r="O146" s="2364"/>
      <c r="P146" s="2363"/>
      <c r="Q146" s="2363"/>
      <c r="R146" s="2365"/>
    </row>
    <row r="147" spans="2:18" s="2338" customFormat="1">
      <c r="B147" s="2363"/>
      <c r="C147" s="2363"/>
      <c r="D147" s="2363"/>
      <c r="E147" s="2363"/>
      <c r="F147" s="2363"/>
      <c r="G147" s="2364"/>
      <c r="H147" s="2363"/>
      <c r="I147" s="2364"/>
      <c r="J147" s="2363"/>
      <c r="K147" s="2363"/>
      <c r="L147" s="2364"/>
      <c r="M147" s="2363"/>
      <c r="N147" s="2363"/>
      <c r="O147" s="2364"/>
      <c r="P147" s="2363"/>
      <c r="Q147" s="2363"/>
      <c r="R147" s="2365"/>
    </row>
    <row r="148" spans="2:18" s="2338" customFormat="1">
      <c r="B148" s="2363"/>
      <c r="C148" s="2363"/>
      <c r="D148" s="2363"/>
      <c r="E148" s="2363"/>
      <c r="F148" s="2363"/>
      <c r="G148" s="2364"/>
      <c r="H148" s="2363"/>
      <c r="I148" s="2364"/>
      <c r="J148" s="2363"/>
      <c r="K148" s="2363"/>
      <c r="L148" s="2364"/>
      <c r="M148" s="2363"/>
      <c r="N148" s="2363"/>
      <c r="O148" s="2364"/>
      <c r="P148" s="2363"/>
      <c r="Q148" s="2363"/>
      <c r="R148" s="2365"/>
    </row>
    <row r="149" spans="2:18" s="2338" customFormat="1">
      <c r="B149" s="2363"/>
      <c r="C149" s="2363"/>
      <c r="D149" s="2363"/>
      <c r="E149" s="2363"/>
      <c r="F149" s="2363"/>
      <c r="G149" s="2364"/>
      <c r="H149" s="2363"/>
      <c r="I149" s="2364"/>
      <c r="J149" s="2363"/>
      <c r="K149" s="2363"/>
      <c r="L149" s="2364"/>
      <c r="M149" s="2363"/>
      <c r="N149" s="2363"/>
      <c r="O149" s="2364"/>
      <c r="P149" s="2363"/>
      <c r="Q149" s="2363"/>
      <c r="R149" s="2365"/>
    </row>
    <row r="150" spans="2:18" s="2338" customFormat="1">
      <c r="B150" s="2363"/>
      <c r="C150" s="2363"/>
      <c r="D150" s="2363"/>
      <c r="E150" s="2363"/>
      <c r="F150" s="2363"/>
      <c r="G150" s="2364"/>
      <c r="H150" s="2363"/>
      <c r="I150" s="2364"/>
      <c r="J150" s="2363"/>
      <c r="K150" s="2363"/>
      <c r="L150" s="2364"/>
      <c r="M150" s="2363"/>
      <c r="N150" s="2363"/>
      <c r="O150" s="2364"/>
      <c r="P150" s="2363"/>
      <c r="Q150" s="2363"/>
      <c r="R150" s="2365"/>
    </row>
    <row r="151" spans="2:18" s="2338" customFormat="1">
      <c r="B151" s="2363"/>
      <c r="C151" s="2363"/>
      <c r="D151" s="2363"/>
      <c r="E151" s="2363"/>
      <c r="F151" s="2363"/>
      <c r="G151" s="2364"/>
      <c r="H151" s="2363"/>
      <c r="I151" s="2364"/>
      <c r="J151" s="2363"/>
      <c r="K151" s="2363"/>
      <c r="L151" s="2364"/>
      <c r="M151" s="2363"/>
      <c r="N151" s="2363"/>
      <c r="O151" s="2364"/>
      <c r="P151" s="2363"/>
      <c r="Q151" s="2363"/>
      <c r="R151" s="2365"/>
    </row>
    <row r="152" spans="2:18" s="2338" customFormat="1">
      <c r="B152" s="2363"/>
      <c r="C152" s="2363"/>
      <c r="D152" s="2363"/>
      <c r="E152" s="2363"/>
      <c r="F152" s="2363"/>
      <c r="G152" s="2364"/>
      <c r="H152" s="2363"/>
      <c r="I152" s="2364"/>
      <c r="J152" s="2363"/>
      <c r="K152" s="2363"/>
      <c r="L152" s="2364"/>
      <c r="M152" s="2363"/>
      <c r="N152" s="2363"/>
      <c r="O152" s="2364"/>
      <c r="P152" s="2363"/>
      <c r="Q152" s="2363"/>
      <c r="R152" s="2365"/>
    </row>
    <row r="153" spans="2:18" s="2338" customFormat="1">
      <c r="B153" s="2363"/>
      <c r="C153" s="2363"/>
      <c r="D153" s="2363"/>
      <c r="E153" s="2363"/>
      <c r="F153" s="2363"/>
      <c r="G153" s="2364"/>
      <c r="H153" s="2363"/>
      <c r="I153" s="2364"/>
      <c r="J153" s="2363"/>
      <c r="K153" s="2363"/>
      <c r="L153" s="2364"/>
      <c r="M153" s="2363"/>
      <c r="N153" s="2363"/>
      <c r="O153" s="2364"/>
      <c r="P153" s="2363"/>
      <c r="Q153" s="2363"/>
      <c r="R153" s="2365"/>
    </row>
    <row r="154" spans="2:18" s="2338" customFormat="1">
      <c r="B154" s="2363"/>
      <c r="C154" s="2363"/>
      <c r="D154" s="2363"/>
      <c r="E154" s="2363"/>
      <c r="F154" s="2363"/>
      <c r="G154" s="2364"/>
      <c r="H154" s="2363"/>
      <c r="I154" s="2364"/>
      <c r="J154" s="2363"/>
      <c r="K154" s="2363"/>
      <c r="L154" s="2364"/>
      <c r="M154" s="2363"/>
      <c r="N154" s="2363"/>
      <c r="O154" s="2364"/>
      <c r="P154" s="2363"/>
      <c r="Q154" s="2363"/>
      <c r="R154" s="2365"/>
    </row>
    <row r="155" spans="2:18" s="2338" customFormat="1">
      <c r="B155" s="2363"/>
      <c r="C155" s="2363"/>
      <c r="D155" s="2363"/>
      <c r="E155" s="2363"/>
      <c r="F155" s="2363"/>
      <c r="G155" s="2364"/>
      <c r="H155" s="2363"/>
      <c r="I155" s="2364"/>
      <c r="J155" s="2363"/>
      <c r="K155" s="2363"/>
      <c r="L155" s="2364"/>
      <c r="M155" s="2363"/>
      <c r="N155" s="2363"/>
      <c r="O155" s="2364"/>
      <c r="P155" s="2363"/>
      <c r="Q155" s="2363"/>
      <c r="R155" s="2365"/>
    </row>
    <row r="156" spans="2:18" s="2338" customFormat="1">
      <c r="B156" s="2363"/>
      <c r="C156" s="2363"/>
      <c r="D156" s="2363"/>
      <c r="E156" s="2363"/>
      <c r="F156" s="2363"/>
      <c r="G156" s="2364"/>
      <c r="H156" s="2363"/>
      <c r="I156" s="2364"/>
      <c r="J156" s="2363"/>
      <c r="K156" s="2363"/>
      <c r="L156" s="2364"/>
      <c r="M156" s="2363"/>
      <c r="N156" s="2363"/>
      <c r="O156" s="2364"/>
      <c r="P156" s="2363"/>
      <c r="Q156" s="2363"/>
      <c r="R156" s="2365"/>
    </row>
    <row r="157" spans="2:18" s="2338" customFormat="1">
      <c r="B157" s="2363"/>
      <c r="C157" s="2363"/>
      <c r="D157" s="2363"/>
      <c r="E157" s="2363"/>
      <c r="F157" s="2363"/>
      <c r="G157" s="2364"/>
      <c r="H157" s="2363"/>
      <c r="I157" s="2364"/>
      <c r="J157" s="2363"/>
      <c r="K157" s="2363"/>
      <c r="L157" s="2364"/>
      <c r="M157" s="2363"/>
      <c r="N157" s="2363"/>
      <c r="O157" s="2364"/>
      <c r="P157" s="2363"/>
      <c r="Q157" s="2363"/>
      <c r="R157" s="2365"/>
    </row>
    <row r="158" spans="2:18" s="2338" customFormat="1">
      <c r="B158" s="2363"/>
      <c r="C158" s="2363"/>
      <c r="D158" s="2363"/>
      <c r="E158" s="2363"/>
      <c r="F158" s="2363"/>
      <c r="G158" s="2364"/>
      <c r="H158" s="2363"/>
      <c r="I158" s="2364"/>
      <c r="J158" s="2363"/>
      <c r="K158" s="2363"/>
      <c r="L158" s="2364"/>
      <c r="M158" s="2363"/>
      <c r="N158" s="2363"/>
      <c r="O158" s="2364"/>
      <c r="P158" s="2363"/>
      <c r="Q158" s="2363"/>
      <c r="R158" s="2365"/>
    </row>
    <row r="159" spans="2:18" s="2338" customFormat="1">
      <c r="B159" s="2363"/>
      <c r="C159" s="2363"/>
      <c r="D159" s="2363"/>
      <c r="E159" s="2363"/>
      <c r="F159" s="2363"/>
      <c r="G159" s="2364"/>
      <c r="H159" s="2363"/>
      <c r="I159" s="2364"/>
      <c r="J159" s="2363"/>
      <c r="K159" s="2363"/>
      <c r="L159" s="2364"/>
      <c r="M159" s="2363"/>
      <c r="N159" s="2363"/>
      <c r="O159" s="2364"/>
      <c r="P159" s="2363"/>
      <c r="Q159" s="2363"/>
      <c r="R159" s="2365"/>
    </row>
    <row r="160" spans="2:18" s="2338" customFormat="1">
      <c r="B160" s="2363"/>
      <c r="C160" s="2363"/>
      <c r="D160" s="2363"/>
      <c r="E160" s="2363"/>
      <c r="F160" s="2363"/>
      <c r="G160" s="2364"/>
      <c r="H160" s="2363"/>
      <c r="I160" s="2364"/>
      <c r="J160" s="2363"/>
      <c r="K160" s="2363"/>
      <c r="L160" s="2364"/>
      <c r="M160" s="2363"/>
      <c r="N160" s="2363"/>
      <c r="O160" s="2364"/>
      <c r="P160" s="2363"/>
      <c r="Q160" s="2363"/>
      <c r="R160" s="2365"/>
    </row>
    <row r="161" spans="2:18" s="2338" customFormat="1">
      <c r="B161" s="2363"/>
      <c r="C161" s="2363"/>
      <c r="D161" s="2363"/>
      <c r="E161" s="2363"/>
      <c r="F161" s="2363"/>
      <c r="G161" s="2364"/>
      <c r="H161" s="2363"/>
      <c r="I161" s="2364"/>
      <c r="J161" s="2363"/>
      <c r="K161" s="2363"/>
      <c r="L161" s="2364"/>
      <c r="M161" s="2363"/>
      <c r="N161" s="2363"/>
      <c r="O161" s="2364"/>
      <c r="P161" s="2363"/>
      <c r="Q161" s="2363"/>
      <c r="R161" s="2365"/>
    </row>
    <row r="162" spans="2:18" s="2338" customFormat="1">
      <c r="B162" s="2363"/>
      <c r="C162" s="2363"/>
      <c r="D162" s="2363"/>
      <c r="E162" s="2363"/>
      <c r="F162" s="2363"/>
      <c r="G162" s="2364"/>
      <c r="H162" s="2363"/>
      <c r="I162" s="2364"/>
      <c r="J162" s="2363"/>
      <c r="K162" s="2363"/>
      <c r="L162" s="2364"/>
      <c r="M162" s="2363"/>
      <c r="N162" s="2363"/>
      <c r="O162" s="2364"/>
      <c r="P162" s="2363"/>
      <c r="Q162" s="2363"/>
      <c r="R162" s="2365"/>
    </row>
    <row r="163" spans="2:18" s="2338" customFormat="1">
      <c r="B163" s="2363"/>
      <c r="C163" s="2363"/>
      <c r="D163" s="2363"/>
      <c r="E163" s="2363"/>
      <c r="F163" s="2363"/>
      <c r="G163" s="2364"/>
      <c r="H163" s="2363"/>
      <c r="I163" s="2364"/>
      <c r="J163" s="2363"/>
      <c r="K163" s="2363"/>
      <c r="L163" s="2364"/>
      <c r="M163" s="2363"/>
      <c r="N163" s="2363"/>
      <c r="O163" s="2364"/>
      <c r="P163" s="2363"/>
      <c r="Q163" s="2363"/>
      <c r="R163" s="2365"/>
    </row>
    <row r="164" spans="2:18" s="2338" customFormat="1">
      <c r="B164" s="2363"/>
      <c r="C164" s="2363"/>
      <c r="D164" s="2363"/>
      <c r="E164" s="2363"/>
      <c r="F164" s="2363"/>
      <c r="G164" s="2364"/>
      <c r="H164" s="2363"/>
      <c r="I164" s="2364"/>
      <c r="J164" s="2363"/>
      <c r="K164" s="2363"/>
      <c r="L164" s="2364"/>
      <c r="M164" s="2363"/>
      <c r="N164" s="2363"/>
      <c r="O164" s="2364"/>
      <c r="P164" s="2363"/>
      <c r="Q164" s="2363"/>
      <c r="R164" s="2365"/>
    </row>
    <row r="165" spans="2:18" s="2338" customFormat="1">
      <c r="B165" s="2363"/>
      <c r="C165" s="2363"/>
      <c r="D165" s="2363"/>
      <c r="E165" s="2363"/>
      <c r="F165" s="2363"/>
      <c r="G165" s="2364"/>
      <c r="H165" s="2363"/>
      <c r="I165" s="2364"/>
      <c r="J165" s="2363"/>
      <c r="K165" s="2363"/>
      <c r="L165" s="2364"/>
      <c r="M165" s="2363"/>
      <c r="N165" s="2363"/>
      <c r="O165" s="2364"/>
      <c r="P165" s="2363"/>
      <c r="Q165" s="2363"/>
      <c r="R165" s="2365"/>
    </row>
    <row r="166" spans="2:18" s="2338" customFormat="1">
      <c r="B166" s="2363"/>
      <c r="C166" s="2363"/>
      <c r="D166" s="2363"/>
      <c r="E166" s="2363"/>
      <c r="F166" s="2363"/>
      <c r="G166" s="2364"/>
      <c r="H166" s="2363"/>
      <c r="I166" s="2364"/>
      <c r="J166" s="2363"/>
      <c r="K166" s="2363"/>
      <c r="L166" s="2364"/>
      <c r="M166" s="2363"/>
      <c r="N166" s="2363"/>
      <c r="O166" s="2364"/>
      <c r="P166" s="2363"/>
      <c r="Q166" s="2363"/>
      <c r="R166" s="2365"/>
    </row>
    <row r="167" spans="2:18" s="2338" customFormat="1">
      <c r="B167" s="2363"/>
      <c r="C167" s="2363"/>
      <c r="D167" s="2363"/>
      <c r="E167" s="2363"/>
      <c r="F167" s="2363"/>
      <c r="G167" s="2364"/>
      <c r="H167" s="2363"/>
      <c r="I167" s="2364"/>
      <c r="J167" s="2363"/>
      <c r="K167" s="2363"/>
      <c r="L167" s="2364"/>
      <c r="M167" s="2363"/>
      <c r="N167" s="2363"/>
      <c r="O167" s="2364"/>
      <c r="P167" s="2363"/>
      <c r="Q167" s="2363"/>
      <c r="R167" s="2365"/>
    </row>
    <row r="168" spans="2:18" s="2338" customFormat="1">
      <c r="B168" s="2363"/>
      <c r="C168" s="2363"/>
      <c r="D168" s="2363"/>
      <c r="E168" s="2363"/>
      <c r="F168" s="2363"/>
      <c r="G168" s="2364"/>
      <c r="H168" s="2363"/>
      <c r="I168" s="2364"/>
      <c r="J168" s="2363"/>
      <c r="K168" s="2363"/>
      <c r="L168" s="2364"/>
      <c r="M168" s="2363"/>
      <c r="N168" s="2363"/>
      <c r="O168" s="2364"/>
      <c r="P168" s="2363"/>
      <c r="Q168" s="2363"/>
      <c r="R168" s="2365"/>
    </row>
    <row r="169" spans="2:18" s="2338" customFormat="1">
      <c r="B169" s="2363"/>
      <c r="C169" s="2363"/>
      <c r="D169" s="2363"/>
      <c r="E169" s="2363"/>
      <c r="F169" s="2363"/>
      <c r="G169" s="2364"/>
      <c r="H169" s="2363"/>
      <c r="I169" s="2364"/>
      <c r="J169" s="2363"/>
      <c r="K169" s="2363"/>
      <c r="L169" s="2364"/>
      <c r="M169" s="2363"/>
      <c r="N169" s="2363"/>
      <c r="O169" s="2364"/>
      <c r="P169" s="2363"/>
      <c r="Q169" s="2363"/>
      <c r="R169" s="2365"/>
    </row>
    <row r="170" spans="2:18" s="2338" customFormat="1">
      <c r="B170" s="2363"/>
      <c r="C170" s="2363"/>
      <c r="D170" s="2363"/>
      <c r="E170" s="2363"/>
      <c r="F170" s="2363"/>
      <c r="G170" s="2364"/>
      <c r="H170" s="2363"/>
      <c r="I170" s="2364"/>
      <c r="J170" s="2363"/>
      <c r="K170" s="2363"/>
      <c r="L170" s="2364"/>
      <c r="M170" s="2363"/>
      <c r="N170" s="2363"/>
      <c r="O170" s="2364"/>
      <c r="P170" s="2363"/>
      <c r="Q170" s="2363"/>
      <c r="R170" s="2365"/>
    </row>
    <row r="171" spans="2:18" s="2338" customFormat="1">
      <c r="B171" s="2363"/>
      <c r="C171" s="2363"/>
      <c r="D171" s="2363"/>
      <c r="E171" s="2363"/>
      <c r="F171" s="2363"/>
      <c r="G171" s="2364"/>
      <c r="H171" s="2363"/>
      <c r="I171" s="2364"/>
      <c r="J171" s="2363"/>
      <c r="K171" s="2363"/>
      <c r="L171" s="2364"/>
      <c r="M171" s="2363"/>
      <c r="N171" s="2363"/>
      <c r="O171" s="2364"/>
      <c r="P171" s="2363"/>
      <c r="Q171" s="2363"/>
      <c r="R171" s="2365"/>
    </row>
    <row r="172" spans="2:18" s="2338" customFormat="1">
      <c r="B172" s="2363"/>
      <c r="C172" s="2363"/>
      <c r="D172" s="2363"/>
      <c r="E172" s="2363"/>
      <c r="F172" s="2363"/>
      <c r="G172" s="2364"/>
      <c r="H172" s="2363"/>
      <c r="I172" s="2364"/>
      <c r="J172" s="2363"/>
      <c r="K172" s="2363"/>
      <c r="L172" s="2364"/>
      <c r="M172" s="2363"/>
      <c r="N172" s="2363"/>
      <c r="O172" s="2364"/>
      <c r="P172" s="2363"/>
      <c r="Q172" s="2363"/>
      <c r="R172" s="2365"/>
    </row>
    <row r="173" spans="2:18" s="2338" customFormat="1">
      <c r="B173" s="2363"/>
      <c r="C173" s="2363"/>
      <c r="D173" s="2363"/>
      <c r="E173" s="2363"/>
      <c r="F173" s="2363"/>
      <c r="G173" s="2364"/>
      <c r="H173" s="2363"/>
      <c r="I173" s="2364"/>
      <c r="J173" s="2363"/>
      <c r="K173" s="2363"/>
      <c r="L173" s="2364"/>
      <c r="M173" s="2363"/>
      <c r="N173" s="2363"/>
      <c r="O173" s="2364"/>
      <c r="P173" s="2363"/>
      <c r="Q173" s="2363"/>
      <c r="R173" s="2365"/>
    </row>
    <row r="174" spans="2:18" s="2338" customFormat="1">
      <c r="B174" s="2363"/>
      <c r="C174" s="2363"/>
      <c r="D174" s="2363"/>
      <c r="E174" s="2363"/>
      <c r="F174" s="2363"/>
      <c r="G174" s="2364"/>
      <c r="H174" s="2363"/>
      <c r="I174" s="2364"/>
      <c r="J174" s="2363"/>
      <c r="K174" s="2363"/>
      <c r="L174" s="2364"/>
      <c r="M174" s="2363"/>
      <c r="N174" s="2363"/>
      <c r="O174" s="2364"/>
      <c r="P174" s="2363"/>
      <c r="Q174" s="2363"/>
      <c r="R174" s="2365"/>
    </row>
    <row r="175" spans="2:18" s="2338" customFormat="1">
      <c r="B175" s="2363"/>
      <c r="C175" s="2363"/>
      <c r="D175" s="2363"/>
      <c r="E175" s="2363"/>
      <c r="F175" s="2363"/>
      <c r="G175" s="2364"/>
      <c r="H175" s="2363"/>
      <c r="I175" s="2364"/>
      <c r="J175" s="2363"/>
      <c r="K175" s="2363"/>
      <c r="L175" s="2364"/>
      <c r="M175" s="2363"/>
      <c r="N175" s="2363"/>
      <c r="O175" s="2364"/>
      <c r="P175" s="2363"/>
      <c r="Q175" s="2363"/>
      <c r="R175" s="2365"/>
    </row>
    <row r="176" spans="2:18" s="2338" customFormat="1">
      <c r="B176" s="2363"/>
      <c r="C176" s="2363"/>
      <c r="D176" s="2363"/>
      <c r="E176" s="2363"/>
      <c r="F176" s="2363"/>
      <c r="G176" s="2364"/>
      <c r="H176" s="2363"/>
      <c r="I176" s="2364"/>
      <c r="J176" s="2363"/>
      <c r="K176" s="2363"/>
      <c r="L176" s="2364"/>
      <c r="M176" s="2363"/>
      <c r="N176" s="2363"/>
      <c r="O176" s="2364"/>
      <c r="P176" s="2363"/>
      <c r="Q176" s="2363"/>
      <c r="R176" s="2365"/>
    </row>
    <row r="177" spans="1:18" s="2338" customFormat="1">
      <c r="B177" s="2363"/>
      <c r="C177" s="2363"/>
      <c r="D177" s="2363"/>
      <c r="E177" s="2363"/>
      <c r="F177" s="2363"/>
      <c r="G177" s="2364"/>
      <c r="H177" s="2363"/>
      <c r="I177" s="2364"/>
      <c r="J177" s="2363"/>
      <c r="K177" s="2363"/>
      <c r="L177" s="2364"/>
      <c r="M177" s="2363"/>
      <c r="N177" s="2363"/>
      <c r="O177" s="2364"/>
      <c r="P177" s="2363"/>
      <c r="Q177" s="2363"/>
      <c r="R177" s="2365"/>
    </row>
    <row r="178" spans="1:18" s="2338" customFormat="1">
      <c r="B178" s="2363"/>
      <c r="C178" s="2363"/>
      <c r="D178" s="2363"/>
      <c r="E178" s="2363"/>
      <c r="F178" s="2363"/>
      <c r="G178" s="2364"/>
      <c r="H178" s="2363"/>
      <c r="I178" s="2364"/>
      <c r="J178" s="2363"/>
      <c r="K178" s="2363"/>
      <c r="L178" s="2364"/>
      <c r="M178" s="2363"/>
      <c r="N178" s="2363"/>
      <c r="O178" s="2364"/>
      <c r="P178" s="2363"/>
      <c r="Q178" s="2363"/>
      <c r="R178" s="2365"/>
    </row>
    <row r="179" spans="1:18" s="2338" customFormat="1">
      <c r="B179" s="2363"/>
      <c r="C179" s="2363"/>
      <c r="D179" s="2363"/>
      <c r="E179" s="2363"/>
      <c r="F179" s="2363"/>
      <c r="G179" s="2364"/>
      <c r="H179" s="2363"/>
      <c r="I179" s="2364"/>
      <c r="J179" s="2363"/>
      <c r="K179" s="2363"/>
      <c r="L179" s="2364"/>
      <c r="M179" s="2363"/>
      <c r="N179" s="2363"/>
      <c r="O179" s="2364"/>
      <c r="P179" s="2363"/>
      <c r="Q179" s="2363"/>
      <c r="R179" s="2365"/>
    </row>
    <row r="180" spans="1:18" s="2338" customFormat="1">
      <c r="B180" s="2363"/>
      <c r="C180" s="2363"/>
      <c r="D180" s="2363"/>
      <c r="E180" s="2363"/>
      <c r="F180" s="2363"/>
      <c r="G180" s="2364"/>
      <c r="H180" s="2363"/>
      <c r="I180" s="2364"/>
      <c r="J180" s="2363"/>
      <c r="K180" s="2363"/>
      <c r="L180" s="2364"/>
      <c r="M180" s="2363"/>
      <c r="N180" s="2363"/>
      <c r="O180" s="2364"/>
      <c r="P180" s="2363"/>
      <c r="Q180" s="2363"/>
      <c r="R180" s="2365"/>
    </row>
    <row r="181" spans="1:18" s="2338" customFormat="1">
      <c r="B181" s="2363"/>
      <c r="C181" s="2363"/>
      <c r="D181" s="2363"/>
      <c r="E181" s="2363"/>
      <c r="F181" s="2363"/>
      <c r="G181" s="2364"/>
      <c r="H181" s="2363"/>
      <c r="I181" s="2364"/>
      <c r="J181" s="2363"/>
      <c r="K181" s="2363"/>
      <c r="L181" s="2364"/>
      <c r="M181" s="2363"/>
      <c r="N181" s="2363"/>
      <c r="O181" s="2364"/>
      <c r="P181" s="2363"/>
      <c r="Q181" s="2363"/>
      <c r="R181" s="2365"/>
    </row>
    <row r="182" spans="1:18" s="2338" customFormat="1">
      <c r="B182" s="2363"/>
      <c r="C182" s="2363"/>
      <c r="D182" s="2363"/>
      <c r="E182" s="2363"/>
      <c r="F182" s="2363"/>
      <c r="G182" s="2364"/>
      <c r="H182" s="2363"/>
      <c r="I182" s="2364"/>
      <c r="J182" s="2363"/>
      <c r="K182" s="2363"/>
      <c r="L182" s="2364"/>
      <c r="M182" s="2363"/>
      <c r="N182" s="2363"/>
      <c r="O182" s="2364"/>
      <c r="P182" s="2363"/>
      <c r="Q182" s="2363"/>
      <c r="R182" s="2365"/>
    </row>
    <row r="183" spans="1:18" s="2338" customFormat="1">
      <c r="B183" s="2363"/>
      <c r="C183" s="2363"/>
      <c r="D183" s="2363"/>
      <c r="E183" s="2363"/>
      <c r="F183" s="2363"/>
      <c r="G183" s="2364"/>
      <c r="H183" s="2363"/>
      <c r="I183" s="2364"/>
      <c r="J183" s="2363"/>
      <c r="K183" s="2363"/>
      <c r="L183" s="2364"/>
      <c r="M183" s="2363"/>
      <c r="N183" s="2363"/>
      <c r="O183" s="2364"/>
      <c r="P183" s="2363"/>
      <c r="Q183" s="2363"/>
      <c r="R183" s="2365"/>
    </row>
    <row r="184" spans="1:18" s="2338" customFormat="1">
      <c r="B184" s="2363"/>
      <c r="C184" s="2363"/>
      <c r="D184" s="2363"/>
      <c r="E184" s="2363"/>
      <c r="F184" s="2363"/>
      <c r="G184" s="2364"/>
      <c r="H184" s="2363"/>
      <c r="I184" s="2364"/>
      <c r="J184" s="2363"/>
      <c r="K184" s="2363"/>
      <c r="L184" s="2364"/>
      <c r="M184" s="2363"/>
      <c r="N184" s="2363"/>
      <c r="O184" s="2364"/>
      <c r="P184" s="2363"/>
      <c r="Q184" s="2363"/>
      <c r="R184" s="2365"/>
    </row>
    <row r="185" spans="1:18" s="2338"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8"/>
      <c r="B186" s="2363"/>
      <c r="C186" s="2363"/>
      <c r="E186" s="2363"/>
      <c r="F186" s="2363"/>
      <c r="G186" s="2364"/>
    </row>
    <row r="187" spans="1:18">
      <c r="A187" s="2338"/>
      <c r="B187" s="2363"/>
      <c r="C187" s="2363"/>
      <c r="E187" s="2363"/>
      <c r="F187" s="2363"/>
      <c r="G187" s="236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4" customWidth="1"/>
    <col min="2" max="9" width="10" style="1004" customWidth="1"/>
    <col min="10" max="16384" width="9" style="1004"/>
  </cols>
  <sheetData>
    <row r="36" spans="1:9">
      <c r="A36" s="1003" t="s">
        <v>818</v>
      </c>
      <c r="B36" s="1003" t="s">
        <v>819</v>
      </c>
    </row>
    <row r="37" spans="1:9" ht="27.75" customHeight="1">
      <c r="A37" s="1003"/>
      <c r="B37" s="3443" t="str">
        <f>项目基本情况!B1</f>
        <v>四川省成都市青羊区西御街3号、5号房地产市场价值预评估</v>
      </c>
      <c r="C37" s="3443"/>
      <c r="D37" s="3443"/>
      <c r="E37" s="3443"/>
      <c r="F37" s="3443"/>
      <c r="G37" s="3443"/>
      <c r="H37" s="3443"/>
      <c r="I37" s="3443"/>
    </row>
    <row r="38" spans="1:9">
      <c r="A38" s="1005"/>
      <c r="B38" s="1005"/>
    </row>
    <row r="39" spans="1:9">
      <c r="A39" s="1003" t="s">
        <v>818</v>
      </c>
      <c r="B39" s="1003" t="s">
        <v>820</v>
      </c>
    </row>
    <row r="40" spans="1:9">
      <c r="A40" s="1003"/>
      <c r="B40" s="1919">
        <f>项目基本情况!B5</f>
        <v>0</v>
      </c>
    </row>
    <row r="41" spans="1:9">
      <c r="A41" s="1003"/>
      <c r="B41" s="1003"/>
    </row>
    <row r="42" spans="1:9">
      <c r="A42" s="1003" t="s">
        <v>818</v>
      </c>
      <c r="B42" s="1003" t="s">
        <v>821</v>
      </c>
    </row>
    <row r="43" spans="1:9">
      <c r="A43" s="1003"/>
      <c r="B43" s="1919" t="s">
        <v>822</v>
      </c>
    </row>
    <row r="44" spans="1:9">
      <c r="A44" s="1003"/>
      <c r="B44" s="1003"/>
    </row>
    <row r="45" spans="1:9">
      <c r="A45" s="1003" t="s">
        <v>818</v>
      </c>
      <c r="B45" s="1003" t="s">
        <v>823</v>
      </c>
    </row>
    <row r="46" spans="1:9" s="1003" customFormat="1">
      <c r="B46" s="1919" t="str">
        <f ca="1">项目基本情况!K4</f>
        <v>崔锴（注册号：1120100036)、郑燚（注册号：0)</v>
      </c>
    </row>
    <row r="47" spans="1:9">
      <c r="A47" s="1003"/>
      <c r="B47" s="1003" t="str">
        <f>项目基本情况!K5</f>
        <v/>
      </c>
    </row>
    <row r="48" spans="1:9">
      <c r="A48" s="1003" t="s">
        <v>818</v>
      </c>
      <c r="B48" s="1003"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M23"/>
  <sheetViews>
    <sheetView tabSelected="1" workbookViewId="0">
      <selection activeCell="F8" sqref="F8"/>
    </sheetView>
  </sheetViews>
  <sheetFormatPr defaultColWidth="9" defaultRowHeight="14.4"/>
  <cols>
    <col min="1" max="1" width="23.33203125" style="1717" customWidth="1"/>
    <col min="2" max="9" width="15.77734375" style="1717" customWidth="1"/>
    <col min="10" max="16384" width="9" style="1717"/>
  </cols>
  <sheetData>
    <row r="1" spans="1:13" ht="16.2">
      <c r="A1" s="1722" t="s">
        <v>1350</v>
      </c>
      <c r="B1" s="1722">
        <f>'数据-基础表'!B3</f>
        <v>166451.09</v>
      </c>
      <c r="C1" s="1721"/>
      <c r="D1" s="1721"/>
      <c r="E1" s="1721"/>
      <c r="F1" s="1721"/>
      <c r="G1" s="1719"/>
    </row>
    <row r="2" spans="1:13" ht="16.2">
      <c r="A2" s="1722" t="s">
        <v>1338</v>
      </c>
      <c r="B2" s="1722">
        <f>'数据-基础表'!A3</f>
        <v>12224.889999999998</v>
      </c>
      <c r="C2" s="1721"/>
      <c r="D2" s="1721"/>
      <c r="E2" s="1721"/>
      <c r="F2" s="1721"/>
      <c r="G2" s="1719"/>
    </row>
    <row r="3" spans="1:13" ht="15.6">
      <c r="A3" s="1722" t="s">
        <v>1347</v>
      </c>
      <c r="B3" s="1723">
        <f>项目基本情况!D3</f>
        <v>43903</v>
      </c>
      <c r="C3" s="1721"/>
      <c r="D3" s="1721"/>
      <c r="E3" s="1721"/>
      <c r="F3" s="1721"/>
      <c r="G3" s="1719"/>
    </row>
    <row r="4" spans="1:13" ht="31.2">
      <c r="A4" s="1722" t="s">
        <v>1346</v>
      </c>
      <c r="B4" s="1722" t="s">
        <v>1345</v>
      </c>
      <c r="C4" s="1722" t="s">
        <v>1344</v>
      </c>
      <c r="D4" s="1722" t="s">
        <v>1343</v>
      </c>
      <c r="E4" s="1721"/>
      <c r="F4" s="1719"/>
      <c r="G4" s="1719"/>
    </row>
    <row r="5" spans="1:13" ht="15.6">
      <c r="A5" s="1722" t="s">
        <v>1342</v>
      </c>
      <c r="B5" s="3378">
        <f ca="1">D14+D15+D16+D17</f>
        <v>500352</v>
      </c>
      <c r="C5" s="1722">
        <f ca="1">ROUND(B5*10000/$B$1,0)</f>
        <v>30060</v>
      </c>
      <c r="D5" s="1722">
        <f ca="1">ROUND(B5*10000/$B$2,0)</f>
        <v>409290</v>
      </c>
      <c r="E5" s="1721"/>
      <c r="F5" s="1719"/>
      <c r="G5" s="1719"/>
      <c r="K5" s="1717">
        <v>550000</v>
      </c>
      <c r="L5" s="1717">
        <f>K5*10000/B1</f>
        <v>33042.739461784244</v>
      </c>
    </row>
    <row r="6" spans="1:13" ht="15.6">
      <c r="A6" s="1722" t="s">
        <v>1341</v>
      </c>
      <c r="B6" s="1722">
        <f>G14+G15+G16+G17</f>
        <v>0</v>
      </c>
      <c r="C6" s="1722">
        <f>ROUND(B6*10000/$B$1,0)</f>
        <v>0</v>
      </c>
      <c r="D6" s="1722">
        <f>ROUND(B6*10000/$B$2,0)</f>
        <v>0</v>
      </c>
      <c r="E6" s="1721"/>
      <c r="F6" s="1719">
        <v>53000</v>
      </c>
      <c r="G6" s="1719"/>
    </row>
    <row r="7" spans="1:13" ht="15.6">
      <c r="A7" s="1722" t="s">
        <v>1349</v>
      </c>
      <c r="B7" s="1722">
        <f>SUM(H14:H23)</f>
        <v>0</v>
      </c>
      <c r="C7" s="1722">
        <f>ROUND(B7*10000/$B$1,0)</f>
        <v>0</v>
      </c>
      <c r="D7" s="1722">
        <f>ROUND(B7*10000/$B$2,0)</f>
        <v>0</v>
      </c>
      <c r="E7" s="1721"/>
      <c r="F7" s="1719">
        <v>308500</v>
      </c>
      <c r="G7" s="1719"/>
    </row>
    <row r="8" spans="1:13" ht="15.6">
      <c r="A8" s="1722" t="s">
        <v>1274</v>
      </c>
      <c r="B8" s="1722">
        <f>SUM(I14:I23)</f>
        <v>0</v>
      </c>
      <c r="C8" s="1722">
        <f>ROUND(B8*10000/$B$1,0)</f>
        <v>0</v>
      </c>
      <c r="D8" s="1722">
        <f>ROUND(B8*10000/$B$2,0)</f>
        <v>0</v>
      </c>
      <c r="E8" s="1721"/>
      <c r="F8" s="1719">
        <v>16500</v>
      </c>
      <c r="G8" s="1719"/>
    </row>
    <row r="9" spans="1:13" ht="15.6">
      <c r="A9" s="1722" t="s">
        <v>1340</v>
      </c>
      <c r="B9" s="1724"/>
      <c r="C9" s="1721"/>
      <c r="D9" s="1721"/>
      <c r="E9" s="1721"/>
      <c r="F9" s="1719">
        <v>122000</v>
      </c>
      <c r="G9" s="1719"/>
    </row>
    <row r="10" spans="1:13" ht="15.6">
      <c r="A10" s="1722" t="s">
        <v>1339</v>
      </c>
      <c r="B10" s="1724"/>
      <c r="C10" s="1721"/>
      <c r="D10" s="1721"/>
      <c r="E10" s="1721"/>
      <c r="F10" s="1719">
        <f>F6+F7+F8+F9</f>
        <v>500000</v>
      </c>
      <c r="G10" s="1719"/>
    </row>
    <row r="11" spans="1:13" ht="15.6">
      <c r="A11" s="1722" t="s">
        <v>1355</v>
      </c>
      <c r="B11" s="1724"/>
      <c r="C11" s="1721"/>
      <c r="D11" s="1721"/>
      <c r="E11" s="1721"/>
      <c r="F11" s="1719"/>
      <c r="G11" s="1719"/>
      <c r="L11" s="3536" t="s">
        <v>3518</v>
      </c>
      <c r="M11" s="3537"/>
    </row>
    <row r="12" spans="1:13" ht="15.6">
      <c r="A12" s="1721"/>
      <c r="B12" s="1721"/>
      <c r="C12" s="1721"/>
      <c r="D12" s="1721"/>
      <c r="E12" s="1721"/>
      <c r="F12" s="1719"/>
      <c r="G12" s="1719"/>
      <c r="L12" s="3433" t="s">
        <v>3517</v>
      </c>
      <c r="M12" s="3433" t="s">
        <v>3516</v>
      </c>
    </row>
    <row r="13" spans="1:13" ht="31.8">
      <c r="A13" s="1727" t="s">
        <v>1354</v>
      </c>
      <c r="B13" s="1720" t="s">
        <v>1351</v>
      </c>
      <c r="C13" s="1720" t="s">
        <v>1353</v>
      </c>
      <c r="D13" s="1720" t="s">
        <v>1352</v>
      </c>
      <c r="E13" s="1722" t="s">
        <v>1344</v>
      </c>
      <c r="F13" s="1722" t="s">
        <v>1343</v>
      </c>
      <c r="G13" s="1720" t="s">
        <v>1337</v>
      </c>
      <c r="H13" s="1720" t="s">
        <v>1348</v>
      </c>
      <c r="I13" s="1720" t="s">
        <v>1336</v>
      </c>
      <c r="J13" s="1719"/>
      <c r="L13" s="3434">
        <f ca="1">SUM(L14:L17)</f>
        <v>483885</v>
      </c>
      <c r="M13" s="3434">
        <f ca="1">M14+M15+M17</f>
        <v>404090</v>
      </c>
    </row>
    <row r="14" spans="1:13" ht="15.6">
      <c r="A14" s="1718" t="s">
        <v>3511</v>
      </c>
      <c r="B14" s="1720">
        <f>结果表商!B118</f>
        <v>9953.84</v>
      </c>
      <c r="C14" s="1720">
        <f>结果表商!C118</f>
        <v>731.05</v>
      </c>
      <c r="D14" s="1720">
        <f ca="1">结果表商!H118</f>
        <v>53174</v>
      </c>
      <c r="E14" s="1720">
        <f ca="1">ROUND(D14*10000/B14,0)</f>
        <v>53421</v>
      </c>
      <c r="F14" s="1720">
        <f ca="1">ROUND(D14*10000/C14,0)</f>
        <v>727365</v>
      </c>
      <c r="G14" s="1720"/>
      <c r="H14" s="1720" t="str">
        <f>结果表商!D124</f>
        <v>——</v>
      </c>
      <c r="I14" s="1720" t="str">
        <f>结果表商!D126</f>
        <v>——</v>
      </c>
      <c r="J14" s="1719"/>
      <c r="L14" s="3432">
        <f ca="1">D14</f>
        <v>53174</v>
      </c>
      <c r="M14" s="3432">
        <f ca="1">结果表商!D19</f>
        <v>45688</v>
      </c>
    </row>
    <row r="15" spans="1:13" ht="15.6">
      <c r="A15" s="1718" t="s">
        <v>3154</v>
      </c>
      <c r="B15" s="3430">
        <f>结果表办!B118</f>
        <v>82629.64</v>
      </c>
      <c r="C15" s="3430">
        <f>结果表办!C118</f>
        <v>6068.68</v>
      </c>
      <c r="D15" s="3430">
        <f ca="1">结果表办!H118</f>
        <v>308640</v>
      </c>
      <c r="E15" s="1720">
        <f t="shared" ref="E15:E23" ca="1" si="0">ROUND(D15*10000/B15,0)</f>
        <v>37352</v>
      </c>
      <c r="F15" s="1720">
        <f t="shared" ref="F15:F23" ca="1" si="1">ROUND(D15*10000/C15,0)</f>
        <v>508578</v>
      </c>
      <c r="G15" s="3431"/>
      <c r="H15" s="1726"/>
      <c r="I15" s="1725"/>
      <c r="J15" s="1719"/>
      <c r="L15" s="3432">
        <f ca="1">D15</f>
        <v>308640</v>
      </c>
      <c r="M15" s="3432">
        <f ca="1">结果表办!D19</f>
        <v>240866</v>
      </c>
    </row>
    <row r="16" spans="1:13" ht="15.6">
      <c r="A16" s="1718" t="s">
        <v>3512</v>
      </c>
      <c r="B16" s="3430">
        <f>结果表车!B118</f>
        <v>34125.879999999997</v>
      </c>
      <c r="C16" s="3430">
        <f>结果表车!C118</f>
        <v>2506.35</v>
      </c>
      <c r="D16" s="3430">
        <f ca="1">结果表车!H118</f>
        <v>16467</v>
      </c>
      <c r="E16" s="1720">
        <f t="shared" ca="1" si="0"/>
        <v>4825</v>
      </c>
      <c r="F16" s="1720">
        <f t="shared" ca="1" si="1"/>
        <v>65701</v>
      </c>
      <c r="G16" s="3431"/>
      <c r="H16" s="1726"/>
      <c r="I16" s="1725"/>
      <c r="L16" s="3432"/>
      <c r="M16" s="3432"/>
    </row>
    <row r="17" spans="1:13" ht="15.6">
      <c r="A17" s="1718" t="s">
        <v>3513</v>
      </c>
      <c r="B17" s="3430">
        <f>结果表酒店!B118</f>
        <v>39599.300000000003</v>
      </c>
      <c r="C17" s="3430">
        <f>结果表酒店!C118</f>
        <v>2908.34</v>
      </c>
      <c r="D17" s="3430">
        <f ca="1">结果表酒店!H118</f>
        <v>122071</v>
      </c>
      <c r="E17" s="1720">
        <f t="shared" ca="1" si="0"/>
        <v>30827</v>
      </c>
      <c r="F17" s="1720">
        <f t="shared" ca="1" si="1"/>
        <v>419727</v>
      </c>
      <c r="G17" s="3431"/>
      <c r="H17" s="1726"/>
      <c r="I17" s="1725"/>
      <c r="L17" s="3432">
        <f ca="1">D17</f>
        <v>122071</v>
      </c>
      <c r="M17" s="3432">
        <f ca="1">结果表酒店!D19</f>
        <v>117536</v>
      </c>
    </row>
    <row r="18" spans="1:13" ht="15.6">
      <c r="A18" s="1718" t="s">
        <v>1335</v>
      </c>
      <c r="B18" s="1725"/>
      <c r="C18" s="1725"/>
      <c r="D18" s="1725"/>
      <c r="E18" s="1720" t="e">
        <f t="shared" si="0"/>
        <v>#DIV/0!</v>
      </c>
      <c r="F18" s="1720" t="e">
        <f t="shared" si="1"/>
        <v>#DIV/0!</v>
      </c>
      <c r="G18" s="1725"/>
      <c r="H18" s="1725"/>
      <c r="I18" s="1725"/>
    </row>
    <row r="19" spans="1:13" ht="15.6">
      <c r="A19" s="1718" t="s">
        <v>1334</v>
      </c>
      <c r="B19" s="1725"/>
      <c r="C19" s="1725"/>
      <c r="D19" s="1725"/>
      <c r="E19" s="1720" t="e">
        <f t="shared" si="0"/>
        <v>#DIV/0!</v>
      </c>
      <c r="F19" s="1720" t="e">
        <f t="shared" si="1"/>
        <v>#DIV/0!</v>
      </c>
      <c r="G19" s="1725"/>
      <c r="H19" s="1725"/>
      <c r="I19" s="1725"/>
    </row>
    <row r="20" spans="1:13" ht="15.6">
      <c r="A20" s="1718" t="s">
        <v>1333</v>
      </c>
      <c r="B20" s="1725"/>
      <c r="C20" s="1725"/>
      <c r="D20" s="1725"/>
      <c r="E20" s="1720" t="e">
        <f t="shared" si="0"/>
        <v>#DIV/0!</v>
      </c>
      <c r="F20" s="1720" t="e">
        <f t="shared" si="1"/>
        <v>#DIV/0!</v>
      </c>
      <c r="G20" s="1725"/>
      <c r="H20" s="1725"/>
      <c r="I20" s="1725"/>
    </row>
    <row r="21" spans="1:13" ht="15.6">
      <c r="A21" s="1718" t="s">
        <v>1332</v>
      </c>
      <c r="B21" s="1725"/>
      <c r="C21" s="1725"/>
      <c r="D21" s="1725"/>
      <c r="E21" s="1720" t="e">
        <f t="shared" si="0"/>
        <v>#DIV/0!</v>
      </c>
      <c r="F21" s="1720" t="e">
        <f t="shared" si="1"/>
        <v>#DIV/0!</v>
      </c>
      <c r="G21" s="1725"/>
      <c r="H21" s="1725"/>
      <c r="I21" s="1725"/>
    </row>
    <row r="22" spans="1:13" ht="15.6">
      <c r="A22" s="1718" t="s">
        <v>1331</v>
      </c>
      <c r="B22" s="1725"/>
      <c r="C22" s="1725"/>
      <c r="D22" s="1725"/>
      <c r="E22" s="1720" t="e">
        <f t="shared" si="0"/>
        <v>#DIV/0!</v>
      </c>
      <c r="F22" s="1720" t="e">
        <f t="shared" si="1"/>
        <v>#DIV/0!</v>
      </c>
      <c r="G22" s="1725"/>
      <c r="H22" s="1725"/>
      <c r="I22" s="1725"/>
    </row>
    <row r="23" spans="1:13" ht="15.6">
      <c r="A23" s="1718" t="s">
        <v>1330</v>
      </c>
      <c r="B23" s="1725"/>
      <c r="C23" s="1725"/>
      <c r="D23" s="1725"/>
      <c r="E23" s="1722" t="e">
        <f t="shared" si="0"/>
        <v>#DIV/0!</v>
      </c>
      <c r="F23" s="1722" t="e">
        <f t="shared" si="1"/>
        <v>#DIV/0!</v>
      </c>
      <c r="G23" s="1725"/>
      <c r="H23" s="1725"/>
      <c r="I23" s="1725"/>
    </row>
  </sheetData>
  <sheetProtection formatCells="0" formatColumns="0" formatRows="0"/>
  <mergeCells count="1">
    <mergeCell ref="L11:M11"/>
  </mergeCells>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sheetPr>
  <dimension ref="A1:K61"/>
  <sheetViews>
    <sheetView topLeftCell="A28" workbookViewId="0">
      <selection activeCell="E57" sqref="E57:J58"/>
    </sheetView>
  </sheetViews>
  <sheetFormatPr defaultColWidth="9" defaultRowHeight="12"/>
  <cols>
    <col min="1" max="1" width="9.109375" style="2977" bestFit="1" customWidth="1"/>
    <col min="2" max="2" width="9.109375" style="2977" customWidth="1"/>
    <col min="3" max="3" width="11.77734375" style="2977" customWidth="1"/>
    <col min="4" max="4" width="9.109375" style="2977" bestFit="1" customWidth="1"/>
    <col min="5" max="6" width="10.88671875" style="2977" customWidth="1"/>
    <col min="7" max="8" width="9.109375" style="2977" bestFit="1" customWidth="1"/>
    <col min="9" max="10" width="10.77734375" style="2977" customWidth="1"/>
    <col min="11" max="16384" width="9" style="2977"/>
  </cols>
  <sheetData>
    <row r="1" spans="1:11" ht="28.5" customHeight="1">
      <c r="A1" s="3540" t="s">
        <v>3141</v>
      </c>
      <c r="B1" s="3540" t="s">
        <v>3142</v>
      </c>
      <c r="C1" s="3540" t="s">
        <v>3143</v>
      </c>
      <c r="D1" s="3540" t="s">
        <v>3144</v>
      </c>
      <c r="E1" s="3540" t="s">
        <v>3145</v>
      </c>
      <c r="F1" s="3540"/>
      <c r="G1" s="3540" t="s">
        <v>3146</v>
      </c>
      <c r="H1" s="3540"/>
      <c r="I1" s="3540" t="s">
        <v>3147</v>
      </c>
      <c r="J1" s="3540"/>
    </row>
    <row r="2" spans="1:11">
      <c r="A2" s="3540"/>
      <c r="B2" s="3540"/>
      <c r="C2" s="3540"/>
      <c r="D2" s="3540"/>
      <c r="E2" s="2978" t="s">
        <v>3148</v>
      </c>
      <c r="F2" s="2978" t="s">
        <v>3149</v>
      </c>
      <c r="G2" s="2978" t="s">
        <v>3150</v>
      </c>
      <c r="H2" s="2978" t="s">
        <v>3149</v>
      </c>
      <c r="I2" s="2978" t="s">
        <v>3150</v>
      </c>
      <c r="J2" s="2978" t="s">
        <v>3149</v>
      </c>
    </row>
    <row r="3" spans="1:11" ht="13.2">
      <c r="A3" s="2954" t="s">
        <v>3093</v>
      </c>
      <c r="B3" s="2954" t="s">
        <v>3151</v>
      </c>
      <c r="C3" s="2979">
        <v>60</v>
      </c>
      <c r="D3" s="2954">
        <v>5.69</v>
      </c>
      <c r="E3" s="2980">
        <f ca="1">I3-G3</f>
        <v>9910</v>
      </c>
      <c r="F3" s="2980">
        <f ca="1">J3-H3</f>
        <v>-195537</v>
      </c>
      <c r="G3" s="2980">
        <f ca="1">ROUND(I3*$K$3,0)</f>
        <v>1849</v>
      </c>
      <c r="H3" s="2980">
        <f ca="1">ROUND(G3/C3*10000,0)</f>
        <v>308167</v>
      </c>
      <c r="I3" s="2980">
        <f>典型户型修正!S24</f>
        <v>11759</v>
      </c>
      <c r="J3" s="2980">
        <f>典型户型修正!R24</f>
        <v>112630</v>
      </c>
      <c r="K3" s="2977">
        <f ca="1">收益法商!C13/收益法商!C40</f>
        <v>0.15726230082297321</v>
      </c>
    </row>
    <row r="4" spans="1:11" ht="13.2">
      <c r="A4" s="2954" t="s">
        <v>3152</v>
      </c>
      <c r="B4" s="2954" t="s">
        <v>3151</v>
      </c>
      <c r="C4" s="2979">
        <v>238.29</v>
      </c>
      <c r="D4" s="2954">
        <v>22.6</v>
      </c>
      <c r="E4" s="2980">
        <f t="shared" ref="E4:F55" ca="1" si="0">I4-G4</f>
        <v>9914</v>
      </c>
      <c r="F4" s="2980">
        <f t="shared" ca="1" si="0"/>
        <v>6837</v>
      </c>
      <c r="G4" s="2980">
        <f t="shared" ref="G4:G14" ca="1" si="1">ROUND(I4*$K$3,0)</f>
        <v>1850</v>
      </c>
      <c r="H4" s="2980">
        <f t="shared" ref="H4:H13" ca="1" si="2">ROUND(G4/C4*10000,0)</f>
        <v>77636</v>
      </c>
      <c r="I4" s="2980">
        <f>典型户型修正!S25</f>
        <v>11764</v>
      </c>
      <c r="J4" s="2980">
        <f>典型户型修正!R25</f>
        <v>84473</v>
      </c>
    </row>
    <row r="5" spans="1:11" ht="13.2">
      <c r="A5" s="2954" t="s">
        <v>3094</v>
      </c>
      <c r="B5" s="2954" t="s">
        <v>3151</v>
      </c>
      <c r="C5" s="2979">
        <v>57.27</v>
      </c>
      <c r="D5" s="2954">
        <v>5.43</v>
      </c>
      <c r="E5" s="2980">
        <f t="shared" ca="1" si="0"/>
        <v>12645</v>
      </c>
      <c r="F5" s="2980">
        <f t="shared" ca="1" si="0"/>
        <v>-345181</v>
      </c>
      <c r="G5" s="2980">
        <f t="shared" ca="1" si="1"/>
        <v>2360</v>
      </c>
      <c r="H5" s="2980">
        <f t="shared" ca="1" si="2"/>
        <v>412083</v>
      </c>
      <c r="I5" s="2980">
        <f>典型户型修正!S26</f>
        <v>15005</v>
      </c>
      <c r="J5" s="2980">
        <f>典型户型修正!R26</f>
        <v>66902</v>
      </c>
    </row>
    <row r="6" spans="1:11" ht="13.2">
      <c r="A6" s="2954" t="s">
        <v>3095</v>
      </c>
      <c r="B6" s="2954" t="s">
        <v>3151</v>
      </c>
      <c r="C6" s="2979">
        <v>114.92</v>
      </c>
      <c r="D6" s="2954">
        <v>10.91</v>
      </c>
      <c r="E6" s="2980">
        <f t="shared" ca="1" si="0"/>
        <v>9745</v>
      </c>
      <c r="F6" s="2980">
        <f t="shared" ca="1" si="0"/>
        <v>-108107</v>
      </c>
      <c r="G6" s="2980">
        <f t="shared" ca="1" si="1"/>
        <v>1819</v>
      </c>
      <c r="H6" s="2980">
        <f t="shared" ca="1" si="2"/>
        <v>158284</v>
      </c>
      <c r="I6" s="2980">
        <f>典型户型修正!S27</f>
        <v>11564</v>
      </c>
      <c r="J6" s="2980">
        <f>典型户型修正!R27</f>
        <v>50177</v>
      </c>
    </row>
    <row r="7" spans="1:11" ht="13.2">
      <c r="A7" s="2954" t="s">
        <v>3096</v>
      </c>
      <c r="B7" s="2954" t="s">
        <v>3151</v>
      </c>
      <c r="C7" s="2979">
        <v>74.16</v>
      </c>
      <c r="D7" s="2954">
        <v>7.03</v>
      </c>
      <c r="E7" s="2980">
        <f t="shared" ca="1" si="0"/>
        <v>7819</v>
      </c>
      <c r="F7" s="2980">
        <f t="shared" ca="1" si="0"/>
        <v>-152136</v>
      </c>
      <c r="G7" s="2980">
        <f t="shared" ca="1" si="1"/>
        <v>1459</v>
      </c>
      <c r="H7" s="2980">
        <f t="shared" ca="1" si="2"/>
        <v>196737</v>
      </c>
      <c r="I7" s="2980">
        <f>典型户型修正!S28</f>
        <v>9278</v>
      </c>
      <c r="J7" s="2980">
        <f>典型户型修正!R28</f>
        <v>44601</v>
      </c>
    </row>
    <row r="8" spans="1:11" ht="13.2">
      <c r="A8" s="2954" t="s">
        <v>3097</v>
      </c>
      <c r="B8" s="2954" t="s">
        <v>3151</v>
      </c>
      <c r="C8" s="2979">
        <v>142.44999999999999</v>
      </c>
      <c r="D8" s="2954">
        <v>13.52</v>
      </c>
      <c r="E8" s="2980">
        <f t="shared" ca="1" si="0"/>
        <v>4242</v>
      </c>
      <c r="F8" s="2980">
        <f t="shared" ca="1" si="0"/>
        <v>999</v>
      </c>
      <c r="G8" s="2980">
        <f t="shared" ca="1" si="1"/>
        <v>792</v>
      </c>
      <c r="H8" s="2980">
        <f t="shared" ca="1" si="2"/>
        <v>55598</v>
      </c>
      <c r="I8" s="2980">
        <f>典型户型修正!S29</f>
        <v>5034</v>
      </c>
      <c r="J8" s="2980">
        <f>典型户型修正!R29</f>
        <v>56597</v>
      </c>
    </row>
    <row r="9" spans="1:11" ht="13.2">
      <c r="A9" s="2954" t="s">
        <v>3098</v>
      </c>
      <c r="B9" s="2954" t="s">
        <v>3151</v>
      </c>
      <c r="C9" s="2979">
        <v>238.29</v>
      </c>
      <c r="D9" s="2954">
        <v>22.6</v>
      </c>
      <c r="E9" s="2980">
        <f t="shared" ca="1" si="0"/>
        <v>0</v>
      </c>
      <c r="F9" s="2980">
        <f t="shared" ca="1" si="0"/>
        <v>0</v>
      </c>
      <c r="G9" s="2980">
        <f t="shared" ca="1" si="1"/>
        <v>0</v>
      </c>
      <c r="H9" s="2980">
        <f t="shared" ca="1" si="2"/>
        <v>0</v>
      </c>
      <c r="I9" s="2980">
        <f>典型户型修正!S30</f>
        <v>0</v>
      </c>
      <c r="J9" s="2980">
        <f>典型户型修正!R30</f>
        <v>0</v>
      </c>
    </row>
    <row r="10" spans="1:11" ht="13.2">
      <c r="A10" s="2954" t="s">
        <v>3099</v>
      </c>
      <c r="B10" s="2954" t="s">
        <v>3151</v>
      </c>
      <c r="C10" s="2979">
        <v>149.43</v>
      </c>
      <c r="D10" s="2954">
        <v>14.18</v>
      </c>
      <c r="E10" s="2980">
        <f t="shared" ca="1" si="0"/>
        <v>0</v>
      </c>
      <c r="F10" s="2980">
        <f t="shared" ca="1" si="0"/>
        <v>0</v>
      </c>
      <c r="G10" s="2980">
        <f t="shared" ca="1" si="1"/>
        <v>0</v>
      </c>
      <c r="H10" s="2980">
        <f t="shared" ca="1" si="2"/>
        <v>0</v>
      </c>
      <c r="I10" s="2980">
        <f>典型户型修正!S31</f>
        <v>0</v>
      </c>
      <c r="J10" s="2980">
        <f>典型户型修正!R31</f>
        <v>0</v>
      </c>
    </row>
    <row r="11" spans="1:11" ht="13.2">
      <c r="A11" s="2954" t="s">
        <v>3100</v>
      </c>
      <c r="B11" s="2954" t="s">
        <v>3151</v>
      </c>
      <c r="C11" s="2979">
        <v>84.25</v>
      </c>
      <c r="D11" s="2954">
        <v>7.99</v>
      </c>
      <c r="E11" s="2980">
        <f t="shared" ca="1" si="0"/>
        <v>0</v>
      </c>
      <c r="F11" s="2980">
        <f t="shared" ca="1" si="0"/>
        <v>0</v>
      </c>
      <c r="G11" s="2980">
        <f t="shared" ca="1" si="1"/>
        <v>0</v>
      </c>
      <c r="H11" s="2980">
        <f t="shared" ca="1" si="2"/>
        <v>0</v>
      </c>
      <c r="I11" s="2980">
        <f>典型户型修正!S32</f>
        <v>0</v>
      </c>
      <c r="J11" s="2980">
        <f>典型户型修正!R32</f>
        <v>0</v>
      </c>
    </row>
    <row r="12" spans="1:11" ht="13.2">
      <c r="A12" s="2954" t="s">
        <v>3101</v>
      </c>
      <c r="B12" s="2954" t="s">
        <v>3151</v>
      </c>
      <c r="C12" s="2979">
        <v>2160.11</v>
      </c>
      <c r="D12" s="2954">
        <v>204.91</v>
      </c>
      <c r="E12" s="2980">
        <f t="shared" ca="1" si="0"/>
        <v>0</v>
      </c>
      <c r="F12" s="2980">
        <f t="shared" ca="1" si="0"/>
        <v>0</v>
      </c>
      <c r="G12" s="2980">
        <f t="shared" ca="1" si="1"/>
        <v>0</v>
      </c>
      <c r="H12" s="2980">
        <f t="shared" ca="1" si="2"/>
        <v>0</v>
      </c>
      <c r="I12" s="2980">
        <f>典型户型修正!S33</f>
        <v>0</v>
      </c>
      <c r="J12" s="2980">
        <f>典型户型修正!R33</f>
        <v>0</v>
      </c>
    </row>
    <row r="13" spans="1:11" ht="13.2">
      <c r="A13" s="2954" t="s">
        <v>3102</v>
      </c>
      <c r="B13" s="2954" t="s">
        <v>3151</v>
      </c>
      <c r="C13" s="2979">
        <v>771.83</v>
      </c>
      <c r="D13" s="2954">
        <v>73.209999999999994</v>
      </c>
      <c r="E13" s="2980">
        <f t="shared" ca="1" si="0"/>
        <v>0</v>
      </c>
      <c r="F13" s="2980">
        <f t="shared" ca="1" si="0"/>
        <v>0</v>
      </c>
      <c r="G13" s="2980">
        <f t="shared" ca="1" si="1"/>
        <v>0</v>
      </c>
      <c r="H13" s="2980">
        <f t="shared" ca="1" si="2"/>
        <v>0</v>
      </c>
      <c r="I13" s="2980">
        <f>典型户型修正!S34</f>
        <v>0</v>
      </c>
      <c r="J13" s="2980">
        <f>典型户型修正!R34</f>
        <v>0</v>
      </c>
    </row>
    <row r="14" spans="1:11" ht="13.2">
      <c r="A14" s="2954" t="s">
        <v>3103</v>
      </c>
      <c r="B14" s="2954" t="s">
        <v>3151</v>
      </c>
      <c r="C14" s="2979">
        <v>419.37</v>
      </c>
      <c r="D14" s="2954">
        <v>39.78</v>
      </c>
      <c r="E14" s="2980">
        <f t="shared" ca="1" si="0"/>
        <v>0</v>
      </c>
      <c r="F14" s="2980">
        <f t="shared" ca="1" si="0"/>
        <v>0</v>
      </c>
      <c r="G14" s="2980">
        <f t="shared" ca="1" si="1"/>
        <v>0</v>
      </c>
      <c r="H14" s="2980">
        <f ca="1">ROUND(G14/C14*10000,0)</f>
        <v>0</v>
      </c>
      <c r="I14" s="2980">
        <f>典型户型修正!S35</f>
        <v>0</v>
      </c>
      <c r="J14" s="2980">
        <f>典型户型修正!R35</f>
        <v>0</v>
      </c>
    </row>
    <row r="15" spans="1:11" s="2983" customFormat="1" ht="13.2">
      <c r="A15" s="3541" t="s">
        <v>3153</v>
      </c>
      <c r="B15" s="3542"/>
      <c r="C15" s="2981">
        <f>SUM(C3:C14)</f>
        <v>4510.37</v>
      </c>
      <c r="D15" s="2981">
        <f t="shared" ref="D15" si="3">SUM(D3:D14)</f>
        <v>427.85</v>
      </c>
      <c r="E15" s="2982">
        <f ca="1">SUM(E3:E14)</f>
        <v>54275</v>
      </c>
      <c r="F15" s="2982">
        <f ca="1">J15-H15</f>
        <v>120334</v>
      </c>
      <c r="G15" s="2982">
        <f ca="1">SUM(G3:G14)</f>
        <v>10129</v>
      </c>
      <c r="H15" s="2982">
        <f ca="1">ROUND(G15/C15*10000,0)</f>
        <v>22457</v>
      </c>
      <c r="I15" s="2982">
        <f>SUM(I3:I14)</f>
        <v>64404</v>
      </c>
      <c r="J15" s="2982">
        <f>ROUND(I15/C15*10000,0)</f>
        <v>142791</v>
      </c>
      <c r="K15" s="2983">
        <f ca="1">G15+E15</f>
        <v>64404</v>
      </c>
    </row>
    <row r="16" spans="1:11" ht="13.2">
      <c r="A16" s="2954" t="e">
        <f>#REF!</f>
        <v>#REF!</v>
      </c>
      <c r="B16" s="2954" t="s">
        <v>3154</v>
      </c>
      <c r="C16" s="2979" t="e">
        <f>#REF!</f>
        <v>#REF!</v>
      </c>
      <c r="D16" s="2954" t="e">
        <f>#REF!</f>
        <v>#REF!</v>
      </c>
      <c r="E16" s="2980" t="e">
        <f t="shared" ca="1" si="0"/>
        <v>#REF!</v>
      </c>
      <c r="F16" s="2980" t="e">
        <f t="shared" ca="1" si="0"/>
        <v>#REF!</v>
      </c>
      <c r="G16" s="2980" t="e">
        <f ca="1">ROUND(I16*$K$16,0)</f>
        <v>#REF!</v>
      </c>
      <c r="H16" s="2980" t="e">
        <f ca="1">ROUND(G16/C16*10000,0)</f>
        <v>#REF!</v>
      </c>
      <c r="I16" s="2980" t="e">
        <f>典型户型修正办!S24</f>
        <v>#REF!</v>
      </c>
      <c r="J16" s="2980">
        <f>典型户型修正办!R24</f>
        <v>44063</v>
      </c>
      <c r="K16" s="2977" t="e">
        <f ca="1">收益法办自!C13/收益法办自!C40</f>
        <v>#N/A</v>
      </c>
    </row>
    <row r="17" spans="1:10" ht="13.2">
      <c r="A17" s="2972" t="e">
        <f>#REF!</f>
        <v>#REF!</v>
      </c>
      <c r="B17" s="2972" t="s">
        <v>3154</v>
      </c>
      <c r="C17" s="2979" t="e">
        <f>#REF!</f>
        <v>#REF!</v>
      </c>
      <c r="D17" s="2972" t="e">
        <f>#REF!</f>
        <v>#REF!</v>
      </c>
      <c r="E17" s="2980" t="e">
        <f t="shared" ca="1" si="0"/>
        <v>#REF!</v>
      </c>
      <c r="F17" s="2980" t="e">
        <f t="shared" ca="1" si="0"/>
        <v>#REF!</v>
      </c>
      <c r="G17" s="2980" t="e">
        <f t="shared" ref="G17:G52" ca="1" si="4">ROUND(I17*$K$16,0)</f>
        <v>#REF!</v>
      </c>
      <c r="H17" s="2980" t="e">
        <f t="shared" ref="H17:H52" ca="1" si="5">ROUND(G17/C17*10000,0)</f>
        <v>#REF!</v>
      </c>
      <c r="I17" s="2980" t="e">
        <f>典型户型修正办!S25</f>
        <v>#REF!</v>
      </c>
      <c r="J17" s="2980" t="e">
        <f>典型户型修正办!R25</f>
        <v>#REF!</v>
      </c>
    </row>
    <row r="18" spans="1:10" ht="13.2">
      <c r="A18" s="2972" t="e">
        <f>#REF!</f>
        <v>#REF!</v>
      </c>
      <c r="B18" s="2972" t="s">
        <v>3154</v>
      </c>
      <c r="C18" s="2979" t="e">
        <f>#REF!</f>
        <v>#REF!</v>
      </c>
      <c r="D18" s="2972" t="e">
        <f>#REF!</f>
        <v>#REF!</v>
      </c>
      <c r="E18" s="2980" t="e">
        <f t="shared" ca="1" si="0"/>
        <v>#REF!</v>
      </c>
      <c r="F18" s="2980" t="e">
        <f t="shared" ca="1" si="0"/>
        <v>#REF!</v>
      </c>
      <c r="G18" s="2980" t="e">
        <f t="shared" ca="1" si="4"/>
        <v>#REF!</v>
      </c>
      <c r="H18" s="2980" t="e">
        <f t="shared" ca="1" si="5"/>
        <v>#REF!</v>
      </c>
      <c r="I18" s="2980" t="e">
        <f>典型户型修正办!S26</f>
        <v>#REF!</v>
      </c>
      <c r="J18" s="2980" t="e">
        <f>典型户型修正办!R26</f>
        <v>#REF!</v>
      </c>
    </row>
    <row r="19" spans="1:10" ht="13.2">
      <c r="A19" s="2972" t="e">
        <f>#REF!</f>
        <v>#REF!</v>
      </c>
      <c r="B19" s="2972" t="s">
        <v>3154</v>
      </c>
      <c r="C19" s="2979" t="e">
        <f>#REF!</f>
        <v>#REF!</v>
      </c>
      <c r="D19" s="2972" t="e">
        <f>#REF!</f>
        <v>#REF!</v>
      </c>
      <c r="E19" s="2980" t="e">
        <f t="shared" ca="1" si="0"/>
        <v>#REF!</v>
      </c>
      <c r="F19" s="2980" t="e">
        <f t="shared" ca="1" si="0"/>
        <v>#REF!</v>
      </c>
      <c r="G19" s="2980" t="e">
        <f t="shared" ca="1" si="4"/>
        <v>#REF!</v>
      </c>
      <c r="H19" s="2980" t="e">
        <f t="shared" ca="1" si="5"/>
        <v>#REF!</v>
      </c>
      <c r="I19" s="2980" t="e">
        <f>典型户型修正办!S27</f>
        <v>#REF!</v>
      </c>
      <c r="J19" s="2980" t="e">
        <f>典型户型修正办!R27</f>
        <v>#REF!</v>
      </c>
    </row>
    <row r="20" spans="1:10" ht="13.2">
      <c r="A20" s="2972" t="e">
        <f>#REF!</f>
        <v>#REF!</v>
      </c>
      <c r="B20" s="2972" t="s">
        <v>3154</v>
      </c>
      <c r="C20" s="2979" t="e">
        <f>#REF!</f>
        <v>#REF!</v>
      </c>
      <c r="D20" s="2972" t="e">
        <f>#REF!</f>
        <v>#REF!</v>
      </c>
      <c r="E20" s="2980" t="e">
        <f t="shared" ca="1" si="0"/>
        <v>#REF!</v>
      </c>
      <c r="F20" s="2980" t="e">
        <f t="shared" ca="1" si="0"/>
        <v>#REF!</v>
      </c>
      <c r="G20" s="2980" t="e">
        <f t="shared" ca="1" si="4"/>
        <v>#REF!</v>
      </c>
      <c r="H20" s="2980" t="e">
        <f t="shared" ca="1" si="5"/>
        <v>#REF!</v>
      </c>
      <c r="I20" s="2980" t="e">
        <f>典型户型修正办!S28</f>
        <v>#REF!</v>
      </c>
      <c r="J20" s="2980" t="e">
        <f>典型户型修正办!R28</f>
        <v>#REF!</v>
      </c>
    </row>
    <row r="21" spans="1:10" ht="13.2">
      <c r="A21" s="2972" t="e">
        <f>#REF!</f>
        <v>#REF!</v>
      </c>
      <c r="B21" s="2972" t="s">
        <v>3154</v>
      </c>
      <c r="C21" s="2979" t="e">
        <f>#REF!</f>
        <v>#REF!</v>
      </c>
      <c r="D21" s="2972" t="e">
        <f>#REF!</f>
        <v>#REF!</v>
      </c>
      <c r="E21" s="2980" t="e">
        <f t="shared" ca="1" si="0"/>
        <v>#REF!</v>
      </c>
      <c r="F21" s="2980" t="e">
        <f t="shared" ca="1" si="0"/>
        <v>#REF!</v>
      </c>
      <c r="G21" s="2980" t="e">
        <f t="shared" ca="1" si="4"/>
        <v>#REF!</v>
      </c>
      <c r="H21" s="2980" t="e">
        <f t="shared" ca="1" si="5"/>
        <v>#REF!</v>
      </c>
      <c r="I21" s="2980" t="e">
        <f>典型户型修正办!S29</f>
        <v>#REF!</v>
      </c>
      <c r="J21" s="2980" t="e">
        <f>典型户型修正办!R29</f>
        <v>#REF!</v>
      </c>
    </row>
    <row r="22" spans="1:10" ht="13.2">
      <c r="A22" s="2972" t="e">
        <f>#REF!</f>
        <v>#REF!</v>
      </c>
      <c r="B22" s="2972" t="s">
        <v>3154</v>
      </c>
      <c r="C22" s="2979" t="e">
        <f>#REF!</f>
        <v>#REF!</v>
      </c>
      <c r="D22" s="2972" t="e">
        <f>#REF!</f>
        <v>#REF!</v>
      </c>
      <c r="E22" s="2980" t="e">
        <f t="shared" ca="1" si="0"/>
        <v>#REF!</v>
      </c>
      <c r="F22" s="2980" t="e">
        <f t="shared" ca="1" si="0"/>
        <v>#REF!</v>
      </c>
      <c r="G22" s="2980" t="e">
        <f t="shared" ca="1" si="4"/>
        <v>#REF!</v>
      </c>
      <c r="H22" s="2980" t="e">
        <f t="shared" ca="1" si="5"/>
        <v>#REF!</v>
      </c>
      <c r="I22" s="2980" t="e">
        <f>典型户型修正办!S30</f>
        <v>#REF!</v>
      </c>
      <c r="J22" s="2980" t="e">
        <f>典型户型修正办!R30</f>
        <v>#REF!</v>
      </c>
    </row>
    <row r="23" spans="1:10" ht="13.2">
      <c r="A23" s="2972" t="e">
        <f>#REF!</f>
        <v>#REF!</v>
      </c>
      <c r="B23" s="2972" t="s">
        <v>3154</v>
      </c>
      <c r="C23" s="2979" t="e">
        <f>#REF!</f>
        <v>#REF!</v>
      </c>
      <c r="D23" s="2972" t="e">
        <f>#REF!</f>
        <v>#REF!</v>
      </c>
      <c r="E23" s="2980" t="e">
        <f t="shared" ca="1" si="0"/>
        <v>#REF!</v>
      </c>
      <c r="F23" s="2980" t="e">
        <f t="shared" ca="1" si="0"/>
        <v>#REF!</v>
      </c>
      <c r="G23" s="2980" t="e">
        <f t="shared" ca="1" si="4"/>
        <v>#REF!</v>
      </c>
      <c r="H23" s="2980" t="e">
        <f t="shared" ca="1" si="5"/>
        <v>#REF!</v>
      </c>
      <c r="I23" s="2980" t="e">
        <f>典型户型修正办!S31</f>
        <v>#REF!</v>
      </c>
      <c r="J23" s="2980" t="e">
        <f>典型户型修正办!R31</f>
        <v>#REF!</v>
      </c>
    </row>
    <row r="24" spans="1:10" ht="13.2">
      <c r="A24" s="2972" t="e">
        <f>#REF!</f>
        <v>#REF!</v>
      </c>
      <c r="B24" s="2972" t="s">
        <v>3154</v>
      </c>
      <c r="C24" s="2979" t="e">
        <f>#REF!</f>
        <v>#REF!</v>
      </c>
      <c r="D24" s="2972" t="e">
        <f>#REF!</f>
        <v>#REF!</v>
      </c>
      <c r="E24" s="2980" t="e">
        <f t="shared" ca="1" si="0"/>
        <v>#REF!</v>
      </c>
      <c r="F24" s="2980" t="e">
        <f t="shared" ca="1" si="0"/>
        <v>#REF!</v>
      </c>
      <c r="G24" s="2980" t="e">
        <f t="shared" ca="1" si="4"/>
        <v>#REF!</v>
      </c>
      <c r="H24" s="2980" t="e">
        <f t="shared" ca="1" si="5"/>
        <v>#REF!</v>
      </c>
      <c r="I24" s="2980" t="e">
        <f>典型户型修正办!S32</f>
        <v>#REF!</v>
      </c>
      <c r="J24" s="2980" t="e">
        <f>典型户型修正办!R32</f>
        <v>#REF!</v>
      </c>
    </row>
    <row r="25" spans="1:10" ht="13.2">
      <c r="A25" s="2972" t="e">
        <f>#REF!</f>
        <v>#REF!</v>
      </c>
      <c r="B25" s="2972" t="s">
        <v>3154</v>
      </c>
      <c r="C25" s="2979" t="e">
        <f>#REF!</f>
        <v>#REF!</v>
      </c>
      <c r="D25" s="2972" t="e">
        <f>#REF!</f>
        <v>#REF!</v>
      </c>
      <c r="E25" s="2980" t="e">
        <f t="shared" ca="1" si="0"/>
        <v>#REF!</v>
      </c>
      <c r="F25" s="2980" t="e">
        <f t="shared" ca="1" si="0"/>
        <v>#REF!</v>
      </c>
      <c r="G25" s="2980" t="e">
        <f t="shared" ca="1" si="4"/>
        <v>#REF!</v>
      </c>
      <c r="H25" s="2980" t="e">
        <f t="shared" ca="1" si="5"/>
        <v>#REF!</v>
      </c>
      <c r="I25" s="2980" t="e">
        <f>典型户型修正办!S33</f>
        <v>#REF!</v>
      </c>
      <c r="J25" s="2980" t="e">
        <f>典型户型修正办!R33</f>
        <v>#REF!</v>
      </c>
    </row>
    <row r="26" spans="1:10" ht="13.2">
      <c r="A26" s="2972" t="e">
        <f>#REF!</f>
        <v>#REF!</v>
      </c>
      <c r="B26" s="2972" t="s">
        <v>3154</v>
      </c>
      <c r="C26" s="2979" t="e">
        <f>#REF!</f>
        <v>#REF!</v>
      </c>
      <c r="D26" s="2972" t="e">
        <f>#REF!</f>
        <v>#REF!</v>
      </c>
      <c r="E26" s="2980" t="e">
        <f t="shared" ca="1" si="0"/>
        <v>#REF!</v>
      </c>
      <c r="F26" s="2980" t="e">
        <f t="shared" ca="1" si="0"/>
        <v>#REF!</v>
      </c>
      <c r="G26" s="2980" t="e">
        <f t="shared" ca="1" si="4"/>
        <v>#REF!</v>
      </c>
      <c r="H26" s="2980" t="e">
        <f t="shared" ca="1" si="5"/>
        <v>#REF!</v>
      </c>
      <c r="I26" s="2980" t="e">
        <f>典型户型修正办!S34</f>
        <v>#REF!</v>
      </c>
      <c r="J26" s="2980" t="e">
        <f>典型户型修正办!R34</f>
        <v>#REF!</v>
      </c>
    </row>
    <row r="27" spans="1:10" ht="13.2">
      <c r="A27" s="2972" t="e">
        <f>#REF!</f>
        <v>#REF!</v>
      </c>
      <c r="B27" s="2972" t="s">
        <v>3154</v>
      </c>
      <c r="C27" s="2979" t="e">
        <f>#REF!</f>
        <v>#REF!</v>
      </c>
      <c r="D27" s="2972" t="e">
        <f>#REF!</f>
        <v>#REF!</v>
      </c>
      <c r="E27" s="2980" t="e">
        <f t="shared" ca="1" si="0"/>
        <v>#REF!</v>
      </c>
      <c r="F27" s="2980" t="e">
        <f t="shared" ca="1" si="0"/>
        <v>#REF!</v>
      </c>
      <c r="G27" s="2980" t="e">
        <f t="shared" ca="1" si="4"/>
        <v>#REF!</v>
      </c>
      <c r="H27" s="2980" t="e">
        <f t="shared" ca="1" si="5"/>
        <v>#REF!</v>
      </c>
      <c r="I27" s="2980" t="e">
        <f>典型户型修正办!S35</f>
        <v>#REF!</v>
      </c>
      <c r="J27" s="2980" t="e">
        <f>典型户型修正办!R35</f>
        <v>#REF!</v>
      </c>
    </row>
    <row r="28" spans="1:10" ht="13.2">
      <c r="A28" s="2972" t="e">
        <f>#REF!</f>
        <v>#REF!</v>
      </c>
      <c r="B28" s="2972" t="s">
        <v>3154</v>
      </c>
      <c r="C28" s="2979" t="e">
        <f>#REF!</f>
        <v>#REF!</v>
      </c>
      <c r="D28" s="2972" t="e">
        <f>#REF!</f>
        <v>#REF!</v>
      </c>
      <c r="E28" s="2980" t="e">
        <f t="shared" ca="1" si="0"/>
        <v>#REF!</v>
      </c>
      <c r="F28" s="2980" t="e">
        <f t="shared" ca="1" si="0"/>
        <v>#REF!</v>
      </c>
      <c r="G28" s="2980" t="e">
        <f t="shared" ca="1" si="4"/>
        <v>#REF!</v>
      </c>
      <c r="H28" s="2980" t="e">
        <f t="shared" ca="1" si="5"/>
        <v>#REF!</v>
      </c>
      <c r="I28" s="2980" t="e">
        <f>典型户型修正办!S36</f>
        <v>#REF!</v>
      </c>
      <c r="J28" s="2980" t="e">
        <f>典型户型修正办!R36</f>
        <v>#REF!</v>
      </c>
    </row>
    <row r="29" spans="1:10" ht="13.2">
      <c r="A29" s="2972" t="e">
        <f>#REF!</f>
        <v>#REF!</v>
      </c>
      <c r="B29" s="2972" t="s">
        <v>3154</v>
      </c>
      <c r="C29" s="2979" t="e">
        <f>#REF!</f>
        <v>#REF!</v>
      </c>
      <c r="D29" s="2972" t="e">
        <f>#REF!</f>
        <v>#REF!</v>
      </c>
      <c r="E29" s="2980" t="e">
        <f t="shared" ca="1" si="0"/>
        <v>#REF!</v>
      </c>
      <c r="F29" s="2980" t="e">
        <f t="shared" ca="1" si="0"/>
        <v>#REF!</v>
      </c>
      <c r="G29" s="2980" t="e">
        <f t="shared" ca="1" si="4"/>
        <v>#REF!</v>
      </c>
      <c r="H29" s="2980" t="e">
        <f t="shared" ca="1" si="5"/>
        <v>#REF!</v>
      </c>
      <c r="I29" s="2980" t="e">
        <f>典型户型修正办!S37</f>
        <v>#REF!</v>
      </c>
      <c r="J29" s="2980" t="e">
        <f>典型户型修正办!R37</f>
        <v>#REF!</v>
      </c>
    </row>
    <row r="30" spans="1:10" ht="13.2">
      <c r="A30" s="2972" t="e">
        <f>#REF!</f>
        <v>#REF!</v>
      </c>
      <c r="B30" s="2972" t="s">
        <v>3154</v>
      </c>
      <c r="C30" s="2979" t="e">
        <f>#REF!</f>
        <v>#REF!</v>
      </c>
      <c r="D30" s="2972" t="e">
        <f>#REF!</f>
        <v>#REF!</v>
      </c>
      <c r="E30" s="2980" t="e">
        <f t="shared" ca="1" si="0"/>
        <v>#REF!</v>
      </c>
      <c r="F30" s="2980" t="e">
        <f t="shared" ca="1" si="0"/>
        <v>#REF!</v>
      </c>
      <c r="G30" s="2980" t="e">
        <f t="shared" ca="1" si="4"/>
        <v>#REF!</v>
      </c>
      <c r="H30" s="2980" t="e">
        <f t="shared" ca="1" si="5"/>
        <v>#REF!</v>
      </c>
      <c r="I30" s="2980" t="e">
        <f>典型户型修正办!S38</f>
        <v>#REF!</v>
      </c>
      <c r="J30" s="2980" t="e">
        <f>典型户型修正办!R38</f>
        <v>#REF!</v>
      </c>
    </row>
    <row r="31" spans="1:10" ht="13.2">
      <c r="A31" s="2972" t="e">
        <f>#REF!</f>
        <v>#REF!</v>
      </c>
      <c r="B31" s="2972" t="s">
        <v>3154</v>
      </c>
      <c r="C31" s="2979" t="e">
        <f>#REF!</f>
        <v>#REF!</v>
      </c>
      <c r="D31" s="2972" t="e">
        <f>#REF!</f>
        <v>#REF!</v>
      </c>
      <c r="E31" s="2980" t="e">
        <f t="shared" ca="1" si="0"/>
        <v>#REF!</v>
      </c>
      <c r="F31" s="2980" t="e">
        <f t="shared" ca="1" si="0"/>
        <v>#REF!</v>
      </c>
      <c r="G31" s="2980" t="e">
        <f t="shared" ca="1" si="4"/>
        <v>#REF!</v>
      </c>
      <c r="H31" s="2980" t="e">
        <f t="shared" ca="1" si="5"/>
        <v>#REF!</v>
      </c>
      <c r="I31" s="2980" t="e">
        <f>典型户型修正办!S39</f>
        <v>#REF!</v>
      </c>
      <c r="J31" s="2980" t="e">
        <f>典型户型修正办!R39</f>
        <v>#REF!</v>
      </c>
    </row>
    <row r="32" spans="1:10" ht="13.2">
      <c r="A32" s="2972" t="e">
        <f>#REF!</f>
        <v>#REF!</v>
      </c>
      <c r="B32" s="2972" t="s">
        <v>3154</v>
      </c>
      <c r="C32" s="2979" t="e">
        <f>#REF!</f>
        <v>#REF!</v>
      </c>
      <c r="D32" s="2972" t="e">
        <f>#REF!</f>
        <v>#REF!</v>
      </c>
      <c r="E32" s="2980" t="e">
        <f t="shared" ca="1" si="0"/>
        <v>#REF!</v>
      </c>
      <c r="F32" s="2980" t="e">
        <f t="shared" ca="1" si="0"/>
        <v>#REF!</v>
      </c>
      <c r="G32" s="2980" t="e">
        <f t="shared" ca="1" si="4"/>
        <v>#REF!</v>
      </c>
      <c r="H32" s="2980" t="e">
        <f t="shared" ca="1" si="5"/>
        <v>#REF!</v>
      </c>
      <c r="I32" s="2980" t="e">
        <f>典型户型修正办!S40</f>
        <v>#REF!</v>
      </c>
      <c r="J32" s="2980" t="e">
        <f>典型户型修正办!R40</f>
        <v>#REF!</v>
      </c>
    </row>
    <row r="33" spans="1:10" ht="13.2">
      <c r="A33" s="2972" t="e">
        <f>#REF!</f>
        <v>#REF!</v>
      </c>
      <c r="B33" s="2972" t="s">
        <v>3154</v>
      </c>
      <c r="C33" s="2979" t="e">
        <f>#REF!</f>
        <v>#REF!</v>
      </c>
      <c r="D33" s="2972" t="e">
        <f>#REF!</f>
        <v>#REF!</v>
      </c>
      <c r="E33" s="2980" t="e">
        <f t="shared" ca="1" si="0"/>
        <v>#REF!</v>
      </c>
      <c r="F33" s="2980" t="e">
        <f t="shared" ca="1" si="0"/>
        <v>#REF!</v>
      </c>
      <c r="G33" s="2980" t="e">
        <f t="shared" ca="1" si="4"/>
        <v>#REF!</v>
      </c>
      <c r="H33" s="2980" t="e">
        <f t="shared" ca="1" si="5"/>
        <v>#REF!</v>
      </c>
      <c r="I33" s="2980" t="e">
        <f>典型户型修正办!S41</f>
        <v>#REF!</v>
      </c>
      <c r="J33" s="2980" t="e">
        <f>典型户型修正办!R41</f>
        <v>#REF!</v>
      </c>
    </row>
    <row r="34" spans="1:10" ht="13.2">
      <c r="A34" s="2972" t="e">
        <f>#REF!</f>
        <v>#REF!</v>
      </c>
      <c r="B34" s="2972" t="s">
        <v>3154</v>
      </c>
      <c r="C34" s="2979" t="e">
        <f>#REF!</f>
        <v>#REF!</v>
      </c>
      <c r="D34" s="2972" t="e">
        <f>#REF!</f>
        <v>#REF!</v>
      </c>
      <c r="E34" s="2980" t="e">
        <f t="shared" ca="1" si="0"/>
        <v>#REF!</v>
      </c>
      <c r="F34" s="2980" t="e">
        <f t="shared" ca="1" si="0"/>
        <v>#REF!</v>
      </c>
      <c r="G34" s="2980" t="e">
        <f t="shared" ca="1" si="4"/>
        <v>#REF!</v>
      </c>
      <c r="H34" s="2980" t="e">
        <f t="shared" ca="1" si="5"/>
        <v>#REF!</v>
      </c>
      <c r="I34" s="2980" t="e">
        <f>典型户型修正办!S42</f>
        <v>#REF!</v>
      </c>
      <c r="J34" s="2980" t="e">
        <f>典型户型修正办!R42</f>
        <v>#REF!</v>
      </c>
    </row>
    <row r="35" spans="1:10" ht="13.2">
      <c r="A35" s="2972" t="e">
        <f>#REF!</f>
        <v>#REF!</v>
      </c>
      <c r="B35" s="2972" t="s">
        <v>3154</v>
      </c>
      <c r="C35" s="2979" t="e">
        <f>#REF!</f>
        <v>#REF!</v>
      </c>
      <c r="D35" s="2972" t="e">
        <f>#REF!</f>
        <v>#REF!</v>
      </c>
      <c r="E35" s="2980" t="e">
        <f t="shared" ca="1" si="0"/>
        <v>#REF!</v>
      </c>
      <c r="F35" s="2980" t="e">
        <f t="shared" ca="1" si="0"/>
        <v>#REF!</v>
      </c>
      <c r="G35" s="2980" t="e">
        <f t="shared" ca="1" si="4"/>
        <v>#REF!</v>
      </c>
      <c r="H35" s="2980" t="e">
        <f t="shared" ca="1" si="5"/>
        <v>#REF!</v>
      </c>
      <c r="I35" s="2980" t="e">
        <f>典型户型修正办!S43</f>
        <v>#REF!</v>
      </c>
      <c r="J35" s="2980" t="e">
        <f>典型户型修正办!R43</f>
        <v>#REF!</v>
      </c>
    </row>
    <row r="36" spans="1:10" ht="13.2">
      <c r="A36" s="2972" t="e">
        <f>#REF!</f>
        <v>#REF!</v>
      </c>
      <c r="B36" s="2972" t="s">
        <v>3154</v>
      </c>
      <c r="C36" s="2979" t="e">
        <f>#REF!</f>
        <v>#REF!</v>
      </c>
      <c r="D36" s="2972" t="e">
        <f>#REF!</f>
        <v>#REF!</v>
      </c>
      <c r="E36" s="2980" t="e">
        <f t="shared" ca="1" si="0"/>
        <v>#REF!</v>
      </c>
      <c r="F36" s="2980" t="e">
        <f t="shared" ca="1" si="0"/>
        <v>#REF!</v>
      </c>
      <c r="G36" s="2980" t="e">
        <f t="shared" ca="1" si="4"/>
        <v>#REF!</v>
      </c>
      <c r="H36" s="2980" t="e">
        <f t="shared" ca="1" si="5"/>
        <v>#REF!</v>
      </c>
      <c r="I36" s="2980" t="e">
        <f>典型户型修正办!S44</f>
        <v>#REF!</v>
      </c>
      <c r="J36" s="2980" t="e">
        <f>典型户型修正办!R44</f>
        <v>#REF!</v>
      </c>
    </row>
    <row r="37" spans="1:10" ht="13.2">
      <c r="A37" s="2972" t="e">
        <f>#REF!</f>
        <v>#REF!</v>
      </c>
      <c r="B37" s="2972" t="s">
        <v>3154</v>
      </c>
      <c r="C37" s="2979" t="e">
        <f>#REF!</f>
        <v>#REF!</v>
      </c>
      <c r="D37" s="2972" t="e">
        <f>#REF!</f>
        <v>#REF!</v>
      </c>
      <c r="E37" s="2980" t="e">
        <f t="shared" ca="1" si="0"/>
        <v>#REF!</v>
      </c>
      <c r="F37" s="2980" t="e">
        <f t="shared" ca="1" si="0"/>
        <v>#REF!</v>
      </c>
      <c r="G37" s="2980" t="e">
        <f t="shared" ca="1" si="4"/>
        <v>#REF!</v>
      </c>
      <c r="H37" s="2980" t="e">
        <f t="shared" ca="1" si="5"/>
        <v>#REF!</v>
      </c>
      <c r="I37" s="2980" t="e">
        <f>典型户型修正办!S45</f>
        <v>#REF!</v>
      </c>
      <c r="J37" s="2980" t="e">
        <f>典型户型修正办!R45</f>
        <v>#REF!</v>
      </c>
    </row>
    <row r="38" spans="1:10" ht="13.2">
      <c r="A38" s="2972" t="e">
        <f>#REF!</f>
        <v>#REF!</v>
      </c>
      <c r="B38" s="2972" t="s">
        <v>3154</v>
      </c>
      <c r="C38" s="2979" t="e">
        <f>#REF!</f>
        <v>#REF!</v>
      </c>
      <c r="D38" s="2972" t="e">
        <f>#REF!</f>
        <v>#REF!</v>
      </c>
      <c r="E38" s="2980" t="e">
        <f t="shared" ca="1" si="0"/>
        <v>#REF!</v>
      </c>
      <c r="F38" s="2980" t="e">
        <f t="shared" ca="1" si="0"/>
        <v>#REF!</v>
      </c>
      <c r="G38" s="2980" t="e">
        <f t="shared" ca="1" si="4"/>
        <v>#REF!</v>
      </c>
      <c r="H38" s="2980" t="e">
        <f t="shared" ca="1" si="5"/>
        <v>#REF!</v>
      </c>
      <c r="I38" s="2980" t="e">
        <f>典型户型修正办!S46</f>
        <v>#REF!</v>
      </c>
      <c r="J38" s="2980" t="e">
        <f>典型户型修正办!R46</f>
        <v>#REF!</v>
      </c>
    </row>
    <row r="39" spans="1:10" ht="13.2">
      <c r="A39" s="2972" t="e">
        <f>#REF!</f>
        <v>#REF!</v>
      </c>
      <c r="B39" s="2972" t="s">
        <v>3154</v>
      </c>
      <c r="C39" s="2979" t="e">
        <f>#REF!</f>
        <v>#REF!</v>
      </c>
      <c r="D39" s="2972" t="e">
        <f>#REF!</f>
        <v>#REF!</v>
      </c>
      <c r="E39" s="2980" t="e">
        <f t="shared" ca="1" si="0"/>
        <v>#REF!</v>
      </c>
      <c r="F39" s="2980" t="e">
        <f t="shared" ca="1" si="0"/>
        <v>#REF!</v>
      </c>
      <c r="G39" s="2980" t="e">
        <f t="shared" ca="1" si="4"/>
        <v>#REF!</v>
      </c>
      <c r="H39" s="2980" t="e">
        <f t="shared" ca="1" si="5"/>
        <v>#REF!</v>
      </c>
      <c r="I39" s="2980" t="e">
        <f>典型户型修正办!S47</f>
        <v>#REF!</v>
      </c>
      <c r="J39" s="2980" t="e">
        <f>典型户型修正办!R47</f>
        <v>#REF!</v>
      </c>
    </row>
    <row r="40" spans="1:10" ht="13.2">
      <c r="A40" s="2972" t="e">
        <f>#REF!</f>
        <v>#REF!</v>
      </c>
      <c r="B40" s="2972" t="s">
        <v>3154</v>
      </c>
      <c r="C40" s="2979" t="e">
        <f>#REF!</f>
        <v>#REF!</v>
      </c>
      <c r="D40" s="2972" t="e">
        <f>#REF!</f>
        <v>#REF!</v>
      </c>
      <c r="E40" s="2980" t="e">
        <f t="shared" ca="1" si="0"/>
        <v>#REF!</v>
      </c>
      <c r="F40" s="2980" t="e">
        <f t="shared" ca="1" si="0"/>
        <v>#REF!</v>
      </c>
      <c r="G40" s="2980" t="e">
        <f t="shared" ca="1" si="4"/>
        <v>#REF!</v>
      </c>
      <c r="H40" s="2980" t="e">
        <f t="shared" ca="1" si="5"/>
        <v>#REF!</v>
      </c>
      <c r="I40" s="2980" t="e">
        <f>典型户型修正办!S48</f>
        <v>#REF!</v>
      </c>
      <c r="J40" s="2980" t="e">
        <f>典型户型修正办!R48</f>
        <v>#REF!</v>
      </c>
    </row>
    <row r="41" spans="1:10" ht="13.2">
      <c r="A41" s="2972" t="e">
        <f>#REF!</f>
        <v>#REF!</v>
      </c>
      <c r="B41" s="2972" t="s">
        <v>3154</v>
      </c>
      <c r="C41" s="2979" t="e">
        <f>#REF!</f>
        <v>#REF!</v>
      </c>
      <c r="D41" s="2972" t="e">
        <f>#REF!</f>
        <v>#REF!</v>
      </c>
      <c r="E41" s="2980" t="e">
        <f t="shared" ca="1" si="0"/>
        <v>#REF!</v>
      </c>
      <c r="F41" s="2980" t="e">
        <f t="shared" ca="1" si="0"/>
        <v>#REF!</v>
      </c>
      <c r="G41" s="2980" t="e">
        <f t="shared" ca="1" si="4"/>
        <v>#REF!</v>
      </c>
      <c r="H41" s="2980" t="e">
        <f t="shared" ca="1" si="5"/>
        <v>#REF!</v>
      </c>
      <c r="I41" s="2980" t="e">
        <f>典型户型修正办!S49</f>
        <v>#REF!</v>
      </c>
      <c r="J41" s="2980" t="e">
        <f>典型户型修正办!R49</f>
        <v>#REF!</v>
      </c>
    </row>
    <row r="42" spans="1:10" ht="13.2">
      <c r="A42" s="2972" t="e">
        <f>#REF!</f>
        <v>#REF!</v>
      </c>
      <c r="B42" s="2972" t="s">
        <v>3154</v>
      </c>
      <c r="C42" s="2979" t="e">
        <f>#REF!</f>
        <v>#REF!</v>
      </c>
      <c r="D42" s="2972" t="e">
        <f>#REF!</f>
        <v>#REF!</v>
      </c>
      <c r="E42" s="2980" t="e">
        <f t="shared" ca="1" si="0"/>
        <v>#REF!</v>
      </c>
      <c r="F42" s="2980" t="e">
        <f t="shared" ca="1" si="0"/>
        <v>#REF!</v>
      </c>
      <c r="G42" s="2980" t="e">
        <f t="shared" ca="1" si="4"/>
        <v>#REF!</v>
      </c>
      <c r="H42" s="2980" t="e">
        <f t="shared" ca="1" si="5"/>
        <v>#REF!</v>
      </c>
      <c r="I42" s="2980" t="e">
        <f>典型户型修正办!S50</f>
        <v>#REF!</v>
      </c>
      <c r="J42" s="2980" t="e">
        <f>典型户型修正办!R50</f>
        <v>#REF!</v>
      </c>
    </row>
    <row r="43" spans="1:10" ht="13.2">
      <c r="A43" s="2972" t="e">
        <f>#REF!</f>
        <v>#REF!</v>
      </c>
      <c r="B43" s="2972" t="s">
        <v>3154</v>
      </c>
      <c r="C43" s="2979" t="e">
        <f>#REF!</f>
        <v>#REF!</v>
      </c>
      <c r="D43" s="2972" t="e">
        <f>#REF!</f>
        <v>#REF!</v>
      </c>
      <c r="E43" s="2980" t="e">
        <f t="shared" ca="1" si="0"/>
        <v>#REF!</v>
      </c>
      <c r="F43" s="2980" t="e">
        <f t="shared" ca="1" si="0"/>
        <v>#REF!</v>
      </c>
      <c r="G43" s="2980" t="e">
        <f t="shared" ca="1" si="4"/>
        <v>#REF!</v>
      </c>
      <c r="H43" s="2980" t="e">
        <f t="shared" ca="1" si="5"/>
        <v>#REF!</v>
      </c>
      <c r="I43" s="2980" t="e">
        <f>典型户型修正办!S51</f>
        <v>#REF!</v>
      </c>
      <c r="J43" s="2980" t="e">
        <f>典型户型修正办!R51</f>
        <v>#REF!</v>
      </c>
    </row>
    <row r="44" spans="1:10" ht="13.2">
      <c r="A44" s="2972" t="e">
        <f>#REF!</f>
        <v>#REF!</v>
      </c>
      <c r="B44" s="2972" t="s">
        <v>3154</v>
      </c>
      <c r="C44" s="2979" t="e">
        <f>#REF!</f>
        <v>#REF!</v>
      </c>
      <c r="D44" s="2972" t="e">
        <f>#REF!</f>
        <v>#REF!</v>
      </c>
      <c r="E44" s="2980" t="e">
        <f t="shared" ca="1" si="0"/>
        <v>#REF!</v>
      </c>
      <c r="F44" s="2980" t="e">
        <f t="shared" ca="1" si="0"/>
        <v>#REF!</v>
      </c>
      <c r="G44" s="2980" t="e">
        <f t="shared" ca="1" si="4"/>
        <v>#REF!</v>
      </c>
      <c r="H44" s="2980" t="e">
        <f t="shared" ca="1" si="5"/>
        <v>#REF!</v>
      </c>
      <c r="I44" s="2980" t="e">
        <f>典型户型修正办!S52</f>
        <v>#REF!</v>
      </c>
      <c r="J44" s="2980" t="e">
        <f>典型户型修正办!R52</f>
        <v>#REF!</v>
      </c>
    </row>
    <row r="45" spans="1:10" ht="13.2">
      <c r="A45" s="2972" t="e">
        <f>#REF!</f>
        <v>#REF!</v>
      </c>
      <c r="B45" s="2972" t="s">
        <v>3154</v>
      </c>
      <c r="C45" s="2979" t="e">
        <f>#REF!</f>
        <v>#REF!</v>
      </c>
      <c r="D45" s="2972" t="e">
        <f>#REF!</f>
        <v>#REF!</v>
      </c>
      <c r="E45" s="2980" t="e">
        <f t="shared" ca="1" si="0"/>
        <v>#REF!</v>
      </c>
      <c r="F45" s="2980" t="e">
        <f t="shared" ca="1" si="0"/>
        <v>#REF!</v>
      </c>
      <c r="G45" s="2980" t="e">
        <f t="shared" ca="1" si="4"/>
        <v>#REF!</v>
      </c>
      <c r="H45" s="2980" t="e">
        <f t="shared" ca="1" si="5"/>
        <v>#REF!</v>
      </c>
      <c r="I45" s="2980" t="e">
        <f>典型户型修正办!S53</f>
        <v>#REF!</v>
      </c>
      <c r="J45" s="2980" t="e">
        <f>典型户型修正办!R53</f>
        <v>#REF!</v>
      </c>
    </row>
    <row r="46" spans="1:10" ht="13.2">
      <c r="A46" s="2972" t="e">
        <f>#REF!</f>
        <v>#REF!</v>
      </c>
      <c r="B46" s="2972" t="s">
        <v>3154</v>
      </c>
      <c r="C46" s="2979" t="e">
        <f>#REF!</f>
        <v>#REF!</v>
      </c>
      <c r="D46" s="2972" t="e">
        <f>#REF!</f>
        <v>#REF!</v>
      </c>
      <c r="E46" s="2980" t="e">
        <f t="shared" ca="1" si="0"/>
        <v>#REF!</v>
      </c>
      <c r="F46" s="2980" t="e">
        <f t="shared" ca="1" si="0"/>
        <v>#REF!</v>
      </c>
      <c r="G46" s="2980" t="e">
        <f t="shared" ca="1" si="4"/>
        <v>#REF!</v>
      </c>
      <c r="H46" s="2980" t="e">
        <f t="shared" ca="1" si="5"/>
        <v>#REF!</v>
      </c>
      <c r="I46" s="2980" t="e">
        <f>典型户型修正办!S54</f>
        <v>#REF!</v>
      </c>
      <c r="J46" s="2980" t="e">
        <f>典型户型修正办!R54</f>
        <v>#REF!</v>
      </c>
    </row>
    <row r="47" spans="1:10" ht="13.2">
      <c r="A47" s="2972" t="e">
        <f>#REF!</f>
        <v>#REF!</v>
      </c>
      <c r="B47" s="2972" t="s">
        <v>3154</v>
      </c>
      <c r="C47" s="2979" t="e">
        <f>#REF!</f>
        <v>#REF!</v>
      </c>
      <c r="D47" s="2972" t="e">
        <f>#REF!</f>
        <v>#REF!</v>
      </c>
      <c r="E47" s="2980" t="e">
        <f t="shared" ca="1" si="0"/>
        <v>#REF!</v>
      </c>
      <c r="F47" s="2980" t="e">
        <f t="shared" ca="1" si="0"/>
        <v>#REF!</v>
      </c>
      <c r="G47" s="2980" t="e">
        <f t="shared" ca="1" si="4"/>
        <v>#REF!</v>
      </c>
      <c r="H47" s="2980" t="e">
        <f t="shared" ca="1" si="5"/>
        <v>#REF!</v>
      </c>
      <c r="I47" s="2980" t="e">
        <f>典型户型修正办!S55</f>
        <v>#REF!</v>
      </c>
      <c r="J47" s="2980" t="e">
        <f>典型户型修正办!R55</f>
        <v>#REF!</v>
      </c>
    </row>
    <row r="48" spans="1:10" ht="13.2">
      <c r="A48" s="2972" t="e">
        <f>#REF!</f>
        <v>#REF!</v>
      </c>
      <c r="B48" s="2972" t="s">
        <v>3154</v>
      </c>
      <c r="C48" s="2979" t="e">
        <f>#REF!</f>
        <v>#REF!</v>
      </c>
      <c r="D48" s="2972" t="e">
        <f>#REF!</f>
        <v>#REF!</v>
      </c>
      <c r="E48" s="2980" t="e">
        <f t="shared" ca="1" si="0"/>
        <v>#REF!</v>
      </c>
      <c r="F48" s="2980" t="e">
        <f t="shared" ca="1" si="0"/>
        <v>#REF!</v>
      </c>
      <c r="G48" s="2980" t="e">
        <f t="shared" ca="1" si="4"/>
        <v>#REF!</v>
      </c>
      <c r="H48" s="2980" t="e">
        <f t="shared" ca="1" si="5"/>
        <v>#REF!</v>
      </c>
      <c r="I48" s="2980" t="e">
        <f>典型户型修正办!S56</f>
        <v>#REF!</v>
      </c>
      <c r="J48" s="2980" t="e">
        <f>典型户型修正办!R56</f>
        <v>#REF!</v>
      </c>
    </row>
    <row r="49" spans="1:11" ht="13.2">
      <c r="A49" s="2972" t="e">
        <f>#REF!</f>
        <v>#REF!</v>
      </c>
      <c r="B49" s="2972" t="s">
        <v>3154</v>
      </c>
      <c r="C49" s="2979" t="e">
        <f>#REF!</f>
        <v>#REF!</v>
      </c>
      <c r="D49" s="2972" t="e">
        <f>#REF!</f>
        <v>#REF!</v>
      </c>
      <c r="E49" s="2980" t="e">
        <f t="shared" ca="1" si="0"/>
        <v>#REF!</v>
      </c>
      <c r="F49" s="2980" t="e">
        <f t="shared" ca="1" si="0"/>
        <v>#REF!</v>
      </c>
      <c r="G49" s="2980" t="e">
        <f t="shared" ca="1" si="4"/>
        <v>#REF!</v>
      </c>
      <c r="H49" s="2980" t="e">
        <f t="shared" ca="1" si="5"/>
        <v>#REF!</v>
      </c>
      <c r="I49" s="2980" t="e">
        <f>典型户型修正办!S57</f>
        <v>#REF!</v>
      </c>
      <c r="J49" s="2980" t="e">
        <f>典型户型修正办!R57</f>
        <v>#REF!</v>
      </c>
    </row>
    <row r="50" spans="1:11" ht="13.2">
      <c r="A50" s="2972" t="e">
        <f>#REF!</f>
        <v>#REF!</v>
      </c>
      <c r="B50" s="2972" t="s">
        <v>3154</v>
      </c>
      <c r="C50" s="2979" t="e">
        <f>#REF!</f>
        <v>#REF!</v>
      </c>
      <c r="D50" s="2972" t="e">
        <f>#REF!</f>
        <v>#REF!</v>
      </c>
      <c r="E50" s="2980" t="e">
        <f t="shared" ca="1" si="0"/>
        <v>#REF!</v>
      </c>
      <c r="F50" s="2980" t="e">
        <f t="shared" ca="1" si="0"/>
        <v>#REF!</v>
      </c>
      <c r="G50" s="2980" t="e">
        <f t="shared" ca="1" si="4"/>
        <v>#REF!</v>
      </c>
      <c r="H50" s="2980" t="e">
        <f t="shared" ca="1" si="5"/>
        <v>#REF!</v>
      </c>
      <c r="I50" s="2980" t="e">
        <f>典型户型修正办!S58</f>
        <v>#REF!</v>
      </c>
      <c r="J50" s="2980" t="e">
        <f>典型户型修正办!R58</f>
        <v>#REF!</v>
      </c>
    </row>
    <row r="51" spans="1:11" ht="13.2">
      <c r="A51" s="2972" t="e">
        <f>#REF!</f>
        <v>#REF!</v>
      </c>
      <c r="B51" s="2972" t="s">
        <v>3154</v>
      </c>
      <c r="C51" s="2979" t="e">
        <f>#REF!</f>
        <v>#REF!</v>
      </c>
      <c r="D51" s="2972" t="e">
        <f>#REF!</f>
        <v>#REF!</v>
      </c>
      <c r="E51" s="2980" t="e">
        <f t="shared" ca="1" si="0"/>
        <v>#REF!</v>
      </c>
      <c r="F51" s="2980" t="e">
        <f t="shared" ca="1" si="0"/>
        <v>#REF!</v>
      </c>
      <c r="G51" s="2980" t="e">
        <f t="shared" ca="1" si="4"/>
        <v>#REF!</v>
      </c>
      <c r="H51" s="2980" t="e">
        <f t="shared" ca="1" si="5"/>
        <v>#REF!</v>
      </c>
      <c r="I51" s="2980" t="e">
        <f>典型户型修正办!S59</f>
        <v>#REF!</v>
      </c>
      <c r="J51" s="2980" t="e">
        <f>典型户型修正办!R59</f>
        <v>#REF!</v>
      </c>
    </row>
    <row r="52" spans="1:11" ht="13.2">
      <c r="A52" s="2972" t="e">
        <f>#REF!</f>
        <v>#REF!</v>
      </c>
      <c r="B52" s="2972" t="s">
        <v>3154</v>
      </c>
      <c r="C52" s="2979" t="e">
        <f>#REF!</f>
        <v>#REF!</v>
      </c>
      <c r="D52" s="2972" t="e">
        <f>#REF!</f>
        <v>#REF!</v>
      </c>
      <c r="E52" s="2980" t="e">
        <f t="shared" ca="1" si="0"/>
        <v>#REF!</v>
      </c>
      <c r="F52" s="2980" t="e">
        <f t="shared" ca="1" si="0"/>
        <v>#REF!</v>
      </c>
      <c r="G52" s="2980" t="e">
        <f t="shared" ca="1" si="4"/>
        <v>#REF!</v>
      </c>
      <c r="H52" s="2980" t="e">
        <f t="shared" ca="1" si="5"/>
        <v>#REF!</v>
      </c>
      <c r="I52" s="2980" t="e">
        <f>典型户型修正办!S60</f>
        <v>#REF!</v>
      </c>
      <c r="J52" s="2980" t="e">
        <f>典型户型修正办!R60</f>
        <v>#REF!</v>
      </c>
    </row>
    <row r="53" spans="1:11" s="2983" customFormat="1" ht="13.2">
      <c r="A53" s="3541" t="s">
        <v>3155</v>
      </c>
      <c r="B53" s="3542"/>
      <c r="C53" s="2981" t="e">
        <f>SUM(C16:C52)</f>
        <v>#REF!</v>
      </c>
      <c r="D53" s="2981" t="e">
        <f>SUM(D16:D52)</f>
        <v>#REF!</v>
      </c>
      <c r="E53" s="2982" t="e">
        <f ca="1">SUM(E16:E52)</f>
        <v>#REF!</v>
      </c>
      <c r="F53" s="2982" t="e">
        <f t="shared" ca="1" si="0"/>
        <v>#REF!</v>
      </c>
      <c r="G53" s="2982" t="e">
        <f ca="1">SUM(G16:G52)</f>
        <v>#REF!</v>
      </c>
      <c r="H53" s="2982" t="e">
        <f ca="1">ROUND(G53/C53*10000,0)</f>
        <v>#REF!</v>
      </c>
      <c r="I53" s="2982" t="e">
        <f>SUM(I16:I52)</f>
        <v>#REF!</v>
      </c>
      <c r="J53" s="2982" t="e">
        <f>ROUND(I53/C53*10000,0)</f>
        <v>#REF!</v>
      </c>
      <c r="K53" s="2983" t="e">
        <f ca="1">G53+E53</f>
        <v>#REF!</v>
      </c>
    </row>
    <row r="54" spans="1:11" ht="13.2">
      <c r="A54" s="2954" t="s">
        <v>3139</v>
      </c>
      <c r="B54" s="2954" t="s">
        <v>3156</v>
      </c>
      <c r="C54" s="2979">
        <v>1949.34</v>
      </c>
      <c r="D54" s="2954">
        <v>184.92</v>
      </c>
      <c r="E54" s="2980">
        <f t="shared" ca="1" si="0"/>
        <v>6009</v>
      </c>
      <c r="F54" s="2980">
        <f t="shared" ca="1" si="0"/>
        <v>30827</v>
      </c>
      <c r="G54" s="2980">
        <f ca="1">ROUND(I54*$K$54,0)</f>
        <v>0</v>
      </c>
      <c r="H54" s="2980">
        <f ca="1">ROUND(G54/C54*10000,0)</f>
        <v>0</v>
      </c>
      <c r="I54" s="2980">
        <f ca="1">ROUND(J54*C54/10000,0)</f>
        <v>6009</v>
      </c>
      <c r="J54" s="2980">
        <f ca="1">结果表酒店!G20</f>
        <v>30827</v>
      </c>
      <c r="K54" s="2977">
        <f ca="1">收益法酒店!C13/收益法酒店!C40</f>
        <v>0</v>
      </c>
    </row>
    <row r="55" spans="1:11" ht="13.2">
      <c r="A55" s="2954" t="s">
        <v>3140</v>
      </c>
      <c r="B55" s="2954" t="s">
        <v>3157</v>
      </c>
      <c r="C55" s="2979">
        <v>153.44999999999999</v>
      </c>
      <c r="D55" s="2954">
        <v>14.56</v>
      </c>
      <c r="E55" s="2980">
        <f t="shared" ca="1" si="0"/>
        <v>116062</v>
      </c>
      <c r="F55" s="2980">
        <f t="shared" ca="1" si="0"/>
        <v>30827</v>
      </c>
      <c r="G55" s="2980">
        <f ca="1">ROUND(I55*$K$54,0)</f>
        <v>0</v>
      </c>
      <c r="H55" s="2980">
        <f ca="1">H54</f>
        <v>0</v>
      </c>
      <c r="I55" s="2980">
        <f ca="1">结果表酒店!G19-I54</f>
        <v>116062</v>
      </c>
      <c r="J55" s="2980">
        <f ca="1">J54</f>
        <v>30827</v>
      </c>
    </row>
    <row r="56" spans="1:11" s="2983" customFormat="1" ht="13.2">
      <c r="A56" s="3541" t="s">
        <v>3158</v>
      </c>
      <c r="B56" s="3542"/>
      <c r="C56" s="2981">
        <f>SUM(C54:C55)</f>
        <v>2102.79</v>
      </c>
      <c r="D56" s="2981">
        <f>SUM(D54:D55)</f>
        <v>199.48</v>
      </c>
      <c r="E56" s="2982">
        <f ca="1">SUM(E54:E55)</f>
        <v>122071</v>
      </c>
      <c r="F56" s="2982">
        <f ca="1">F55</f>
        <v>30827</v>
      </c>
      <c r="G56" s="2982">
        <f ca="1">SUM(G54:G55)</f>
        <v>0</v>
      </c>
      <c r="H56" s="2982">
        <f ca="1">H55</f>
        <v>0</v>
      </c>
      <c r="I56" s="2982">
        <f ca="1">SUM(I54:I55)</f>
        <v>122071</v>
      </c>
      <c r="J56" s="2982">
        <f ca="1">J55</f>
        <v>30827</v>
      </c>
      <c r="K56" s="2983">
        <f ca="1">G56+E56</f>
        <v>122071</v>
      </c>
    </row>
    <row r="57" spans="1:11" s="2983" customFormat="1" ht="13.2">
      <c r="A57" s="3543" t="s">
        <v>3159</v>
      </c>
      <c r="B57" s="3544"/>
      <c r="C57" s="2981" t="e">
        <f>C56+C53+C15</f>
        <v>#REF!</v>
      </c>
      <c r="D57" s="2981" t="e">
        <f>D56+D53+D15</f>
        <v>#REF!</v>
      </c>
      <c r="E57" s="3545" t="e">
        <f ca="1">E56+E53+E15</f>
        <v>#REF!</v>
      </c>
      <c r="F57" s="3545"/>
      <c r="G57" s="3545" t="e">
        <f ca="1">G56+G53+G15</f>
        <v>#REF!</v>
      </c>
      <c r="H57" s="3545"/>
      <c r="I57" s="3545" t="e">
        <f ca="1">I56+I53+I15</f>
        <v>#REF!</v>
      </c>
      <c r="J57" s="3545"/>
    </row>
    <row r="58" spans="1:11" ht="13.2">
      <c r="A58" s="2984"/>
      <c r="B58" s="2984"/>
      <c r="C58" s="2985"/>
      <c r="D58" s="2986"/>
      <c r="E58" s="3538" t="e">
        <f ca="1">E57*10000</f>
        <v>#REF!</v>
      </c>
      <c r="F58" s="3538"/>
      <c r="G58" s="3538" t="e">
        <f ca="1">G57*10000</f>
        <v>#REF!</v>
      </c>
      <c r="H58" s="3538"/>
      <c r="I58" s="3538" t="e">
        <f ca="1">I57*10000</f>
        <v>#REF!</v>
      </c>
      <c r="J58" s="3538"/>
    </row>
    <row r="59" spans="1:11">
      <c r="A59" s="3539" t="s">
        <v>3160</v>
      </c>
      <c r="B59" s="3539"/>
      <c r="C59" s="3539"/>
      <c r="D59" s="3539"/>
      <c r="E59" s="3539"/>
      <c r="F59" s="3539"/>
      <c r="G59" s="3539"/>
      <c r="H59" s="3539"/>
      <c r="I59" s="3539"/>
      <c r="J59" s="3539"/>
    </row>
    <row r="60" spans="1:11">
      <c r="C60" s="2977">
        <f>[3]汉威!$C$62</f>
        <v>41487.209999999985</v>
      </c>
    </row>
    <row r="61" spans="1:11">
      <c r="C61" s="2987" t="e">
        <f>C57-C60</f>
        <v>#REF!</v>
      </c>
    </row>
  </sheetData>
  <mergeCells count="18">
    <mergeCell ref="E1:F1"/>
    <mergeCell ref="G1:H1"/>
    <mergeCell ref="E58:F58"/>
    <mergeCell ref="G58:H58"/>
    <mergeCell ref="I58:J58"/>
    <mergeCell ref="A59:J59"/>
    <mergeCell ref="I1:J1"/>
    <mergeCell ref="A15:B15"/>
    <mergeCell ref="A53:B53"/>
    <mergeCell ref="A56:B56"/>
    <mergeCell ref="A57:B57"/>
    <mergeCell ref="E57:F57"/>
    <mergeCell ref="G57:H57"/>
    <mergeCell ref="I57:J57"/>
    <mergeCell ref="A1:A2"/>
    <mergeCell ref="B1:B2"/>
    <mergeCell ref="C1:C2"/>
    <mergeCell ref="D1:D2"/>
  </mergeCells>
  <phoneticPr fontId="14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392"/>
    <col min="3" max="4" width="12.6640625" style="2392" customWidth="1"/>
    <col min="5" max="9" width="12.6640625" style="2392"/>
    <col min="10" max="11" width="12.6640625" style="790" customWidth="1"/>
    <col min="12" max="12" width="12.6640625" style="790"/>
    <col min="13" max="13" width="14.109375" style="790" bestFit="1" customWidth="1"/>
    <col min="14" max="26" width="12.6640625" style="790"/>
    <col min="27" max="35" width="12.6640625" style="2391"/>
    <col min="36" max="16384" width="12.6640625" style="2392"/>
  </cols>
  <sheetData>
    <row r="1" spans="1:12" ht="21.75" customHeight="1" thickBot="1">
      <c r="A1" s="2197" t="s">
        <v>2100</v>
      </c>
      <c r="B1" s="2386"/>
      <c r="C1" s="2387" t="s">
        <v>1362</v>
      </c>
      <c r="D1" s="2386"/>
      <c r="E1" s="2386"/>
      <c r="F1" s="2388" t="s">
        <v>2101</v>
      </c>
      <c r="G1" s="2042" t="s">
        <v>3041</v>
      </c>
      <c r="H1" s="2389" t="str">
        <f>IF(G1="现房","——","估价对象范围")</f>
        <v>——</v>
      </c>
      <c r="I1" s="2390"/>
    </row>
    <row r="2" spans="1:12" ht="21.75" customHeight="1" thickBot="1">
      <c r="A2" s="3579" t="str">
        <f>项目基本情况!S2</f>
        <v>四川省成都市青羊区西御街3号、5号房地产</v>
      </c>
      <c r="B2" s="3580"/>
      <c r="C2" s="3580"/>
      <c r="D2" s="3580"/>
      <c r="E2" s="3580"/>
      <c r="F2" s="3580"/>
      <c r="G2" s="3580"/>
      <c r="H2" s="3580"/>
      <c r="I2" s="3581"/>
    </row>
    <row r="3" spans="1:12" ht="13.2">
      <c r="A3" s="3583" t="s">
        <v>2102</v>
      </c>
      <c r="B3" s="3584"/>
      <c r="C3" s="3584"/>
      <c r="D3" s="3584"/>
      <c r="E3" s="3584"/>
      <c r="F3" s="3584"/>
      <c r="G3" s="3584"/>
      <c r="H3" s="3584"/>
      <c r="I3" s="3584"/>
    </row>
    <row r="4" spans="1:12" ht="14.4">
      <c r="A4" s="2393" t="s">
        <v>2103</v>
      </c>
      <c r="B4" s="2394" t="s">
        <v>2104</v>
      </c>
      <c r="C4" s="2395" t="s">
        <v>3433</v>
      </c>
      <c r="D4" s="2395" t="s">
        <v>3038</v>
      </c>
      <c r="E4" s="3576" t="s">
        <v>2105</v>
      </c>
      <c r="F4" s="3577"/>
      <c r="G4" s="3577"/>
      <c r="H4" s="3577"/>
      <c r="I4" s="3585"/>
      <c r="K4" s="2396" t="str">
        <f>IF(ISNUMBER(FIND("比较法",结果表商!C4)),"比较法",IF(ISNUMBER(FIND("成本法",结果表商!C4)),"成本法",IF(ISNUMBER(FIND("假设开发法",结果表商!C4)),"假设开发法",IF(ISNUMBER(FIND("收益法",结果表商!C4)),"收益法","基准地价系数修正法"))))</f>
        <v>基准地价系数修正法</v>
      </c>
      <c r="L4" s="2396"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559" t="s">
        <v>2106</v>
      </c>
      <c r="B5" s="3486">
        <v>25</v>
      </c>
      <c r="C5" s="3562"/>
      <c r="D5" s="3582"/>
      <c r="E5" s="140" t="s">
        <v>2107</v>
      </c>
      <c r="F5" s="2397"/>
      <c r="G5" s="2397"/>
      <c r="H5" s="2397"/>
      <c r="I5" s="1809"/>
    </row>
    <row r="6" spans="1:12" ht="13.2">
      <c r="A6" s="3559"/>
      <c r="B6" s="3486"/>
      <c r="C6" s="3563"/>
      <c r="D6" s="3582"/>
      <c r="E6" s="140" t="s">
        <v>2108</v>
      </c>
      <c r="F6" s="2397"/>
      <c r="G6" s="2397"/>
      <c r="H6" s="2397"/>
      <c r="I6" s="1809"/>
    </row>
    <row r="7" spans="1:12" ht="13.2">
      <c r="A7" s="3559"/>
      <c r="B7" s="3486"/>
      <c r="C7" s="3564"/>
      <c r="D7" s="3582"/>
      <c r="E7" s="140" t="s">
        <v>2109</v>
      </c>
      <c r="F7" s="2397"/>
      <c r="G7" s="2397"/>
      <c r="H7" s="2397"/>
      <c r="I7" s="1809"/>
    </row>
    <row r="8" spans="1:12" ht="13.2">
      <c r="A8" s="3559" t="s">
        <v>2110</v>
      </c>
      <c r="B8" s="3486">
        <v>15</v>
      </c>
      <c r="C8" s="3562"/>
      <c r="D8" s="3582"/>
      <c r="E8" s="140" t="s">
        <v>2111</v>
      </c>
      <c r="F8" s="2397"/>
      <c r="G8" s="2397"/>
      <c r="H8" s="2397"/>
      <c r="I8" s="1809"/>
    </row>
    <row r="9" spans="1:12" ht="13.2">
      <c r="A9" s="3559"/>
      <c r="B9" s="3486"/>
      <c r="C9" s="3564"/>
      <c r="D9" s="3582"/>
      <c r="E9" s="140" t="s">
        <v>2112</v>
      </c>
      <c r="F9" s="2397"/>
      <c r="G9" s="2397"/>
      <c r="H9" s="2397"/>
      <c r="I9" s="1809"/>
    </row>
    <row r="10" spans="1:12" ht="13.2">
      <c r="A10" s="3559" t="s">
        <v>2113</v>
      </c>
      <c r="B10" s="3486">
        <v>15</v>
      </c>
      <c r="C10" s="3562"/>
      <c r="D10" s="3582"/>
      <c r="E10" s="140" t="s">
        <v>2114</v>
      </c>
      <c r="F10" s="2397"/>
      <c r="G10" s="2397"/>
      <c r="H10" s="2397"/>
      <c r="I10" s="1809"/>
    </row>
    <row r="11" spans="1:12" ht="13.2">
      <c r="A11" s="3559"/>
      <c r="B11" s="3486"/>
      <c r="C11" s="3564"/>
      <c r="D11" s="3582"/>
      <c r="E11" s="140" t="s">
        <v>2115</v>
      </c>
      <c r="F11" s="2397"/>
      <c r="G11" s="2397"/>
      <c r="H11" s="2397"/>
      <c r="I11" s="1809"/>
    </row>
    <row r="12" spans="1:12" ht="13.2">
      <c r="A12" s="3559" t="s">
        <v>2116</v>
      </c>
      <c r="B12" s="3486">
        <v>15</v>
      </c>
      <c r="C12" s="3562"/>
      <c r="D12" s="3582"/>
      <c r="E12" s="140" t="s">
        <v>2117</v>
      </c>
      <c r="F12" s="2397"/>
      <c r="G12" s="2397"/>
      <c r="H12" s="2397"/>
      <c r="I12" s="1809"/>
    </row>
    <row r="13" spans="1:12" ht="13.2">
      <c r="A13" s="3559"/>
      <c r="B13" s="3486"/>
      <c r="C13" s="3564"/>
      <c r="D13" s="3582"/>
      <c r="E13" s="140" t="s">
        <v>2118</v>
      </c>
      <c r="F13" s="2397"/>
      <c r="G13" s="2397"/>
      <c r="H13" s="2397"/>
      <c r="I13" s="1809"/>
    </row>
    <row r="14" spans="1:12" ht="13.2">
      <c r="A14" s="3559" t="s">
        <v>2119</v>
      </c>
      <c r="B14" s="3486">
        <v>30</v>
      </c>
      <c r="C14" s="3562">
        <v>4</v>
      </c>
      <c r="D14" s="3582">
        <v>6</v>
      </c>
      <c r="E14" s="140" t="s">
        <v>2120</v>
      </c>
      <c r="F14" s="2397"/>
      <c r="G14" s="2397"/>
      <c r="H14" s="2397"/>
      <c r="I14" s="1809"/>
    </row>
    <row r="15" spans="1:12" ht="13.2">
      <c r="A15" s="3559"/>
      <c r="B15" s="3486"/>
      <c r="C15" s="3563"/>
      <c r="D15" s="3582"/>
      <c r="E15" s="140" t="s">
        <v>2121</v>
      </c>
      <c r="F15" s="2397"/>
      <c r="G15" s="2397"/>
      <c r="H15" s="2397"/>
      <c r="I15" s="1809"/>
    </row>
    <row r="16" spans="1:12" ht="13.2">
      <c r="A16" s="3559"/>
      <c r="B16" s="3486"/>
      <c r="C16" s="3564"/>
      <c r="D16" s="3582"/>
      <c r="E16" s="140" t="s">
        <v>2122</v>
      </c>
      <c r="F16" s="2397"/>
      <c r="G16" s="2397"/>
      <c r="H16" s="2397"/>
      <c r="I16" s="1809"/>
    </row>
    <row r="17" spans="1:35" ht="14.4">
      <c r="A17" s="2398" t="s">
        <v>2123</v>
      </c>
      <c r="B17" s="64"/>
      <c r="C17" s="141">
        <f>SUM(C5:C16)</f>
        <v>4</v>
      </c>
      <c r="D17" s="141">
        <f>SUM(D5:D16)</f>
        <v>6</v>
      </c>
      <c r="E17" s="138"/>
      <c r="F17" s="138"/>
      <c r="G17" s="138"/>
      <c r="H17" s="138"/>
      <c r="I17" s="138"/>
      <c r="K17" s="2396"/>
      <c r="L17" s="2399" t="s">
        <v>2124</v>
      </c>
      <c r="M17" s="2399" t="s">
        <v>2125</v>
      </c>
    </row>
    <row r="18" spans="1:35" ht="15" thickBot="1">
      <c r="A18" s="2400" t="s">
        <v>2126</v>
      </c>
      <c r="B18" s="2401"/>
      <c r="C18" s="142">
        <f>ROUND(C17/SUM(C17:D17),2)</f>
        <v>0.4</v>
      </c>
      <c r="D18" s="142">
        <f>1-C18</f>
        <v>0.6</v>
      </c>
      <c r="E18" s="138"/>
      <c r="F18" s="138"/>
      <c r="G18" s="138"/>
      <c r="H18" s="138"/>
      <c r="I18" s="138"/>
      <c r="K18" s="2396" t="s">
        <v>2127</v>
      </c>
      <c r="L18" s="2396">
        <f>IF(C1="",'数据-汇总表'!E3,SUMIF(项目类型,C1,'数据-汇总表'!E17:E26)+SUMIF(项目类型,C1,'数据-汇总表'!I17:I26))</f>
        <v>9962.36</v>
      </c>
      <c r="M18" s="2396">
        <f>IF(C1="",'数据-汇总表'!E3,SUMIF(项目类型,C1,'数据-汇总表'!E17:E26))</f>
        <v>9953.84</v>
      </c>
    </row>
    <row r="19" spans="1:35" ht="14.4">
      <c r="A19" s="2402" t="s">
        <v>2128</v>
      </c>
      <c r="B19" s="2403" t="s">
        <v>2129</v>
      </c>
      <c r="C19" s="143">
        <f ca="1">SUMIF(INDIRECT("'"&amp;C4&amp;"'"&amp;"!A:A"),结果表商!B19,INDIRECT("'"&amp;C4&amp;"'"&amp;"!B:B"))</f>
        <v>64404</v>
      </c>
      <c r="D19" s="144">
        <f ca="1">SUMIF(INDIRECT("'"&amp;D4&amp;"'"&amp;"!A:A"),结果表商!B19,INDIRECT("'"&amp;D4&amp;"'"&amp;"!B:B"))</f>
        <v>45688</v>
      </c>
      <c r="E19" s="2402" t="s">
        <v>2130</v>
      </c>
      <c r="F19" s="2403" t="s">
        <v>2129</v>
      </c>
      <c r="G19" s="145">
        <f ca="1">ROUND(C19*$C$18+D19*$D$18,0)</f>
        <v>53174</v>
      </c>
      <c r="H19" s="2404" t="s">
        <v>2131</v>
      </c>
      <c r="I19" s="138"/>
      <c r="K19" s="2396" t="s">
        <v>2132</v>
      </c>
      <c r="L19" s="2396">
        <f>IF(C1="",'数据-汇总表'!D3,SUMIF(项目类型,C1,'数据-汇总表'!D17:D26)+SUMIF(项目类型,C1,'数据-汇总表'!H17:H27))</f>
        <v>1203.57</v>
      </c>
      <c r="M19" s="2396">
        <f>IF(C1="",'数据-汇总表'!D3,SUMIF(项目类型,C1,'数据-汇总表'!D17:D26))</f>
        <v>731.05</v>
      </c>
    </row>
    <row r="20" spans="1:35" ht="14.4">
      <c r="A20" s="2405"/>
      <c r="B20" s="1228" t="s">
        <v>2133</v>
      </c>
      <c r="C20" s="146">
        <f ca="1">SUMIF(INDIRECT("'"&amp;C4&amp;"'"&amp;"!A:A"),结果表商!B20,INDIRECT("'"&amp;C4&amp;"'"&amp;"!B:B"))</f>
        <v>64703</v>
      </c>
      <c r="D20" s="147">
        <f ca="1">SUMIF(INDIRECT("'"&amp;D4&amp;"'"&amp;"!A:A"),结果表商!B20,INDIRECT("'"&amp;D4&amp;"'"&amp;"!B:B"))</f>
        <v>45900</v>
      </c>
      <c r="E20" s="2405"/>
      <c r="F20" s="1228" t="s">
        <v>2133</v>
      </c>
      <c r="G20" s="148">
        <f ca="1">ROUND(C20*$C$18+D20*$D$18,0)</f>
        <v>53421</v>
      </c>
      <c r="H20" s="969" t="s">
        <v>2134</v>
      </c>
      <c r="I20" s="138"/>
    </row>
    <row r="21" spans="1:35" ht="15" customHeight="1" thickBot="1">
      <c r="A21" s="989"/>
      <c r="B21" s="2406" t="s">
        <v>2135</v>
      </c>
      <c r="C21" s="784">
        <f ca="1">ROUND(C19*10000/L19,0)</f>
        <v>535108</v>
      </c>
      <c r="D21" s="785">
        <f ca="1">ROUND(D19*10000/L19,0)</f>
        <v>379604</v>
      </c>
      <c r="E21" s="989"/>
      <c r="F21" s="2406" t="s">
        <v>2135</v>
      </c>
      <c r="G21" s="149">
        <f ca="1">ROUND(G19*10000/L19,0)</f>
        <v>441802</v>
      </c>
      <c r="H21" s="2407" t="s">
        <v>2134</v>
      </c>
      <c r="I21" s="138"/>
    </row>
    <row r="22" spans="1:35" ht="15" thickBot="1">
      <c r="A22" s="2252" t="s">
        <v>2136</v>
      </c>
      <c r="B22" s="2408"/>
      <c r="C22" s="2409"/>
      <c r="D22" s="786">
        <f ca="1">IF(C19&lt;D19,D19/C19-1,C19/D19-1)</f>
        <v>0.40964804762738583</v>
      </c>
      <c r="E22" s="138"/>
      <c r="F22" s="138"/>
      <c r="G22" s="138"/>
      <c r="H22" s="138"/>
      <c r="I22" s="138"/>
    </row>
    <row r="23" spans="1:35" ht="13.8" thickBot="1">
      <c r="A23" s="2386"/>
      <c r="B23" s="2386"/>
      <c r="C23" s="2386"/>
      <c r="D23" s="2386"/>
      <c r="E23" s="138"/>
      <c r="F23" s="138"/>
      <c r="G23" s="138"/>
      <c r="H23" s="138"/>
      <c r="I23" s="138"/>
    </row>
    <row r="24" spans="1:35" ht="14.4">
      <c r="A24" s="3553" t="s">
        <v>2137</v>
      </c>
      <c r="B24" s="2403" t="s">
        <v>2129</v>
      </c>
      <c r="C24" s="145">
        <f>IF(B30=0,0,D30)</f>
        <v>0</v>
      </c>
      <c r="D24" s="2410"/>
      <c r="E24" s="138"/>
      <c r="F24" s="138"/>
      <c r="G24" s="138"/>
      <c r="H24" s="138"/>
      <c r="I24" s="138"/>
    </row>
    <row r="25" spans="1:35" ht="14.4">
      <c r="A25" s="3554"/>
      <c r="B25" s="1228" t="s">
        <v>2133</v>
      </c>
      <c r="C25" s="150">
        <f>IF(B30=0,0,C30)</f>
        <v>0</v>
      </c>
      <c r="D25" s="2411"/>
      <c r="E25" s="138"/>
      <c r="F25" s="138"/>
      <c r="G25" s="138"/>
      <c r="H25" s="138"/>
      <c r="I25" s="138"/>
    </row>
    <row r="26" spans="1:35" ht="13.5" customHeight="1">
      <c r="A26" s="2412" t="s">
        <v>2138</v>
      </c>
      <c r="B26" s="151" t="s">
        <v>2139</v>
      </c>
      <c r="C26" s="151" t="s">
        <v>2140</v>
      </c>
      <c r="D26" s="152" t="s">
        <v>2141</v>
      </c>
      <c r="E26" s="138"/>
      <c r="F26" s="138"/>
      <c r="G26" s="138"/>
      <c r="H26" s="138"/>
      <c r="I26" s="138"/>
    </row>
    <row r="27" spans="1:35" ht="13.8">
      <c r="A27" s="2412"/>
      <c r="B27" s="151">
        <v>0</v>
      </c>
      <c r="C27" s="151">
        <v>0</v>
      </c>
      <c r="D27" s="152">
        <f>ROUND(C27*B27/10000,0)</f>
        <v>0</v>
      </c>
      <c r="E27" s="138"/>
      <c r="F27" s="138"/>
      <c r="G27" s="138"/>
      <c r="H27" s="138"/>
      <c r="I27" s="138"/>
    </row>
    <row r="28" spans="1:35" ht="13.8">
      <c r="A28" s="2412"/>
      <c r="B28" s="151"/>
      <c r="C28" s="151"/>
      <c r="D28" s="152"/>
      <c r="E28" s="138"/>
      <c r="F28" s="138"/>
      <c r="G28" s="138"/>
      <c r="H28" s="138"/>
      <c r="I28" s="138"/>
    </row>
    <row r="29" spans="1:35" ht="13.8">
      <c r="A29" s="2412"/>
      <c r="B29" s="151"/>
      <c r="C29" s="151"/>
      <c r="D29" s="152"/>
      <c r="E29" s="138"/>
      <c r="F29" s="138"/>
      <c r="G29" s="138"/>
      <c r="H29" s="138"/>
      <c r="I29" s="138"/>
    </row>
    <row r="30" spans="1:35" ht="14.4">
      <c r="A30" s="151" t="s">
        <v>2142</v>
      </c>
      <c r="B30" s="151"/>
      <c r="C30" s="151"/>
      <c r="D30" s="151"/>
      <c r="E30" s="2883" t="s">
        <v>3003</v>
      </c>
      <c r="F30" s="138"/>
      <c r="G30" s="138"/>
      <c r="H30" s="138"/>
      <c r="I30" s="138"/>
    </row>
    <row r="31" spans="1:35" s="2414" customFormat="1" ht="14.4" thickBot="1">
      <c r="A31" s="2413"/>
      <c r="B31" s="2413"/>
      <c r="C31" s="2413"/>
      <c r="D31" s="2413"/>
      <c r="E31" s="138"/>
      <c r="F31" s="138"/>
      <c r="G31" s="138"/>
      <c r="H31" s="138"/>
      <c r="I31" s="138"/>
      <c r="J31" s="790"/>
      <c r="K31" s="790"/>
      <c r="L31" s="790"/>
      <c r="M31" s="790"/>
      <c r="N31" s="790"/>
      <c r="O31" s="790"/>
      <c r="P31" s="790"/>
      <c r="Q31" s="790"/>
      <c r="R31" s="790"/>
      <c r="S31" s="790"/>
      <c r="T31" s="790"/>
      <c r="U31" s="790"/>
      <c r="V31" s="790"/>
      <c r="W31" s="790"/>
      <c r="X31" s="790"/>
      <c r="Y31" s="790"/>
      <c r="Z31" s="790"/>
      <c r="AA31" s="2391"/>
      <c r="AB31" s="2391"/>
      <c r="AC31" s="2391"/>
      <c r="AD31" s="2391"/>
      <c r="AE31" s="2391"/>
      <c r="AF31" s="2391"/>
      <c r="AG31" s="2391"/>
      <c r="AH31" s="2391"/>
      <c r="AI31" s="2391"/>
    </row>
    <row r="32" spans="1:35" ht="15" thickBot="1">
      <c r="A32" s="2415" t="s">
        <v>2143</v>
      </c>
      <c r="B32" s="2416"/>
      <c r="C32" s="153">
        <f ca="1">IF(D32="总价",G19-C24,G20-C25)</f>
        <v>53174</v>
      </c>
      <c r="D32" s="2417" t="s">
        <v>2144</v>
      </c>
      <c r="E32" s="138"/>
      <c r="F32" s="138"/>
      <c r="G32" s="138"/>
      <c r="H32" s="138"/>
      <c r="I32" s="138"/>
    </row>
    <row r="33" spans="1:15" ht="14.4">
      <c r="A33" s="946" t="s">
        <v>2145</v>
      </c>
      <c r="B33" s="2418"/>
      <c r="C33" s="2419" t="s">
        <v>3379</v>
      </c>
      <c r="D33" s="2420" t="s">
        <v>3038</v>
      </c>
      <c r="E33" s="2421" t="s">
        <v>2146</v>
      </c>
      <c r="F33" s="2422" t="str">
        <f>IF(D32="楼面单价","取值（单价）","取值（总价）")</f>
        <v>取值（总价）</v>
      </c>
      <c r="G33" s="138"/>
      <c r="H33" s="138"/>
      <c r="I33" s="138"/>
    </row>
    <row r="34" spans="1:15" ht="14.4">
      <c r="A34" s="2423"/>
      <c r="B34" s="2424" t="s">
        <v>2147</v>
      </c>
      <c r="C34" s="157">
        <f ca="1">IF(C33="自定义",F34,C32-C35)</f>
        <v>39242</v>
      </c>
      <c r="D34" s="1044">
        <f ca="1">IF(C33="自定义",ROUND(C34/C32,3),IF(C33="收益比率",SUMIF(INDIRECT("'"&amp;D33&amp;"'"&amp;"!b:b"),"土地收益比率",INDIRECT("'"&amp;D33&amp;"'"&amp;"!c:c")),SUMIF(INDIRECT("'"&amp;D33&amp;"'"&amp;"!b:b"),"土地成本比率",INDIRECT("'"&amp;D33&amp;"'"&amp;"!c:c"))))</f>
        <v>0.73799999999999999</v>
      </c>
      <c r="E34" s="2425" t="s">
        <v>2148</v>
      </c>
      <c r="F34" s="1715"/>
      <c r="G34" s="138"/>
      <c r="H34" s="138"/>
      <c r="I34" s="138"/>
    </row>
    <row r="35" spans="1:15" ht="15" thickBot="1">
      <c r="A35" s="2426"/>
      <c r="B35" s="2427" t="s">
        <v>2149</v>
      </c>
      <c r="C35" s="1421">
        <f ca="1">IF(C33="自定义",F35,ROUND(C32*D35,0))</f>
        <v>13932</v>
      </c>
      <c r="D35" s="1422">
        <f ca="1">IF(C33="自定义",ROUND(C35/C32,3),IF(C33="收益比率",SUMIF(INDIRECT("'"&amp;D33&amp;"'"&amp;"!b:b"),"建筑物收益比率",INDIRECT("'"&amp;D33&amp;"'"&amp;"!c:c")),SUMIF(INDIRECT("'"&amp;D33&amp;"'"&amp;"!b:b"),"建筑物成本比率",INDIRECT("'"&amp;D33&amp;"'"&amp;"!c:c"))))</f>
        <v>0.26200000000000001</v>
      </c>
      <c r="E35" s="2428" t="s">
        <v>2150</v>
      </c>
      <c r="F35" s="163"/>
      <c r="G35" s="138"/>
      <c r="H35" s="138"/>
      <c r="I35" s="138"/>
    </row>
    <row r="36" spans="1:15" ht="15" thickBot="1">
      <c r="A36" s="3571" t="s">
        <v>2151</v>
      </c>
      <c r="B36" s="2429" t="s">
        <v>2152</v>
      </c>
      <c r="C36" s="154"/>
      <c r="D36" s="2430"/>
      <c r="E36" s="2431"/>
      <c r="F36" s="2432"/>
      <c r="G36" s="138"/>
      <c r="H36" s="138"/>
      <c r="I36" s="138"/>
    </row>
    <row r="37" spans="1:15" ht="15" thickBot="1">
      <c r="A37" s="3572"/>
      <c r="B37" s="2238" t="s">
        <v>2153</v>
      </c>
      <c r="C37" s="156"/>
      <c r="D37" s="1372"/>
      <c r="E37" s="1372"/>
      <c r="F37" s="2432"/>
      <c r="G37" s="138"/>
      <c r="H37" s="138"/>
      <c r="I37" s="138"/>
    </row>
    <row r="38" spans="1:15" ht="15" thickBot="1">
      <c r="A38" s="3573"/>
      <c r="B38" s="2433" t="s">
        <v>2154</v>
      </c>
      <c r="C38" s="723"/>
      <c r="D38" s="2434" t="s">
        <v>2155</v>
      </c>
      <c r="E38" s="1372"/>
      <c r="F38" s="2432"/>
      <c r="G38" s="138"/>
      <c r="H38" s="138"/>
      <c r="I38" s="138"/>
    </row>
    <row r="39" spans="1:15" ht="14.4">
      <c r="A39" s="2405" t="s">
        <v>2156</v>
      </c>
      <c r="B39" s="2435" t="s">
        <v>2157</v>
      </c>
      <c r="C39" s="2436" t="s">
        <v>2158</v>
      </c>
      <c r="D39" s="2436" t="s">
        <v>2159</v>
      </c>
      <c r="E39" s="2437" t="s">
        <v>2160</v>
      </c>
      <c r="F39" s="2432"/>
      <c r="G39" s="138"/>
      <c r="H39" s="138"/>
      <c r="I39" s="138"/>
    </row>
    <row r="40" spans="1:15" ht="13.8">
      <c r="A40" s="2438" t="s">
        <v>2161</v>
      </c>
      <c r="B40" s="158"/>
      <c r="C40" s="159"/>
      <c r="D40" s="159"/>
      <c r="E40" s="160"/>
      <c r="F40" s="2432"/>
      <c r="G40" s="138"/>
      <c r="H40" s="138"/>
      <c r="I40" s="138"/>
    </row>
    <row r="41" spans="1:15" ht="13.8">
      <c r="A41" s="2438" t="s">
        <v>2162</v>
      </c>
      <c r="B41" s="158"/>
      <c r="C41" s="159"/>
      <c r="D41" s="159"/>
      <c r="E41" s="160"/>
      <c r="F41" s="2432"/>
      <c r="G41" s="138"/>
      <c r="H41" s="138"/>
      <c r="I41" s="138"/>
    </row>
    <row r="42" spans="1:15" ht="14.4" thickBot="1">
      <c r="A42" s="2439"/>
      <c r="B42" s="161"/>
      <c r="C42" s="162"/>
      <c r="D42" s="162"/>
      <c r="E42" s="163"/>
      <c r="F42" s="2432"/>
      <c r="G42" s="138"/>
      <c r="H42" s="138"/>
      <c r="I42" s="138"/>
    </row>
    <row r="43" spans="1:15" ht="13.2">
      <c r="A43" s="2137"/>
      <c r="B43" s="2137"/>
      <c r="C43" s="2137"/>
      <c r="D43" s="2137"/>
      <c r="E43" s="2137"/>
      <c r="F43" s="2440"/>
      <c r="G43" s="2440"/>
      <c r="H43" s="2440"/>
      <c r="I43" s="2441"/>
    </row>
    <row r="44" spans="1:15" ht="17.399999999999999">
      <c r="A44" s="2442" t="s">
        <v>2163</v>
      </c>
      <c r="B44" s="2443"/>
      <c r="C44" s="2443"/>
      <c r="D44" s="2444"/>
      <c r="E44" s="2444"/>
      <c r="F44" s="2445"/>
      <c r="G44" s="2445"/>
      <c r="H44" s="2445"/>
      <c r="I44" s="2445"/>
      <c r="J44" s="2446" t="s">
        <v>2164</v>
      </c>
      <c r="K44" s="2447"/>
      <c r="L44" s="2447"/>
      <c r="M44" s="2447"/>
      <c r="N44" s="2447"/>
      <c r="O44" s="2447"/>
    </row>
    <row r="45" spans="1:15" ht="14.25" hidden="1" customHeight="1" thickBot="1">
      <c r="A45" s="3550" t="s">
        <v>2165</v>
      </c>
      <c r="B45" s="3551"/>
      <c r="C45" s="3552"/>
      <c r="D45" s="164">
        <f>系统读取表!B6</f>
        <v>0</v>
      </c>
      <c r="E45" s="165" t="s">
        <v>2166</v>
      </c>
      <c r="F45" s="166">
        <v>1</v>
      </c>
      <c r="G45" s="167" t="s">
        <v>2167</v>
      </c>
      <c r="H45" s="138"/>
      <c r="I45" s="138"/>
      <c r="J45" s="3610" t="s">
        <v>2168</v>
      </c>
      <c r="K45" s="3610"/>
      <c r="L45" s="3610"/>
      <c r="M45" s="3610"/>
      <c r="N45" s="3610"/>
      <c r="O45" s="3610"/>
    </row>
    <row r="46" spans="1:15" ht="14.25" hidden="1" customHeight="1">
      <c r="A46" s="3547" t="s">
        <v>2169</v>
      </c>
      <c r="B46" s="3548"/>
      <c r="C46" s="3548"/>
      <c r="D46" s="3548"/>
      <c r="E46" s="3548"/>
      <c r="F46" s="3548"/>
      <c r="G46" s="3549"/>
      <c r="H46" s="2448"/>
      <c r="I46" s="168"/>
      <c r="J46" s="1787">
        <v>1</v>
      </c>
      <c r="K46" s="3610" t="s">
        <v>2170</v>
      </c>
      <c r="L46" s="3610"/>
      <c r="M46" s="3630"/>
      <c r="N46" s="3630"/>
      <c r="O46" s="3630"/>
    </row>
    <row r="47" spans="1:15" ht="12" hidden="1" customHeight="1">
      <c r="A47" s="169" t="s">
        <v>2171</v>
      </c>
      <c r="B47" s="170"/>
      <c r="C47" s="171"/>
      <c r="D47" s="172" t="s">
        <v>2172</v>
      </c>
      <c r="E47" s="24" t="s">
        <v>2173</v>
      </c>
      <c r="F47" s="173" t="s">
        <v>2174</v>
      </c>
      <c r="G47" s="174" t="s">
        <v>2175</v>
      </c>
      <c r="H47" s="2448"/>
      <c r="I47" s="168"/>
      <c r="J47" s="1787">
        <v>2</v>
      </c>
      <c r="K47" s="3610" t="s">
        <v>2176</v>
      </c>
      <c r="L47" s="3610"/>
      <c r="M47" s="3631">
        <f>'数据-取费表'!B2</f>
        <v>43903</v>
      </c>
      <c r="N47" s="3631"/>
      <c r="O47" s="3631"/>
    </row>
    <row r="48" spans="1:15" ht="26.4" hidden="1">
      <c r="A48" s="3578" t="s">
        <v>2177</v>
      </c>
      <c r="B48" s="3561"/>
      <c r="C48" s="3561"/>
      <c r="D48" s="140">
        <f>IF(H48="情况1",0,IF(H48="情况2",D52,IF(H48="情况3",D53,IF(H48="情况4",D54))))</f>
        <v>0</v>
      </c>
      <c r="E48" s="1776" t="str">
        <f>IF(H48="情况4","(销售额-原购置价)×税（费）率","销售额×税（费）率")</f>
        <v>销售额×税（费）率</v>
      </c>
      <c r="F48" s="175">
        <f>IF(H48="情况1","免征",'数据-取费表'!B41)</f>
        <v>5.6000000000000001E-2</v>
      </c>
      <c r="G48" s="2449" t="s">
        <v>2178</v>
      </c>
      <c r="H48" s="2450" t="s">
        <v>3380</v>
      </c>
      <c r="I48" s="2448"/>
      <c r="J48" s="1787">
        <v>3</v>
      </c>
      <c r="K48" s="3610" t="s">
        <v>2180</v>
      </c>
      <c r="L48" s="3610"/>
      <c r="M48" s="3632">
        <f>系统读取表!B6</f>
        <v>0</v>
      </c>
      <c r="N48" s="3632"/>
      <c r="O48" s="3632"/>
    </row>
    <row r="49" spans="1:35" ht="25.5" hidden="1" customHeight="1">
      <c r="A49" s="176" t="s">
        <v>2181</v>
      </c>
      <c r="B49" s="3546" t="s">
        <v>2182</v>
      </c>
      <c r="C49" s="3546"/>
      <c r="D49" s="177">
        <v>0</v>
      </c>
      <c r="E49" s="23" t="s">
        <v>2183</v>
      </c>
      <c r="F49" s="28" t="s">
        <v>34</v>
      </c>
      <c r="G49" s="3616"/>
      <c r="H49" s="138"/>
      <c r="I49" s="2451"/>
      <c r="J49" s="1787">
        <v>4</v>
      </c>
      <c r="K49" s="3610" t="str">
        <f>IF(项目基本情况!E8="房地产抵押价值","房地产抵押价值","抵押担保权已注销时的房地产抵押价值")</f>
        <v>抵押担保权已注销时的房地产抵押价值</v>
      </c>
      <c r="L49" s="3610"/>
      <c r="M49" s="3632">
        <f>M48</f>
        <v>0</v>
      </c>
      <c r="N49" s="3632"/>
      <c r="O49" s="3632"/>
    </row>
    <row r="50" spans="1:35" ht="25.5" hidden="1" customHeight="1">
      <c r="A50" s="178"/>
      <c r="B50" s="3546" t="s">
        <v>2184</v>
      </c>
      <c r="C50" s="3546"/>
      <c r="D50" s="179"/>
      <c r="E50" s="31"/>
      <c r="F50" s="180"/>
      <c r="G50" s="3617"/>
      <c r="H50" s="138"/>
      <c r="I50" s="2451"/>
      <c r="J50" s="3610" t="s">
        <v>2185</v>
      </c>
      <c r="K50" s="3610"/>
      <c r="L50" s="3610"/>
      <c r="M50" s="3610"/>
      <c r="N50" s="3610"/>
      <c r="O50" s="3610"/>
    </row>
    <row r="51" spans="1:35" ht="12" hidden="1" customHeight="1">
      <c r="A51" s="181"/>
      <c r="B51" s="3546" t="s">
        <v>2186</v>
      </c>
      <c r="C51" s="3546"/>
      <c r="D51" s="182"/>
      <c r="E51" s="30"/>
      <c r="F51" s="180"/>
      <c r="G51" s="3618"/>
      <c r="H51" s="138"/>
      <c r="I51" s="2451"/>
      <c r="J51" s="2452" t="s">
        <v>2187</v>
      </c>
      <c r="K51" s="3610" t="s">
        <v>2188</v>
      </c>
      <c r="L51" s="3610"/>
      <c r="M51" s="2452" t="s">
        <v>2189</v>
      </c>
      <c r="N51" s="2452" t="s">
        <v>2190</v>
      </c>
      <c r="O51" s="2452" t="s">
        <v>2191</v>
      </c>
    </row>
    <row r="52" spans="1:35" ht="24" hidden="1" customHeight="1">
      <c r="A52" s="183" t="s">
        <v>2192</v>
      </c>
      <c r="B52" s="3546" t="s">
        <v>2193</v>
      </c>
      <c r="C52" s="3546"/>
      <c r="D52" s="182">
        <f>ROUND(D45*'数据-取费表'!B41/(1+'数据-取费表'!C42),0)</f>
        <v>0</v>
      </c>
      <c r="E52" s="11" t="s">
        <v>2194</v>
      </c>
      <c r="F52" s="184">
        <f>'数据-取费表'!B41</f>
        <v>5.6000000000000001E-2</v>
      </c>
      <c r="G52" s="2453"/>
      <c r="H52" s="138"/>
      <c r="I52" s="2451"/>
      <c r="J52" s="1787">
        <v>1</v>
      </c>
      <c r="K52" s="3611" t="s">
        <v>2195</v>
      </c>
      <c r="L52" s="3611"/>
      <c r="M52" s="1730">
        <f>D48</f>
        <v>0</v>
      </c>
      <c r="N52" s="1787" t="str">
        <f>E48</f>
        <v>销售额×税（费）率</v>
      </c>
      <c r="O52" s="1731">
        <f>F48</f>
        <v>5.6000000000000001E-2</v>
      </c>
    </row>
    <row r="53" spans="1:35" ht="12" hidden="1" customHeight="1">
      <c r="A53" s="183" t="s">
        <v>2196</v>
      </c>
      <c r="B53" s="3569" t="s">
        <v>2197</v>
      </c>
      <c r="C53" s="3570"/>
      <c r="D53" s="182">
        <f>ROUND(D45*'数据-取费表'!B41/(1+'数据-取费表'!C42),0)</f>
        <v>0</v>
      </c>
      <c r="E53" s="11" t="s">
        <v>2194</v>
      </c>
      <c r="F53" s="184">
        <f>'数据-取费表'!B41</f>
        <v>5.6000000000000001E-2</v>
      </c>
      <c r="G53" s="2453"/>
      <c r="H53" s="138"/>
      <c r="I53" s="2451"/>
      <c r="J53" s="1787">
        <v>2</v>
      </c>
      <c r="K53" s="3611" t="s">
        <v>2198</v>
      </c>
      <c r="L53" s="3611"/>
      <c r="M53" s="1730">
        <f t="shared" ref="M53:O54" si="0">D55</f>
        <v>0</v>
      </c>
      <c r="N53" s="1787" t="str">
        <f t="shared" si="0"/>
        <v>销售额×税（费）率</v>
      </c>
      <c r="O53" s="1731">
        <f t="shared" si="0"/>
        <v>5.0000000000000001E-4</v>
      </c>
    </row>
    <row r="54" spans="1:35" ht="12" hidden="1" customHeight="1">
      <c r="A54" s="183" t="s">
        <v>2199</v>
      </c>
      <c r="B54" s="3569" t="s">
        <v>2200</v>
      </c>
      <c r="C54" s="3570"/>
      <c r="D54" s="182">
        <f>C68</f>
        <v>0</v>
      </c>
      <c r="E54" s="30" t="s">
        <v>2201</v>
      </c>
      <c r="F54" s="184">
        <f>'数据-取费表'!B41</f>
        <v>5.6000000000000001E-2</v>
      </c>
      <c r="G54" s="2453"/>
      <c r="H54" s="2454"/>
      <c r="I54" s="2451"/>
      <c r="J54" s="1787">
        <v>3</v>
      </c>
      <c r="K54" s="3611" t="s">
        <v>2202</v>
      </c>
      <c r="L54" s="3611"/>
      <c r="M54" s="1730">
        <f t="shared" si="0"/>
        <v>0</v>
      </c>
      <c r="N54" s="1787" t="str">
        <f t="shared" si="0"/>
        <v>增值额×税（费）率</v>
      </c>
      <c r="O54" s="1732" t="str">
        <f t="shared" si="0"/>
        <v>——</v>
      </c>
    </row>
    <row r="55" spans="1:35" ht="24" hidden="1" customHeight="1">
      <c r="A55" s="3560" t="s">
        <v>2203</v>
      </c>
      <c r="B55" s="3561"/>
      <c r="C55" s="3561"/>
      <c r="D55" s="185">
        <f>IF(H55="个人住宅",0,ROUND(D45*I55,0))</f>
        <v>0</v>
      </c>
      <c r="E55" s="11" t="s">
        <v>2204</v>
      </c>
      <c r="F55" s="184">
        <f>IF(H55="正常",I55,"免征")</f>
        <v>5.0000000000000001E-4</v>
      </c>
      <c r="G55" s="2453"/>
      <c r="H55" s="2450" t="s">
        <v>2205</v>
      </c>
      <c r="I55" s="186">
        <f>'数据-取费表'!B49</f>
        <v>5.0000000000000001E-4</v>
      </c>
      <c r="J55" s="1787" t="str">
        <f>IF(H59="非个人房产","",4)</f>
        <v/>
      </c>
      <c r="K55" s="3611" t="str">
        <f>IF(H59="非个人房产","——","个人所得税")</f>
        <v>——</v>
      </c>
      <c r="L55" s="3611"/>
      <c r="M55" s="1733" t="str">
        <f>D59</f>
        <v>——</v>
      </c>
      <c r="N55" s="1785" t="str">
        <f>E59</f>
        <v>——</v>
      </c>
      <c r="O55" s="1734" t="str">
        <f>F59</f>
        <v>——</v>
      </c>
    </row>
    <row r="56" spans="1:35" ht="25.2" hidden="1">
      <c r="A56" s="3560" t="s">
        <v>2206</v>
      </c>
      <c r="B56" s="3561"/>
      <c r="C56" s="3561"/>
      <c r="D56" s="185">
        <f>IF(H56="个人住宅",D57,D58)</f>
        <v>0</v>
      </c>
      <c r="E56" s="11" t="s">
        <v>2207</v>
      </c>
      <c r="F56" s="184" t="str">
        <f>IF(H56="正常",F58,"免征")</f>
        <v>——</v>
      </c>
      <c r="G56" s="2455" t="s">
        <v>2208</v>
      </c>
      <c r="H56" s="2456" t="s">
        <v>2205</v>
      </c>
      <c r="I56" s="2457"/>
      <c r="J56" s="1787" t="str">
        <f>IF(项目基本情况!K6="上海银行",IF(J55="",4,J55+1),"")</f>
        <v/>
      </c>
      <c r="K56" s="3634" t="str">
        <f>IF(项目基本情况!K6="上海银行","其他处置费用","")</f>
        <v/>
      </c>
      <c r="L56" s="3635"/>
      <c r="M56" s="1730" t="str">
        <f>IF(项目基本情况!K6="上海银行",M69,"")</f>
        <v/>
      </c>
      <c r="N56" s="3637" t="str">
        <f>IF(项目基本情况!K6="上海银行","包含处置中涉及的律师、诉讼、拍卖、评估等费用","")</f>
        <v/>
      </c>
      <c r="O56" s="3638"/>
    </row>
    <row r="57" spans="1:35" ht="13.2" hidden="1">
      <c r="A57" s="183" t="s">
        <v>2181</v>
      </c>
      <c r="B57" s="3576" t="s">
        <v>2209</v>
      </c>
      <c r="C57" s="3585"/>
      <c r="D57" s="187">
        <v>0</v>
      </c>
      <c r="E57" s="23" t="s">
        <v>2183</v>
      </c>
      <c r="F57" s="155"/>
      <c r="G57" s="2453"/>
      <c r="H57" s="2457"/>
      <c r="I57" s="2457"/>
      <c r="J57" s="3611">
        <f>IF(AND(J55="",J56=""),4,IF(项目基本情况!K6="上海银行",结果表商!J56+1,结果表商!J55+1))</f>
        <v>4</v>
      </c>
      <c r="K57" s="3611" t="s">
        <v>2210</v>
      </c>
      <c r="L57" s="2458" t="s">
        <v>2211</v>
      </c>
      <c r="M57" s="1735"/>
      <c r="N57" s="1736">
        <f>SUMIF(M52:M56,"&lt;9e307")</f>
        <v>0</v>
      </c>
      <c r="O57" s="2459"/>
      <c r="P57" s="1729" t="e">
        <f>N57/M49</f>
        <v>#DIV/0!</v>
      </c>
    </row>
    <row r="58" spans="1:35" ht="25.2" hidden="1">
      <c r="A58" s="183" t="s">
        <v>2192</v>
      </c>
      <c r="B58" s="3576" t="s">
        <v>2212</v>
      </c>
      <c r="C58" s="3577"/>
      <c r="D58" s="185">
        <f>IF(H58="转让取得",C81,C97)</f>
        <v>0</v>
      </c>
      <c r="E58" s="11" t="s">
        <v>2207</v>
      </c>
      <c r="F58" s="24" t="s">
        <v>34</v>
      </c>
      <c r="G58" s="2453"/>
      <c r="H58" s="2456" t="s">
        <v>2213</v>
      </c>
      <c r="I58" s="2457"/>
      <c r="J58" s="3611"/>
      <c r="K58" s="3611"/>
      <c r="L58" s="2458" t="s">
        <v>2214</v>
      </c>
      <c r="M58" s="1737"/>
      <c r="N58" s="2460" t="str">
        <f>NUMBERSTRING(INT(N57*10000),2)&amp;"元整"</f>
        <v>零元整</v>
      </c>
      <c r="O58" s="2461"/>
    </row>
    <row r="59" spans="1:35" ht="24.6" hidden="1" thickBot="1">
      <c r="A59" s="3614" t="s">
        <v>2215</v>
      </c>
      <c r="B59" s="3615"/>
      <c r="C59" s="3615"/>
      <c r="D59" s="188" t="str">
        <f>IF(H59="非个人房产","——",IF(H59="个人住宅",0,ROUND(D45*I59,0)))</f>
        <v>——</v>
      </c>
      <c r="E59" s="189" t="str">
        <f>IF(H59="非个人房产","——","销售额×税（费）率")</f>
        <v>——</v>
      </c>
      <c r="F59" s="190" t="str">
        <f>IF(H59="非个人房产","——",IF(H59="个人住宅","免征",I59))</f>
        <v>——</v>
      </c>
      <c r="G59" s="2462" t="s">
        <v>2208</v>
      </c>
      <c r="H59" s="2456" t="s">
        <v>2216</v>
      </c>
      <c r="I59" s="191">
        <v>0.01</v>
      </c>
      <c r="J59" s="3612">
        <f>J57+1</f>
        <v>5</v>
      </c>
      <c r="K59" s="3611" t="s">
        <v>2217</v>
      </c>
      <c r="L59" s="1787" t="s">
        <v>2211</v>
      </c>
      <c r="M59" s="1738"/>
      <c r="N59" s="1739">
        <f>M49-N57</f>
        <v>0</v>
      </c>
      <c r="O59" s="2463"/>
    </row>
    <row r="60" spans="1:35" ht="12" hidden="1" customHeight="1">
      <c r="A60" s="2464"/>
      <c r="B60" s="2386"/>
      <c r="C60" s="2386"/>
      <c r="D60" s="2386"/>
      <c r="E60" s="2138"/>
      <c r="F60" s="2457"/>
      <c r="G60" s="2457"/>
      <c r="H60" s="2465"/>
      <c r="I60" s="138"/>
      <c r="J60" s="3613"/>
      <c r="K60" s="3611"/>
      <c r="L60" s="2458" t="s">
        <v>2214</v>
      </c>
      <c r="M60" s="1737"/>
      <c r="N60" s="2460" t="str">
        <f>NUMBERSTRING(INT(N59*10000),2)&amp;"元整"</f>
        <v>零元整</v>
      </c>
      <c r="O60" s="2461"/>
    </row>
    <row r="61" spans="1:35" ht="13.8" hidden="1" thickBot="1">
      <c r="A61" s="3558" t="s">
        <v>2218</v>
      </c>
      <c r="B61" s="3558"/>
      <c r="C61" s="3558"/>
      <c r="D61" s="3558"/>
      <c r="E61" s="3558"/>
      <c r="F61" s="2457"/>
      <c r="G61" s="2457"/>
      <c r="H61" s="2465"/>
      <c r="I61" s="138"/>
      <c r="J61" s="1787">
        <f>J59+1</f>
        <v>6</v>
      </c>
      <c r="K61" s="3611" t="s">
        <v>2219</v>
      </c>
      <c r="L61" s="3611"/>
      <c r="M61" s="1740"/>
      <c r="N61" s="1741">
        <f>ROUND(N59*10000/'数据-汇总表'!E3,0)</f>
        <v>0</v>
      </c>
      <c r="O61" s="2466"/>
    </row>
    <row r="62" spans="1:35" ht="13.2" hidden="1">
      <c r="A62" s="3574" t="s">
        <v>2220</v>
      </c>
      <c r="B62" s="3575"/>
      <c r="C62" s="1779"/>
      <c r="D62" s="1779" t="s">
        <v>2221</v>
      </c>
      <c r="E62" s="192" t="s">
        <v>2222</v>
      </c>
      <c r="F62" s="2457"/>
      <c r="G62" s="2457"/>
      <c r="H62" s="2465"/>
      <c r="I62" s="138"/>
    </row>
    <row r="63" spans="1:35" ht="13.2" hidden="1">
      <c r="A63" s="203" t="s">
        <v>775</v>
      </c>
      <c r="B63" s="193" t="s">
        <v>2223</v>
      </c>
      <c r="C63" s="194">
        <f>ROUND((C64+C65)/(1+'数据-取费表'!C42),0)</f>
        <v>0</v>
      </c>
      <c r="D63" s="195"/>
      <c r="E63" s="196"/>
      <c r="F63" s="2457"/>
      <c r="G63" s="2457"/>
      <c r="H63" s="2465"/>
      <c r="I63" s="138"/>
      <c r="J63" s="3636" t="s">
        <v>2224</v>
      </c>
      <c r="K63" s="2467" t="s">
        <v>2225</v>
      </c>
      <c r="L63" s="1728">
        <f>IF(M49&gt;10000,M49*0.5%,IF(AND(M49&gt;1000,M49&lt;=10000),M49*1%,IF(AND(M49&gt;100,M49&lt;=1000),M49*3%,IF(AND(M49&gt;10,M49&lt;=100),M49*5%,M49*8%))))</f>
        <v>0</v>
      </c>
      <c r="M63" s="24">
        <f>ROUND(L63,1)</f>
        <v>0</v>
      </c>
      <c r="Z63" s="2391"/>
      <c r="AI63" s="2392"/>
    </row>
    <row r="64" spans="1:35" ht="14.25" hidden="1" customHeight="1">
      <c r="A64" s="197" t="s">
        <v>770</v>
      </c>
      <c r="B64" s="198" t="s">
        <v>2226</v>
      </c>
      <c r="C64" s="199">
        <f>D45</f>
        <v>0</v>
      </c>
      <c r="D64" s="200" t="s">
        <v>32</v>
      </c>
      <c r="E64" s="201"/>
      <c r="F64" s="2457"/>
      <c r="G64" s="2457"/>
      <c r="H64" s="2465"/>
      <c r="I64" s="138"/>
      <c r="J64" s="3636"/>
      <c r="K64" s="2467" t="s">
        <v>2227</v>
      </c>
      <c r="L64" s="1728" t="b">
        <f>IF(M49&gt;2000,M49*0.5%,IF(AND(M49&gt;1000,M49&lt;=2000),M49*0.6%,IF(AND(M49&gt;500,M49&lt;=1000),M49*0.7%,IF(AND(M49&gt;200,M49&lt;=500),M49*0.8%,IF(AND(M49&gt;100,M49&lt;=200),M49*0.9%,IF(AND(M49&gt;50,M49&lt;=100),M49*1%,IF(AND(M49&gt;20,M49&lt;=50),M49*1.5%,IF(AND(M49&gt;10,M49&lt;=20),M49*2%,IF(AND(M49&gt;1,M49&lt;=10),M49*2.5%)))))))))</f>
        <v>0</v>
      </c>
      <c r="M64" s="24">
        <f t="shared" ref="M64:M65" si="1">ROUND(L64,1)</f>
        <v>0</v>
      </c>
      <c r="N64" s="138" t="s">
        <v>2228</v>
      </c>
      <c r="Z64" s="2391"/>
      <c r="AI64" s="2392"/>
    </row>
    <row r="65" spans="1:35" ht="14.25" hidden="1" customHeight="1">
      <c r="A65" s="197" t="s">
        <v>771</v>
      </c>
      <c r="B65" s="198" t="s">
        <v>2229</v>
      </c>
      <c r="C65" s="202"/>
      <c r="D65" s="200"/>
      <c r="E65" s="201"/>
      <c r="F65" s="2457"/>
      <c r="G65" s="2457"/>
      <c r="H65" s="2465"/>
      <c r="I65" s="138"/>
      <c r="J65" s="3636"/>
      <c r="K65" s="2467" t="s">
        <v>2230</v>
      </c>
      <c r="L65" s="1728" t="b">
        <f>IF(M49&gt;1000,M49*0.1%,IF(AND(M49&gt;500,M49&lt;=1000),M49*0.5%,IF(AND(M49&gt;50,M49&lt;=500),M49*1%,IF(AND(M49&gt;1,M49&lt;=50),M49*1.5%))))</f>
        <v>0</v>
      </c>
      <c r="M65" s="24">
        <f t="shared" si="1"/>
        <v>0</v>
      </c>
      <c r="N65" s="138" t="s">
        <v>2228</v>
      </c>
      <c r="Z65" s="2391"/>
      <c r="AI65" s="2392"/>
    </row>
    <row r="66" spans="1:35" ht="14.25" hidden="1" customHeight="1">
      <c r="A66" s="203" t="s">
        <v>772</v>
      </c>
      <c r="B66" s="204" t="s">
        <v>2231</v>
      </c>
      <c r="C66" s="205"/>
      <c r="D66" s="206" t="s">
        <v>32</v>
      </c>
      <c r="E66" s="1751" t="s">
        <v>1356</v>
      </c>
      <c r="F66" s="2457"/>
      <c r="G66" s="2457"/>
      <c r="H66" s="2465"/>
      <c r="I66" s="138"/>
      <c r="J66" s="3636"/>
      <c r="K66" s="2467" t="s">
        <v>2232</v>
      </c>
      <c r="L66" s="1728">
        <f>M49*0.5%</f>
        <v>0</v>
      </c>
      <c r="M66" s="24">
        <f>IF(L66&gt;0.5,0.5,ROUND(L66,0))</f>
        <v>0</v>
      </c>
      <c r="N66" s="138" t="s">
        <v>2233</v>
      </c>
      <c r="Z66" s="2391"/>
      <c r="AI66" s="2392"/>
    </row>
    <row r="67" spans="1:35" ht="14.25" hidden="1" customHeight="1">
      <c r="A67" s="203" t="s">
        <v>773</v>
      </c>
      <c r="B67" s="204" t="s">
        <v>2234</v>
      </c>
      <c r="C67" s="207">
        <f>C63-C66</f>
        <v>0</v>
      </c>
      <c r="D67" s="200" t="s">
        <v>32</v>
      </c>
      <c r="E67" s="201"/>
      <c r="F67" s="2457"/>
      <c r="G67" s="2457"/>
      <c r="H67" s="2465"/>
      <c r="I67" s="138"/>
      <c r="J67" s="3636"/>
      <c r="K67" s="2467" t="s">
        <v>2235</v>
      </c>
      <c r="L67" s="1728" t="b">
        <f>IF(M49&gt;=10000,(8.25+(M49-10000)*0.01%),IF(AND(M49&gt;=8000,M49&lt;10000),(7.85+(M49-8000)*0.02%),IF(AND(M49&gt;=5000,M49&lt;8000),(6.65+(M49-5000)*0.04%),IF(AND(M49&gt;=2000,M49&lt;5000),(4.25+(PM49-2000)*0.08%),IF(AND(M49&gt;=1000,M49&lt;2000),(2.75+(M49-1000)*0.15%),IF(AND(M49&gt;=100,M49&lt;1000),(0.5+(M49-100)*0.25%),IF(AND(M49&gt;0,M49&lt;100),M49*0.5%)))))))</f>
        <v>0</v>
      </c>
      <c r="M67" s="24">
        <f>ROUND(L67*0.9,1)</f>
        <v>0</v>
      </c>
      <c r="Z67" s="2391"/>
      <c r="AI67" s="2392"/>
    </row>
    <row r="68" spans="1:35" ht="14.25" hidden="1" customHeight="1" thickBot="1">
      <c r="A68" s="208" t="s">
        <v>774</v>
      </c>
      <c r="B68" s="209" t="s">
        <v>2236</v>
      </c>
      <c r="C68" s="210">
        <f>IF(C67&lt;=0,0,ROUND(C67*D68,0))</f>
        <v>0</v>
      </c>
      <c r="D68" s="211">
        <f>'数据-取费表'!B41</f>
        <v>5.6000000000000001E-2</v>
      </c>
      <c r="E68" s="212"/>
      <c r="F68" s="2457"/>
      <c r="G68" s="2457"/>
      <c r="H68" s="2465"/>
      <c r="I68" s="138"/>
      <c r="J68" s="3636"/>
      <c r="K68" s="2467" t="s">
        <v>2237</v>
      </c>
      <c r="L68" s="1728">
        <f>IF(M49&gt;10000,M49*0.5%,IF(AND(M49&gt;5000,M49&lt;=10000),M49*1%,IF(AND(M49&gt;1000,M49&lt;=5000),M49*2%,IF(AND(M49&gt;200,M49&lt;=1000),M49*3%,M49*5%))))</f>
        <v>0</v>
      </c>
      <c r="M68" s="24">
        <f>ROUND(L68,1)</f>
        <v>0</v>
      </c>
      <c r="Z68" s="2391"/>
      <c r="AI68" s="2392"/>
    </row>
    <row r="69" spans="1:35" s="2414" customFormat="1" ht="16.5" hidden="1" customHeight="1">
      <c r="A69" s="2468"/>
      <c r="B69" s="2469"/>
      <c r="C69" s="2470"/>
      <c r="D69" s="2471"/>
      <c r="E69" s="2472"/>
      <c r="F69" s="2138"/>
      <c r="G69" s="2138"/>
      <c r="H69" s="2137"/>
      <c r="I69" s="2386"/>
      <c r="J69" s="3636"/>
      <c r="K69" s="2467" t="s">
        <v>2238</v>
      </c>
      <c r="L69" s="2473"/>
      <c r="M69" s="24">
        <f>ROUND(SUM(M63:M68),0)</f>
        <v>0</v>
      </c>
      <c r="N69" s="1729" t="e">
        <f>M69/M49</f>
        <v>#DIV/0!</v>
      </c>
      <c r="O69" s="790"/>
      <c r="P69" s="790"/>
      <c r="Q69" s="790"/>
      <c r="R69" s="790"/>
      <c r="S69" s="790"/>
      <c r="T69" s="790"/>
      <c r="U69" s="790"/>
      <c r="V69" s="790"/>
      <c r="W69" s="790"/>
      <c r="X69" s="790"/>
      <c r="Y69" s="790"/>
      <c r="Z69" s="2391"/>
      <c r="AA69" s="2391"/>
      <c r="AB69" s="2391"/>
      <c r="AC69" s="2391"/>
      <c r="AD69" s="2391"/>
      <c r="AE69" s="2391"/>
      <c r="AF69" s="2391"/>
      <c r="AG69" s="2391"/>
      <c r="AH69" s="2391"/>
    </row>
    <row r="70" spans="1:35" s="2475" customFormat="1" ht="14.4" hidden="1" thickBot="1">
      <c r="A70" s="3595" t="s">
        <v>2239</v>
      </c>
      <c r="B70" s="3596"/>
      <c r="C70" s="3596"/>
      <c r="D70" s="3596"/>
      <c r="E70" s="3596"/>
      <c r="F70" s="3596"/>
      <c r="G70" s="3596"/>
      <c r="H70" s="3596"/>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hidden="1">
      <c r="A71" s="3574" t="s">
        <v>2220</v>
      </c>
      <c r="B71" s="3575"/>
      <c r="C71" s="1779"/>
      <c r="D71" s="1779" t="s">
        <v>2221</v>
      </c>
      <c r="E71" s="213" t="s">
        <v>2222</v>
      </c>
      <c r="F71" s="214"/>
      <c r="G71" s="214"/>
      <c r="H71" s="215"/>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hidden="1">
      <c r="A72" s="203" t="s">
        <v>775</v>
      </c>
      <c r="B72" s="204" t="s">
        <v>2240</v>
      </c>
      <c r="C72" s="207">
        <f>ROUND(D45/(1+'数据-取费表'!C42),0)</f>
        <v>0</v>
      </c>
      <c r="D72" s="200" t="s">
        <v>32</v>
      </c>
      <c r="E72" s="1778"/>
      <c r="F72" s="1772"/>
      <c r="G72" s="1772"/>
      <c r="H72" s="216"/>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hidden="1">
      <c r="A73" s="203" t="s">
        <v>772</v>
      </c>
      <c r="B73" s="173" t="s">
        <v>2241</v>
      </c>
      <c r="C73" s="207">
        <f>C74+C78</f>
        <v>0</v>
      </c>
      <c r="D73" s="200" t="s">
        <v>32</v>
      </c>
      <c r="E73" s="1778"/>
      <c r="F73" s="1772"/>
      <c r="G73" s="1772"/>
      <c r="H73" s="216"/>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hidden="1">
      <c r="A74" s="217" t="s">
        <v>770</v>
      </c>
      <c r="B74" s="198" t="s">
        <v>2242</v>
      </c>
      <c r="C74" s="200">
        <f>ROUND(IF(G77="2016年5月1日后购买",C75/(1+'数据-取费表'!C42)+C76+C77,C75+C76+C77),0)</f>
        <v>0</v>
      </c>
      <c r="D74" s="200" t="s">
        <v>32</v>
      </c>
      <c r="E74" s="1778"/>
      <c r="F74" s="1772"/>
      <c r="G74" s="1772"/>
      <c r="H74" s="216"/>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hidden="1">
      <c r="A75" s="217" t="s">
        <v>776</v>
      </c>
      <c r="B75" s="198" t="s">
        <v>2243</v>
      </c>
      <c r="C75" s="218"/>
      <c r="D75" s="200" t="s">
        <v>32</v>
      </c>
      <c r="E75" s="219" t="s">
        <v>2244</v>
      </c>
      <c r="F75" s="2479" t="s">
        <v>2245</v>
      </c>
      <c r="G75" s="219" t="s">
        <v>2246</v>
      </c>
      <c r="H75" s="220"/>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hidden="1" customHeight="1">
      <c r="A76" s="217" t="s">
        <v>777</v>
      </c>
      <c r="B76" s="221" t="s">
        <v>2247</v>
      </c>
      <c r="C76" s="200">
        <f>IF(F75="购房发票",ROUND(C75*H75*D76,0),0)</f>
        <v>0</v>
      </c>
      <c r="D76" s="222">
        <v>0.05</v>
      </c>
      <c r="E76" s="3569" t="s">
        <v>2248</v>
      </c>
      <c r="F76" s="3546"/>
      <c r="G76" s="3546"/>
      <c r="H76" s="3594"/>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hidden="1"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481" t="s">
        <v>2251</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hidden="1" customHeight="1">
      <c r="A78" s="217" t="s">
        <v>771</v>
      </c>
      <c r="B78" s="198" t="s">
        <v>2252</v>
      </c>
      <c r="C78" s="225">
        <f>ROUND(D45*D78/(1+'数据-取费表'!C42),0)</f>
        <v>0</v>
      </c>
      <c r="D78" s="226">
        <f>'数据-取费表'!B43</f>
        <v>6.000000000000001E-3</v>
      </c>
      <c r="E78" s="3555" t="s">
        <v>2253</v>
      </c>
      <c r="F78" s="3556"/>
      <c r="G78" s="3556"/>
      <c r="H78" s="3565"/>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hidden="1">
      <c r="A79" s="2483" t="s">
        <v>779</v>
      </c>
      <c r="B79" s="204" t="s">
        <v>2254</v>
      </c>
      <c r="C79" s="207">
        <f>C72-C73</f>
        <v>0</v>
      </c>
      <c r="D79" s="200" t="s">
        <v>32</v>
      </c>
      <c r="E79" s="1778"/>
      <c r="F79" s="1772"/>
      <c r="G79" s="1772"/>
      <c r="H79" s="216"/>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hidden="1">
      <c r="A80" s="2483" t="s">
        <v>780</v>
      </c>
      <c r="B80" s="204" t="s">
        <v>2255</v>
      </c>
      <c r="C80" s="227">
        <f>IF(C79&lt;=0,0,C79/C73)</f>
        <v>0</v>
      </c>
      <c r="D80" s="200" t="s">
        <v>32</v>
      </c>
      <c r="E80" s="15" t="str">
        <f>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16"/>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hidden="1" thickBot="1">
      <c r="A81" s="2484" t="s">
        <v>781</v>
      </c>
      <c r="B81" s="209" t="s">
        <v>2256</v>
      </c>
      <c r="C81" s="228">
        <f>ROUND(IF(C79&lt;=0,0,IF(C80&gt;=200%,C79*60%-C73*35%,IF(C80&gt;=100%,C79*50%-C73*15%,IF(C80&gt;=50%,C79*40%-C73*5%,IF(C80&lt;50%,C79*30%,0))))),0)</f>
        <v>0</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hidden="1" customHeight="1">
      <c r="A82" s="729"/>
      <c r="B82" s="730"/>
      <c r="C82" s="7"/>
      <c r="D82" s="7"/>
      <c r="E82" s="730"/>
      <c r="F82" s="730"/>
      <c r="G82" s="730"/>
      <c r="H82" s="731"/>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hidden="1" thickBot="1">
      <c r="A83" s="3595" t="s">
        <v>2257</v>
      </c>
      <c r="B83" s="3596"/>
      <c r="C83" s="3596"/>
      <c r="D83" s="3596"/>
      <c r="E83" s="3596"/>
      <c r="F83" s="3596"/>
      <c r="G83" s="3596"/>
      <c r="H83" s="3596"/>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hidden="1">
      <c r="A84" s="3574" t="s">
        <v>2220</v>
      </c>
      <c r="B84" s="3575"/>
      <c r="C84" s="1779"/>
      <c r="D84" s="1779" t="s">
        <v>2221</v>
      </c>
      <c r="E84" s="213" t="s">
        <v>2222</v>
      </c>
      <c r="F84" s="214"/>
      <c r="G84" s="214"/>
      <c r="H84" s="233"/>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hidden="1">
      <c r="A85" s="203" t="s">
        <v>775</v>
      </c>
      <c r="B85" s="204" t="s">
        <v>2240</v>
      </c>
      <c r="C85" s="207">
        <f>ROUND(D45/(1+'数据-取费表'!C42),0)</f>
        <v>0</v>
      </c>
      <c r="D85" s="200" t="s">
        <v>32</v>
      </c>
      <c r="E85" s="1778"/>
      <c r="F85" s="1772"/>
      <c r="G85" s="1772"/>
      <c r="H85" s="234"/>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hidden="1">
      <c r="A86" s="203" t="s">
        <v>772</v>
      </c>
      <c r="B86" s="173" t="s">
        <v>2241</v>
      </c>
      <c r="C86" s="207">
        <f>IF(H88="仅含出让金",C87+C90+C91+C92+C93+C94,C87+C91+C92+C93+C94)</f>
        <v>134850.33000000002</v>
      </c>
      <c r="D86" s="235"/>
      <c r="E86" s="1778"/>
      <c r="F86" s="1772"/>
      <c r="G86" s="1772"/>
      <c r="H86" s="234"/>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hidden="1">
      <c r="A87" s="217" t="s">
        <v>770</v>
      </c>
      <c r="B87" s="198" t="s">
        <v>2258</v>
      </c>
      <c r="C87" s="225">
        <f>C88+C89</f>
        <v>103731.33</v>
      </c>
      <c r="D87" s="226"/>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26.4" hidden="1">
      <c r="A88" s="217" t="s">
        <v>776</v>
      </c>
      <c r="B88" s="198" t="s">
        <v>2259</v>
      </c>
      <c r="C88" s="236">
        <v>100661.33</v>
      </c>
      <c r="D88" s="226"/>
      <c r="E88" s="237" t="s">
        <v>2260</v>
      </c>
      <c r="F88" s="1775"/>
      <c r="G88" s="238" t="s">
        <v>2261</v>
      </c>
      <c r="H88" s="2485" t="s">
        <v>3381</v>
      </c>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hidden="1">
      <c r="A89" s="217" t="s">
        <v>777</v>
      </c>
      <c r="B89" s="198" t="s">
        <v>2249</v>
      </c>
      <c r="C89" s="225">
        <f>ROUND(C88*D89,0)</f>
        <v>3070</v>
      </c>
      <c r="D89" s="226">
        <f>'数据-取费表'!B48+'数据-取费表'!B49</f>
        <v>3.0499999999999999E-2</v>
      </c>
      <c r="E89" s="237" t="s">
        <v>2262</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hidden="1">
      <c r="A90" s="217" t="s">
        <v>771</v>
      </c>
      <c r="B90" s="198" t="s">
        <v>2263</v>
      </c>
      <c r="C90" s="236"/>
      <c r="D90" s="226"/>
      <c r="E90" s="237"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hidden="1" customHeight="1">
      <c r="A91" s="217" t="s">
        <v>2264</v>
      </c>
      <c r="B91" s="198" t="s">
        <v>2265</v>
      </c>
      <c r="C91" s="225">
        <f>IF(H91="——",成本法商租!C33,I91)</f>
        <v>0</v>
      </c>
      <c r="D91" s="226"/>
      <c r="E91" s="3555" t="s">
        <v>2266</v>
      </c>
      <c r="F91" s="3556"/>
      <c r="G91" s="3556"/>
      <c r="H91" s="2486" t="s">
        <v>2267</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hidden="1" customHeight="1">
      <c r="A92" s="217" t="s">
        <v>2268</v>
      </c>
      <c r="B92" s="198" t="s">
        <v>2269</v>
      </c>
      <c r="C92" s="225">
        <f>ROUND((C87+C90+C91)*D92,0)</f>
        <v>10373</v>
      </c>
      <c r="D92" s="226">
        <v>0.1</v>
      </c>
      <c r="E92" s="3555" t="s">
        <v>2270</v>
      </c>
      <c r="F92" s="3556"/>
      <c r="G92" s="3556"/>
      <c r="H92" s="3565"/>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hidden="1" customHeight="1">
      <c r="A93" s="217" t="s">
        <v>2271</v>
      </c>
      <c r="B93" s="198" t="s">
        <v>2252</v>
      </c>
      <c r="C93" s="225">
        <f>ROUND(D45*D93/(1+'数据-取费表'!C42),0)</f>
        <v>0</v>
      </c>
      <c r="D93" s="226">
        <f>'数据-取费表'!B43</f>
        <v>6.000000000000001E-3</v>
      </c>
      <c r="E93" s="3555" t="s">
        <v>2253</v>
      </c>
      <c r="F93" s="3556"/>
      <c r="G93" s="3556"/>
      <c r="H93" s="3565"/>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hidden="1" customHeight="1">
      <c r="A94" s="217" t="s">
        <v>2272</v>
      </c>
      <c r="B94" s="198" t="s">
        <v>2273</v>
      </c>
      <c r="C94" s="236">
        <f>ROUND((C87+C90+C91)*D94,0)</f>
        <v>20746</v>
      </c>
      <c r="D94" s="226">
        <v>0.2</v>
      </c>
      <c r="E94" s="3566" t="s">
        <v>2274</v>
      </c>
      <c r="F94" s="3567"/>
      <c r="G94" s="3567"/>
      <c r="H94" s="3568"/>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hidden="1">
      <c r="A95" s="2483" t="s">
        <v>779</v>
      </c>
      <c r="B95" s="204" t="s">
        <v>2254</v>
      </c>
      <c r="C95" s="207">
        <f>ROUND(C85-C86,0)</f>
        <v>-134850</v>
      </c>
      <c r="D95" s="200" t="s">
        <v>32</v>
      </c>
      <c r="E95" s="1778"/>
      <c r="F95" s="1772"/>
      <c r="G95" s="1772"/>
      <c r="H95" s="234"/>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hidden="1">
      <c r="A96" s="2483" t="s">
        <v>780</v>
      </c>
      <c r="B96" s="204" t="s">
        <v>2255</v>
      </c>
      <c r="C96" s="227">
        <f>IF(C95&lt;=0,0,C95/C86)</f>
        <v>0</v>
      </c>
      <c r="D96" s="200" t="s">
        <v>32</v>
      </c>
      <c r="E96" s="15" t="str">
        <f>IF(C96&gt;=200%,"增值额超过扣除项目金额200%",IF(C96&gt;=100%,"增值额超过扣除项目金额100%，未超过200%",IF(C96&gt;=50%,"增值额超过扣除项目金额50%，未超过100%",IF(C96&lt;50%,"增值额未超过扣除项目金额50%"))))</f>
        <v>增值额未超过扣除项目金额50%</v>
      </c>
      <c r="F96" s="1772"/>
      <c r="G96" s="1772"/>
      <c r="H96" s="234"/>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hidden="1" thickBot="1">
      <c r="A97" s="2484" t="s">
        <v>781</v>
      </c>
      <c r="B97" s="209" t="s">
        <v>2256</v>
      </c>
      <c r="C97" s="228">
        <f>ROUND(IF(C95&lt;=0,0,IF(C96&gt;=200%,C95*60%-C86*35%,IF(C96&gt;=100%,C95*50%-C86*15%,IF(C96&gt;=50%,C95*40%-C86*5%,IF(C96&lt;50%,C95*30%,0))))),0)</f>
        <v>0</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8"/>
      <c r="F98" s="2138"/>
      <c r="G98" s="2138"/>
      <c r="H98" s="2137"/>
      <c r="I98" s="138"/>
    </row>
    <row r="99" spans="1:35" ht="21.75" customHeight="1" thickBot="1">
      <c r="A99" s="2442" t="s">
        <v>2275</v>
      </c>
      <c r="B99" s="2386"/>
      <c r="C99" s="2386"/>
      <c r="D99" s="2386"/>
      <c r="E99" s="2138"/>
      <c r="F99" s="2138"/>
      <c r="G99" s="2138"/>
      <c r="H99" s="2137"/>
      <c r="I99" s="138"/>
    </row>
    <row r="100" spans="1:35" ht="18.75" customHeight="1">
      <c r="A100" s="3530" t="s">
        <v>2276</v>
      </c>
      <c r="B100" s="3531"/>
      <c r="C100" s="3531"/>
      <c r="D100" s="3557"/>
      <c r="E100" s="3531" t="s">
        <v>2277</v>
      </c>
      <c r="F100" s="3531"/>
      <c r="G100" s="3531"/>
      <c r="H100" s="3557"/>
      <c r="I100" s="138"/>
    </row>
    <row r="101" spans="1:35" ht="18.75" customHeight="1">
      <c r="A101" s="3619" t="s">
        <v>2278</v>
      </c>
      <c r="B101" s="3620"/>
      <c r="C101" s="732" t="str">
        <f>C4</f>
        <v>典型户型修正</v>
      </c>
      <c r="D101" s="733" t="str">
        <f>D4</f>
        <v>收益法商</v>
      </c>
      <c r="E101" s="3633" t="s">
        <v>2279</v>
      </c>
      <c r="F101" s="3587"/>
      <c r="G101" s="2488" t="s">
        <v>2280</v>
      </c>
      <c r="H101" s="1034">
        <f ca="1">H118</f>
        <v>53174</v>
      </c>
      <c r="I101" s="138"/>
    </row>
    <row r="102" spans="1:35" ht="18.75" customHeight="1">
      <c r="A102" s="3589" t="s">
        <v>2281</v>
      </c>
      <c r="B102" s="2488" t="s">
        <v>2280</v>
      </c>
      <c r="C102" s="732">
        <f ca="1">C19</f>
        <v>64404</v>
      </c>
      <c r="D102" s="733">
        <f ca="1">D19</f>
        <v>45688</v>
      </c>
      <c r="E102" s="3633"/>
      <c r="F102" s="3587"/>
      <c r="G102" s="2488" t="s">
        <v>2282</v>
      </c>
      <c r="H102" s="371">
        <f ca="1">I118</f>
        <v>53421</v>
      </c>
      <c r="I102" s="138"/>
    </row>
    <row r="103" spans="1:35" ht="42.75" customHeight="1">
      <c r="A103" s="3589"/>
      <c r="B103" s="2488" t="s">
        <v>2282</v>
      </c>
      <c r="C103" s="734">
        <f ca="1">C20</f>
        <v>64703</v>
      </c>
      <c r="D103" s="735">
        <f ca="1">D20</f>
        <v>45900</v>
      </c>
      <c r="E103" s="3628" t="s">
        <v>2283</v>
      </c>
      <c r="F103" s="3629"/>
      <c r="G103" s="2489" t="s">
        <v>2284</v>
      </c>
      <c r="H103" s="1034">
        <f>IF(D36="正常操作",H104+H105+H106,H105+H106)</f>
        <v>0</v>
      </c>
      <c r="I103" s="138"/>
    </row>
    <row r="104" spans="1:35" ht="18.75" customHeight="1">
      <c r="A104" s="3589" t="s">
        <v>2285</v>
      </c>
      <c r="B104" s="2490" t="s">
        <v>2280</v>
      </c>
      <c r="C104" s="736">
        <f ca="1">H118</f>
        <v>53174</v>
      </c>
      <c r="D104" s="737"/>
      <c r="E104" s="2238" t="s">
        <v>2286</v>
      </c>
      <c r="F104" s="2230"/>
      <c r="G104" s="2489" t="s">
        <v>2284</v>
      </c>
      <c r="H104" s="1035">
        <f>IF(D36="同一抵押权人同一抵押物续贷",C36&amp;"（未扣减，详见特别提示）",C36)</f>
        <v>0</v>
      </c>
      <c r="I104" s="138"/>
    </row>
    <row r="105" spans="1:35" ht="18.75" customHeight="1" thickBot="1">
      <c r="A105" s="3590"/>
      <c r="B105" s="2491" t="s">
        <v>2282</v>
      </c>
      <c r="C105" s="738">
        <f ca="1">I118</f>
        <v>53421</v>
      </c>
      <c r="D105" s="739"/>
      <c r="E105" s="2238" t="s">
        <v>2287</v>
      </c>
      <c r="F105" s="2230"/>
      <c r="G105" s="2489" t="s">
        <v>2284</v>
      </c>
      <c r="H105" s="1035">
        <f>C37</f>
        <v>0</v>
      </c>
      <c r="I105" s="138"/>
    </row>
    <row r="106" spans="1:35" ht="18.75" customHeight="1">
      <c r="A106" s="2386" t="s">
        <v>2288</v>
      </c>
      <c r="B106" s="2386"/>
      <c r="C106" s="2386"/>
      <c r="D106" s="2386"/>
      <c r="E106" s="2492" t="s">
        <v>2289</v>
      </c>
      <c r="F106" s="2230"/>
      <c r="G106" s="2489" t="s">
        <v>2284</v>
      </c>
      <c r="H106" s="1035">
        <f>C38</f>
        <v>0</v>
      </c>
      <c r="I106" s="138"/>
    </row>
    <row r="107" spans="1:35" ht="18.75" customHeight="1">
      <c r="A107" s="138"/>
      <c r="B107" s="138"/>
      <c r="C107" s="138"/>
      <c r="D107" s="138"/>
      <c r="E107" s="3586" t="str">
        <f>IF(项目基本情况!E8="已注销","——","3.房地产抵押价值")</f>
        <v>3.房地产抵押价值</v>
      </c>
      <c r="F107" s="3587"/>
      <c r="G107" s="2488" t="s">
        <v>2280</v>
      </c>
      <c r="H107" s="1034">
        <f ca="1">IF(E107="——","——",H101-H103)</f>
        <v>53174</v>
      </c>
      <c r="I107" s="138"/>
    </row>
    <row r="108" spans="1:35" ht="18.75" customHeight="1">
      <c r="A108" s="138"/>
      <c r="B108" s="138"/>
      <c r="C108" s="138"/>
      <c r="D108" s="138"/>
      <c r="E108" s="3586"/>
      <c r="F108" s="3587"/>
      <c r="G108" s="2488" t="s">
        <v>2282</v>
      </c>
      <c r="H108" s="371">
        <f ca="1">ROUND(H107*10000/'数据-汇总表'!E3,0)</f>
        <v>3195</v>
      </c>
      <c r="I108" s="138"/>
    </row>
    <row r="109" spans="1:35" ht="18.75" customHeight="1">
      <c r="A109" s="138"/>
      <c r="B109" s="138"/>
      <c r="C109" s="138"/>
      <c r="D109" s="138"/>
      <c r="E109" s="3586" t="str">
        <f>IF(项目基本情况!E8="已注销及未注销","4.抵押担保权已注销时的房地产抵押价值",IF(项目基本情况!E8="已注销","3.抵押担保权已注销时的房地产抵押价值","——"))</f>
        <v>——</v>
      </c>
      <c r="F109" s="3587"/>
      <c r="G109" s="2488" t="s">
        <v>2280</v>
      </c>
      <c r="H109" s="348" t="str">
        <f>IF(E109="——","——",H101-H105-H106)</f>
        <v>——</v>
      </c>
      <c r="I109" s="138"/>
    </row>
    <row r="110" spans="1:35" ht="18.75" customHeight="1">
      <c r="A110" s="138"/>
      <c r="B110" s="138"/>
      <c r="C110" s="138"/>
      <c r="D110" s="138"/>
      <c r="E110" s="3586"/>
      <c r="F110" s="3587"/>
      <c r="G110" s="2488" t="s">
        <v>2282</v>
      </c>
      <c r="H110" s="371" t="str">
        <f>IF(H109="——","——",ROUND(H109*10000/'数据-汇总表'!E3,0))</f>
        <v>——</v>
      </c>
      <c r="I110" s="138"/>
    </row>
    <row r="111" spans="1:35" ht="18.75" customHeight="1">
      <c r="A111" s="138"/>
      <c r="B111" s="138"/>
      <c r="C111" s="138"/>
      <c r="D111" s="138"/>
      <c r="E111" s="3621" t="str">
        <f>IF(项目基本情况!E9="抵押净值",IF(OR(项目基本情况!E8="已注销",项目基本情况!E8="房地产抵押价值"),"4.抵押净值","5.抵押净值"),"——")</f>
        <v>——</v>
      </c>
      <c r="F111" s="3622"/>
      <c r="G111" s="2488" t="s">
        <v>2280</v>
      </c>
      <c r="H111" s="1034" t="str">
        <f>IF(E111="——","——",N59)</f>
        <v>——</v>
      </c>
      <c r="I111" s="138"/>
    </row>
    <row r="112" spans="1:35" ht="18.75" customHeight="1" thickBot="1">
      <c r="A112" s="138"/>
      <c r="B112" s="138"/>
      <c r="C112" s="138"/>
      <c r="D112" s="138"/>
      <c r="E112" s="3623"/>
      <c r="F112" s="3624"/>
      <c r="G112" s="2493" t="s">
        <v>2282</v>
      </c>
      <c r="H112" s="785" t="str">
        <f>IF(E111="——","——",N61)</f>
        <v>——</v>
      </c>
      <c r="I112" s="138"/>
    </row>
    <row r="113" spans="1:11" ht="18.75" customHeight="1">
      <c r="A113" s="138"/>
      <c r="B113" s="138"/>
      <c r="C113" s="138"/>
      <c r="D113" s="138"/>
      <c r="E113" s="3591" t="s">
        <v>2288</v>
      </c>
      <c r="F113" s="3591"/>
      <c r="G113" s="3591"/>
      <c r="H113" s="3591"/>
      <c r="I113" s="138"/>
    </row>
    <row r="114" spans="1:11" ht="3.75" customHeight="1">
      <c r="A114" s="2386"/>
      <c r="B114" s="2386"/>
      <c r="C114" s="2386"/>
      <c r="D114" s="2386"/>
      <c r="E114" s="2464"/>
      <c r="F114" s="2464"/>
      <c r="G114" s="2464"/>
      <c r="H114" s="2464"/>
      <c r="I114" s="2386"/>
    </row>
    <row r="115" spans="1:11" ht="18.75" customHeight="1">
      <c r="A115" s="3604" t="s">
        <v>2290</v>
      </c>
      <c r="B115" s="3605"/>
      <c r="C115" s="3605"/>
      <c r="D115" s="3605"/>
      <c r="E115" s="3605"/>
      <c r="F115" s="3605"/>
      <c r="G115" s="3605"/>
      <c r="H115" s="3605"/>
      <c r="I115" s="3606"/>
    </row>
    <row r="116" spans="1:11" ht="27" customHeight="1">
      <c r="A116" s="3486" t="s">
        <v>2291</v>
      </c>
      <c r="B116" s="3592" t="s">
        <v>2292</v>
      </c>
      <c r="C116" s="3592" t="s">
        <v>2293</v>
      </c>
      <c r="D116" s="3608" t="s">
        <v>2294</v>
      </c>
      <c r="E116" s="3609"/>
      <c r="F116" s="3600" t="s">
        <v>2295</v>
      </c>
      <c r="G116" s="3600"/>
      <c r="H116" s="3486" t="s">
        <v>2296</v>
      </c>
      <c r="I116" s="3486"/>
    </row>
    <row r="117" spans="1:11" ht="18.75" customHeight="1">
      <c r="A117" s="3486"/>
      <c r="B117" s="3593"/>
      <c r="C117" s="3593"/>
      <c r="D117" s="1773" t="s">
        <v>2297</v>
      </c>
      <c r="E117" s="1773" t="s">
        <v>2298</v>
      </c>
      <c r="F117" s="1773" t="s">
        <v>2297</v>
      </c>
      <c r="G117" s="1773" t="s">
        <v>2299</v>
      </c>
      <c r="H117" s="1773" t="s">
        <v>2297</v>
      </c>
      <c r="I117" s="1773" t="s">
        <v>2299</v>
      </c>
    </row>
    <row r="118" spans="1:11" ht="24.75" customHeight="1">
      <c r="A118" s="2494" t="str">
        <f>项目基本情况!S2</f>
        <v>四川省成都市青羊区西御街3号、5号房地产</v>
      </c>
      <c r="B118" s="1773">
        <f>M18</f>
        <v>9953.84</v>
      </c>
      <c r="C118" s="1773">
        <f>M19</f>
        <v>731.05</v>
      </c>
      <c r="D118" s="1773">
        <f ca="1">ROUND(IF(D32="总价",C34,E118*B118/10000),0)</f>
        <v>39242</v>
      </c>
      <c r="E118" s="1773">
        <f ca="1">ROUND(IF(C33="自定义",IF(D32="楼面单价",C34,D118*10000/B118),I118-G118),0)</f>
        <v>39424</v>
      </c>
      <c r="F118" s="1773">
        <f ca="1">ROUND(IF(D32="总价",C35,G118*B118/10000),0)</f>
        <v>13932</v>
      </c>
      <c r="G118" s="1773">
        <f ca="1">ROUND(IF(D32="楼面单价",C35,F118*10000/B118),0)</f>
        <v>13997</v>
      </c>
      <c r="H118" s="1773">
        <f ca="1">ROUND(IF(D32="总价",C32,I118*B118/10000),0)</f>
        <v>53174</v>
      </c>
      <c r="I118" s="1773">
        <f ca="1">ROUND(IF(D32="楼面单价",C32,H118*10000/B118),0)</f>
        <v>53421</v>
      </c>
    </row>
    <row r="119" spans="1:11" ht="18.75" customHeight="1">
      <c r="A119" s="3486" t="s">
        <v>2300</v>
      </c>
      <c r="B119" s="3486"/>
      <c r="C119" s="3486"/>
      <c r="D119" s="3597" t="str">
        <f ca="1">NUMBERSTRING(INT(D118*10000),2)&amp;"元整"</f>
        <v>叁亿玖仟贰佰肆拾贰万元整</v>
      </c>
      <c r="E119" s="3599"/>
      <c r="F119" s="3597" t="str">
        <f ca="1">NUMBERSTRING(INT(F118*10000),2)&amp;"元整"</f>
        <v>壹亿叁仟玖佰叁拾贰万元整</v>
      </c>
      <c r="G119" s="3599"/>
      <c r="H119" s="3597" t="str">
        <f ca="1">NUMBERSTRING(INT(H118*10000),2)&amp;"元整"</f>
        <v>伍亿叁仟壹佰柒拾肆万元整</v>
      </c>
      <c r="I119" s="3599"/>
    </row>
    <row r="120" spans="1:11" ht="18.75" customHeight="1">
      <c r="A120" s="3625" t="str">
        <f>IF(项目基本情况!B9="房地产市场价值","",MID(E103,3,LEN(E103)-2))</f>
        <v/>
      </c>
      <c r="B120" s="3626"/>
      <c r="C120" s="3627"/>
      <c r="D120" s="3625">
        <f>H103</f>
        <v>0</v>
      </c>
      <c r="E120" s="3626"/>
      <c r="F120" s="3626"/>
      <c r="G120" s="3626"/>
      <c r="H120" s="3626"/>
      <c r="I120" s="3627"/>
      <c r="K120" s="2391" t="str">
        <f>IF(D120=0,"故，本次评估不存在"&amp;A120,"故，本次评估"&amp;A120&amp;"为人民币"&amp;D120&amp;"万元整。")</f>
        <v>故，本次评估不存在</v>
      </c>
    </row>
    <row r="121" spans="1:11" ht="18.75" customHeight="1">
      <c r="A121" s="3601" t="s">
        <v>2300</v>
      </c>
      <c r="B121" s="3602"/>
      <c r="C121" s="3603"/>
      <c r="D121" s="3597" t="str">
        <f>IF(D120=0,"零元整",NUMBERSTRING(INT(D120*10000),2)&amp;"元整")</f>
        <v>零元整</v>
      </c>
      <c r="E121" s="3598"/>
      <c r="F121" s="3598"/>
      <c r="G121" s="3598"/>
      <c r="H121" s="3598"/>
      <c r="I121" s="3599"/>
    </row>
    <row r="122" spans="1:11" ht="18.75" customHeight="1">
      <c r="A122" s="3588" t="str">
        <f>IF(项目基本情况!B9="房地产市场价值","",MID(E107,3,LEN(E107)-2))</f>
        <v/>
      </c>
      <c r="B122" s="3588"/>
      <c r="C122" s="3588"/>
      <c r="D122" s="3625">
        <f ca="1">H107</f>
        <v>53174</v>
      </c>
      <c r="E122" s="3626"/>
      <c r="F122" s="3626"/>
      <c r="G122" s="3626"/>
      <c r="H122" s="3626"/>
      <c r="I122" s="3627"/>
    </row>
    <row r="123" spans="1:11" ht="18.75" customHeight="1">
      <c r="A123" s="3486" t="s">
        <v>2300</v>
      </c>
      <c r="B123" s="3486"/>
      <c r="C123" s="3486"/>
      <c r="D123" s="3597" t="str">
        <f ca="1">NUMBERSTRING(INT(D122*10000),2)&amp;"元整"</f>
        <v>伍亿叁仟壹佰柒拾肆万元整</v>
      </c>
      <c r="E123" s="3598"/>
      <c r="F123" s="3598"/>
      <c r="G123" s="3598"/>
      <c r="H123" s="3598"/>
      <c r="I123" s="3599"/>
    </row>
    <row r="124" spans="1:11" ht="18.75" customHeight="1">
      <c r="A124" s="3588" t="str">
        <f>IF(项目基本情况!B9="房地产市场价值","",MID(E109,3,LEN(E109)-2))</f>
        <v/>
      </c>
      <c r="B124" s="3588"/>
      <c r="C124" s="3588"/>
      <c r="D124" s="3625" t="str">
        <f>H109</f>
        <v>——</v>
      </c>
      <c r="E124" s="3626"/>
      <c r="F124" s="3626"/>
      <c r="G124" s="3626"/>
      <c r="H124" s="3626"/>
      <c r="I124" s="3627"/>
    </row>
    <row r="125" spans="1:11" ht="18.75" customHeight="1">
      <c r="A125" s="3486" t="s">
        <v>2300</v>
      </c>
      <c r="B125" s="3486"/>
      <c r="C125" s="3486"/>
      <c r="D125" s="3597" t="e">
        <f>NUMBERSTRING(INT(D124*10000),2)&amp;"元整"</f>
        <v>#VALUE!</v>
      </c>
      <c r="E125" s="3598"/>
      <c r="F125" s="3598"/>
      <c r="G125" s="3598"/>
      <c r="H125" s="3598"/>
      <c r="I125" s="3599"/>
    </row>
    <row r="126" spans="1:11" ht="18.75" customHeight="1">
      <c r="A126" s="3588" t="str">
        <f>IF(项目基本情况!B9="房地产市场价值","",MID(E111,3,LEN(E111)-2))</f>
        <v/>
      </c>
      <c r="B126" s="3588"/>
      <c r="C126" s="3588"/>
      <c r="D126" s="3625" t="str">
        <f>H111</f>
        <v>——</v>
      </c>
      <c r="E126" s="3626"/>
      <c r="F126" s="3626"/>
      <c r="G126" s="3626"/>
      <c r="H126" s="3626"/>
      <c r="I126" s="3627"/>
    </row>
    <row r="127" spans="1:11" ht="18.75" customHeight="1">
      <c r="A127" s="3486" t="s">
        <v>2300</v>
      </c>
      <c r="B127" s="3486"/>
      <c r="C127" s="3486"/>
      <c r="D127" s="3597" t="e">
        <f>NUMBERSTRING(INT(D126*10000),2)&amp;"元整"</f>
        <v>#VALUE!</v>
      </c>
      <c r="E127" s="3598"/>
      <c r="F127" s="3598"/>
      <c r="G127" s="3598"/>
      <c r="H127" s="3598"/>
      <c r="I127" s="3599"/>
    </row>
    <row r="128" spans="1:11" ht="21.75" customHeight="1">
      <c r="A128" s="3607" t="s">
        <v>2301</v>
      </c>
      <c r="B128" s="3607"/>
      <c r="C128" s="3607"/>
      <c r="D128" s="3607"/>
      <c r="E128" s="3607"/>
      <c r="F128" s="3607"/>
      <c r="G128" s="3607"/>
      <c r="H128" s="3607"/>
      <c r="I128" s="3607"/>
    </row>
    <row r="129" spans="1:35" ht="21.75" customHeight="1">
      <c r="A129" s="2495" t="s">
        <v>2302</v>
      </c>
      <c r="B129" s="2496"/>
      <c r="C129" s="2497" t="s">
        <v>2303</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90"/>
    </row>
    <row r="135" spans="1:35" ht="21.75" customHeight="1">
      <c r="A135" s="790"/>
      <c r="B135" s="790"/>
      <c r="C135" s="790"/>
      <c r="D135" s="790"/>
      <c r="E135" s="790"/>
      <c r="F135" s="2511" t="s">
        <v>2304</v>
      </c>
      <c r="G135" s="2512"/>
      <c r="H135" s="2512"/>
      <c r="I135" s="2513" t="s">
        <v>2305</v>
      </c>
    </row>
    <row r="136" spans="1:35" ht="21.75" customHeight="1">
      <c r="A136" s="790"/>
      <c r="B136" s="2514" t="s">
        <v>2306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2"/>
      <c r="C138" s="2512"/>
      <c r="D138" s="2512"/>
      <c r="E138" s="2512"/>
      <c r="F138" s="2512"/>
      <c r="G138" s="2512"/>
      <c r="H138" s="2512"/>
      <c r="I138" s="2513" t="s">
        <v>2307</v>
      </c>
    </row>
    <row r="139" spans="1:35" ht="21.75" customHeight="1">
      <c r="A139" s="790"/>
      <c r="B139" s="2514" t="s">
        <v>2308</v>
      </c>
      <c r="C139" s="790"/>
      <c r="D139" s="790"/>
      <c r="E139" s="790"/>
      <c r="F139" s="790"/>
      <c r="G139" s="790"/>
      <c r="H139" s="790"/>
      <c r="I139" s="790"/>
    </row>
    <row r="140" spans="1:35" ht="21.75" customHeight="1">
      <c r="A140" s="790"/>
      <c r="B140" s="2514"/>
      <c r="C140" s="790"/>
      <c r="D140" s="790"/>
      <c r="E140" s="790"/>
      <c r="F140" s="790"/>
      <c r="G140" s="790"/>
      <c r="H140" s="790"/>
      <c r="I140" s="790"/>
    </row>
    <row r="141" spans="1:35" ht="21.75" customHeight="1">
      <c r="A141" s="790"/>
      <c r="B141" s="2512"/>
      <c r="C141" s="2512"/>
      <c r="D141" s="2512"/>
      <c r="E141" s="2512"/>
      <c r="F141" s="2512"/>
      <c r="G141" s="2512"/>
      <c r="H141" s="2512"/>
      <c r="I141" s="2513" t="s">
        <v>2307</v>
      </c>
    </row>
    <row r="142" spans="1:35" ht="21.75" customHeight="1">
      <c r="A142" s="790"/>
      <c r="B142" s="2514"/>
      <c r="C142" s="2515"/>
      <c r="D142" s="2516"/>
      <c r="E142" s="2516"/>
      <c r="F142" s="2312"/>
      <c r="G142" s="790"/>
      <c r="H142" s="790"/>
      <c r="I142" s="790"/>
    </row>
    <row r="143" spans="1:35" s="139" customFormat="1" ht="21.75" customHeight="1">
      <c r="A143" s="790"/>
      <c r="B143" s="2514"/>
      <c r="C143" s="2515"/>
      <c r="D143" s="2516"/>
      <c r="E143" s="2516"/>
      <c r="F143" s="2312"/>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workbookViewId="0">
      <selection activeCell="C19" sqref="C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14" t="s">
        <v>3384</v>
      </c>
      <c r="C1" s="242"/>
      <c r="D1" s="242"/>
      <c r="E1" s="242"/>
      <c r="F1" s="242"/>
      <c r="G1" s="1360" t="e">
        <f>MATCH(B1,'数据-取费表'!A6:A16,0)+5</f>
        <v>#N/A</v>
      </c>
    </row>
    <row r="2" spans="1:9" s="244" customFormat="1" ht="18" customHeight="1">
      <c r="A2" s="245" t="s">
        <v>2310</v>
      </c>
      <c r="B2" s="246" t="e">
        <f ca="1">IF(D2="——",C52,C52-E2)</f>
        <v>#N/A</v>
      </c>
      <c r="C2" s="243" t="s">
        <v>2311</v>
      </c>
      <c r="D2" s="2517" t="s">
        <v>70</v>
      </c>
      <c r="E2" s="1420" t="e">
        <f ca="1">SUMIF(INDIRECT("'"&amp;G2&amp;"'"&amp;"!A:A"),"承租人权益价值",INDIRECT("'"&amp;G2&amp;"'"&amp;"!c:c"))</f>
        <v>#REF!</v>
      </c>
      <c r="F2" s="2518" t="s">
        <v>2311</v>
      </c>
      <c r="G2" s="2519"/>
    </row>
    <row r="3" spans="1:9" s="244" customFormat="1" ht="18" customHeight="1" thickBot="1">
      <c r="A3" s="247" t="s">
        <v>2312</v>
      </c>
      <c r="B3" s="248" t="e">
        <f ca="1">ROUND(B2*10000/(IF(B1="",'数据-汇总表'!E3,INDIRECT("'数据-取费表'!k"&amp;$G$1))),0)</f>
        <v>#N/A</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t="e">
        <f ca="1">C6+C7+C8</f>
        <v>#N/A</v>
      </c>
      <c r="D5" s="255" t="s">
        <v>2317</v>
      </c>
      <c r="E5" s="256" t="s">
        <v>2318</v>
      </c>
      <c r="F5" s="256" t="s">
        <v>2319</v>
      </c>
      <c r="G5" s="257"/>
    </row>
    <row r="6" spans="1:9" s="258" customFormat="1" ht="13.5" customHeight="1">
      <c r="A6" s="938" t="s">
        <v>2320</v>
      </c>
      <c r="B6" s="259" t="s">
        <v>2321</v>
      </c>
      <c r="C6" s="260">
        <f>ROUND('土地比较法-住宅、综合'!B56*'数据-汇总表'!F19/10000,0)</f>
        <v>12451</v>
      </c>
      <c r="D6" s="261"/>
      <c r="E6" s="262"/>
      <c r="F6" s="262"/>
      <c r="G6" s="263"/>
    </row>
    <row r="7" spans="1:9" s="258" customFormat="1" ht="13.5" customHeight="1">
      <c r="A7" s="938" t="s">
        <v>2322</v>
      </c>
      <c r="B7" s="259" t="s">
        <v>2323</v>
      </c>
      <c r="C7" s="264">
        <f>ROUND(C6*F7,0)</f>
        <v>380</v>
      </c>
      <c r="D7" s="264"/>
      <c r="E7" s="262"/>
      <c r="F7" s="265">
        <f>IF(项目基本情况!B8="出让",0,'数据-取费表'!B48+'数据-取费表'!B49)</f>
        <v>3.0499999999999999E-2</v>
      </c>
      <c r="G7" s="263"/>
    </row>
    <row r="8" spans="1:9" s="267" customFormat="1">
      <c r="A8" s="938" t="s">
        <v>2324</v>
      </c>
      <c r="B8" s="259" t="s">
        <v>2325</v>
      </c>
      <c r="C8" s="264" t="e">
        <f ca="1">IF(G8="已包含在土地购买价格中","0",IF(B1="",'数据-取费表'!B29,IF(G9="全部缴纳",C9+C10,H9)))</f>
        <v>#N/A</v>
      </c>
      <c r="D8" s="266"/>
      <c r="E8" s="264"/>
      <c r="F8" s="265"/>
      <c r="G8" s="2520" t="s">
        <v>3343</v>
      </c>
    </row>
    <row r="9" spans="1:9" s="258" customFormat="1" ht="13.5" customHeight="1">
      <c r="A9" s="939" t="s">
        <v>800</v>
      </c>
      <c r="B9" s="268" t="s">
        <v>2326</v>
      </c>
      <c r="C9" s="269" t="e">
        <f ca="1">ROUND(D9*E9/10000,0)</f>
        <v>#N/A</v>
      </c>
      <c r="D9" s="1021" t="e">
        <f ca="1">IF(B1="",'数据-汇总表'!E5,IF(INDIRECT("'数据-取费表'!c"&amp;$G$1)="住宅",INDIRECT("'数据-取费表'!k"&amp;$G$1),0))</f>
        <v>#N/A</v>
      </c>
      <c r="E9" s="269">
        <f>'数据-取费表'!B27</f>
        <v>220</v>
      </c>
      <c r="F9" s="265"/>
      <c r="G9" s="2521" t="s">
        <v>3344</v>
      </c>
      <c r="H9" s="1370"/>
      <c r="I9" s="2522" t="s">
        <v>2327</v>
      </c>
    </row>
    <row r="10" spans="1:9" s="258" customFormat="1" ht="13.5" customHeight="1">
      <c r="A10" s="939" t="s">
        <v>801</v>
      </c>
      <c r="B10" s="268" t="s">
        <v>2328</v>
      </c>
      <c r="C10" s="269" t="e">
        <f ca="1">ROUND(D10*E10/10000,0)</f>
        <v>#N/A</v>
      </c>
      <c r="D10" s="1021" t="e">
        <f ca="1">IF(B1="",'数据-汇总表'!E6,IF(INDIRECT("'数据-取费表'!c"&amp;$G$1)="住宅",INDIRECT("'数据-取费表'!s"&amp;$G$1),INDIRECT("'数据-取费表'!k"&amp;$G$1)+INDIRECT("'数据-取费表'!s"&amp;$G$1)))</f>
        <v>#N/A</v>
      </c>
      <c r="E10" s="269">
        <f>'数据-取费表'!B28</f>
        <v>220</v>
      </c>
      <c r="F10" s="265"/>
      <c r="G10" s="270"/>
    </row>
    <row r="11" spans="1:9" s="258" customFormat="1" ht="13.5" hidden="1" customHeight="1">
      <c r="A11" s="271" t="s">
        <v>7</v>
      </c>
      <c r="B11" s="259" t="s">
        <v>2329</v>
      </c>
      <c r="C11" s="255"/>
      <c r="D11" s="1023"/>
      <c r="E11" s="262"/>
      <c r="F11" s="262"/>
      <c r="G11" s="263"/>
    </row>
    <row r="12" spans="1:9" s="258" customFormat="1" ht="13.5" hidden="1" customHeight="1">
      <c r="A12" s="271" t="s">
        <v>8</v>
      </c>
      <c r="B12" s="259" t="s">
        <v>2330</v>
      </c>
      <c r="C12" s="255">
        <v>0</v>
      </c>
      <c r="D12" s="1023"/>
      <c r="E12" s="272"/>
      <c r="F12" s="265">
        <v>3.0499999999999999E-2</v>
      </c>
      <c r="G12" s="263"/>
    </row>
    <row r="13" spans="1:9" s="258" customFormat="1" ht="13.5" hidden="1" customHeight="1">
      <c r="A13" s="271" t="s">
        <v>9</v>
      </c>
      <c r="B13" s="259" t="s">
        <v>2331</v>
      </c>
      <c r="C13" s="255"/>
      <c r="D13" s="1023"/>
      <c r="E13" s="262"/>
      <c r="F13" s="262"/>
      <c r="G13" s="263"/>
    </row>
    <row r="14" spans="1:9" s="258" customFormat="1" ht="13.5" hidden="1" customHeight="1">
      <c r="A14" s="271" t="s">
        <v>10</v>
      </c>
      <c r="B14" s="259" t="s">
        <v>2332</v>
      </c>
      <c r="C14" s="255"/>
      <c r="D14" s="1023"/>
      <c r="E14" s="262"/>
      <c r="F14" s="262"/>
      <c r="G14" s="263" t="s">
        <v>2333</v>
      </c>
    </row>
    <row r="15" spans="1:9" s="258" customFormat="1" ht="13.5" hidden="1" customHeight="1">
      <c r="A15" s="271" t="s">
        <v>11</v>
      </c>
      <c r="B15" s="259" t="s">
        <v>2334</v>
      </c>
      <c r="C15" s="264"/>
      <c r="D15" s="1023"/>
      <c r="E15" s="262"/>
      <c r="F15" s="262"/>
      <c r="G15" s="263" t="s">
        <v>2335</v>
      </c>
    </row>
    <row r="16" spans="1:9" s="258" customFormat="1" ht="13.5" hidden="1" customHeight="1">
      <c r="A16" s="271" t="s">
        <v>12</v>
      </c>
      <c r="B16" s="259" t="s">
        <v>2332</v>
      </c>
      <c r="C16" s="264"/>
      <c r="D16" s="1023"/>
      <c r="E16" s="262"/>
      <c r="F16" s="262"/>
      <c r="G16" s="263"/>
    </row>
    <row r="17" spans="1:7" s="258" customFormat="1" ht="13.5" hidden="1" customHeight="1">
      <c r="A17" s="271" t="s">
        <v>13</v>
      </c>
      <c r="B17" s="259" t="s">
        <v>2336</v>
      </c>
      <c r="C17" s="273"/>
      <c r="D17" s="1024"/>
      <c r="E17" s="273"/>
      <c r="F17" s="273"/>
      <c r="G17" s="263" t="s">
        <v>2335</v>
      </c>
    </row>
    <row r="18" spans="1:7" s="258" customFormat="1" ht="13.5" hidden="1" customHeight="1">
      <c r="A18" s="271" t="s">
        <v>14</v>
      </c>
      <c r="B18" s="259" t="s">
        <v>2337</v>
      </c>
      <c r="C18" s="264">
        <v>0</v>
      </c>
      <c r="D18" s="1023"/>
      <c r="E18" s="262"/>
      <c r="F18" s="265">
        <v>3.0499999999999999E-2</v>
      </c>
      <c r="G18" s="263" t="s">
        <v>2338</v>
      </c>
    </row>
    <row r="19" spans="1:7" s="267" customFormat="1" ht="13.5" customHeight="1">
      <c r="A19" s="299" t="s">
        <v>2339</v>
      </c>
      <c r="B19" s="254" t="s">
        <v>2340</v>
      </c>
      <c r="C19" s="255" t="str">
        <f>IF(G19="已包含在土地取得成本中","0",ROUND(D19*E19/10000,0))</f>
        <v>0</v>
      </c>
      <c r="D19" s="1025" t="e">
        <f ca="1">D9+D10</f>
        <v>#N/A</v>
      </c>
      <c r="E19" s="255">
        <f>'数据-取费表'!B31</f>
        <v>200</v>
      </c>
      <c r="F19" s="275"/>
      <c r="G19" s="2520" t="s">
        <v>3345</v>
      </c>
    </row>
    <row r="20" spans="1:7" s="258" customFormat="1" ht="13.5" customHeight="1">
      <c r="A20" s="299" t="s">
        <v>2341</v>
      </c>
      <c r="B20" s="254" t="s">
        <v>2342</v>
      </c>
      <c r="C20" s="276" t="e">
        <f ca="1">ROUND((C5+C19)*F20,0)</f>
        <v>#N/A</v>
      </c>
      <c r="D20" s="276"/>
      <c r="E20" s="276"/>
      <c r="F20" s="277">
        <f>'数据-取费表'!B37</f>
        <v>0.02</v>
      </c>
      <c r="G20" s="278" t="s">
        <v>2343</v>
      </c>
    </row>
    <row r="21" spans="1:7" s="258" customFormat="1" ht="13.5" customHeight="1">
      <c r="A21" s="299" t="s">
        <v>2344</v>
      </c>
      <c r="B21" s="254" t="s">
        <v>2345</v>
      </c>
      <c r="C21" s="279">
        <f>F21</f>
        <v>0.02</v>
      </c>
      <c r="D21" s="280" t="s">
        <v>2346</v>
      </c>
      <c r="E21" s="276"/>
      <c r="F21" s="277">
        <f>'数据-取费表'!B38</f>
        <v>0.02</v>
      </c>
      <c r="G21" s="278" t="s">
        <v>2347</v>
      </c>
    </row>
    <row r="22" spans="1:7" s="258" customFormat="1" ht="13.5" customHeight="1">
      <c r="A22" s="299" t="s">
        <v>2348</v>
      </c>
      <c r="B22" s="254" t="s">
        <v>2349</v>
      </c>
      <c r="C22" s="1335" t="e">
        <f ca="1">ROUND(SUM(C23:C25),0)</f>
        <v>#N/A</v>
      </c>
      <c r="D22" s="279">
        <f ca="1">C26</f>
        <v>1.4E-3</v>
      </c>
      <c r="E22" s="280" t="s">
        <v>2346</v>
      </c>
      <c r="F22" s="281">
        <f ca="1">'数据-取费表'!B40</f>
        <v>4.7500000000000001E-2</v>
      </c>
      <c r="G22" s="278" t="str">
        <f>IF('数据-取费表'!B22&lt;=1,"单利计息","复利计息")</f>
        <v>复利计息</v>
      </c>
    </row>
    <row r="23" spans="1:7" s="258" customFormat="1" ht="13.5" customHeight="1">
      <c r="A23" s="940" t="s">
        <v>2350</v>
      </c>
      <c r="B23" s="259" t="s">
        <v>2351</v>
      </c>
      <c r="C23" s="1336" t="e">
        <f ca="1">ROUND(IF('数据-取费表'!B22&lt;=1,C5*F22*'数据-取费表'!B23,C5*(POWER((1+F22),'数据-取费表'!B23)-1)),0)</f>
        <v>#N/A</v>
      </c>
      <c r="D23" s="282"/>
      <c r="E23" s="282"/>
      <c r="F23" s="283"/>
      <c r="G23" s="284" t="s">
        <v>2352</v>
      </c>
    </row>
    <row r="24" spans="1:7" s="258" customFormat="1" ht="13.5" customHeight="1">
      <c r="A24" s="940" t="s">
        <v>2353</v>
      </c>
      <c r="B24" s="259" t="s">
        <v>2354</v>
      </c>
      <c r="C24" s="1336">
        <f ca="1">ROUND(IF('数据-取费表'!B22&lt;=1,C19*F22*('数据-取费表'!B19/2+'数据-取费表'!B21),C19*(POWER((1+F22),('数据-取费表'!B19/2+'数据-取费表'!B21))-1)),0)</f>
        <v>0</v>
      </c>
      <c r="D24" s="282"/>
      <c r="E24" s="282"/>
      <c r="F24" s="283"/>
      <c r="G24" s="284" t="s">
        <v>2355</v>
      </c>
    </row>
    <row r="25" spans="1:7" s="258" customFormat="1" ht="24">
      <c r="A25" s="940" t="s">
        <v>2356</v>
      </c>
      <c r="B25" s="259" t="s">
        <v>2357</v>
      </c>
      <c r="C25" s="1336" t="e">
        <f ca="1">ROUND(IF('数据-取费表'!B22&lt;=1,C20*F22*'数据-取费表'!B23/2,C20*(POWER((1+F22),'数据-取费表'!B23/2)-1)),0)</f>
        <v>#N/A</v>
      </c>
      <c r="D25" s="282"/>
      <c r="E25" s="285"/>
      <c r="F25" s="283"/>
      <c r="G25" s="286" t="s">
        <v>2358</v>
      </c>
    </row>
    <row r="26" spans="1:7" s="258" customFormat="1">
      <c r="A26" s="940" t="s">
        <v>795</v>
      </c>
      <c r="B26" s="259" t="s">
        <v>2359</v>
      </c>
      <c r="C26" s="282">
        <f ca="1">ROUND(IF('数据-取费表'!B22&lt;=1,F21*F22*'数据-取费表'!B23/2,F21*(POWER((1+F22),'数据-取费表'!B23/2)-1)),4)</f>
        <v>1.4E-3</v>
      </c>
      <c r="D26" s="282"/>
      <c r="E26" s="285"/>
      <c r="F26" s="283"/>
      <c r="G26" s="287"/>
    </row>
    <row r="27" spans="1:7" s="258" customFormat="1" ht="26.4">
      <c r="A27" s="299" t="s">
        <v>2360</v>
      </c>
      <c r="B27" s="288" t="s">
        <v>2361</v>
      </c>
      <c r="C27" s="289" t="e">
        <f ca="1">C28</f>
        <v>#N/A</v>
      </c>
      <c r="D27" s="279" t="e">
        <f ca="1">C29</f>
        <v>#N/A</v>
      </c>
      <c r="E27" s="280" t="s">
        <v>2362</v>
      </c>
      <c r="F27" s="290" t="e">
        <f ca="1">IF(B1="",'数据-取费表'!Q16,INDIRECT("'数据-取费表'!q"&amp;$G$1))</f>
        <v>#N/A</v>
      </c>
      <c r="G27" s="291" t="s">
        <v>2363</v>
      </c>
    </row>
    <row r="28" spans="1:7" s="258" customFormat="1" ht="13.5" customHeight="1">
      <c r="A28" s="940" t="s">
        <v>791</v>
      </c>
      <c r="B28" s="292" t="s">
        <v>2364</v>
      </c>
      <c r="C28" s="293" t="e">
        <f ca="1">ROUND((C5+C19+C20)*F27*'数据-取费表'!B21/'数据-取费表'!B20,0)</f>
        <v>#N/A</v>
      </c>
      <c r="D28" s="279"/>
      <c r="E28" s="280"/>
      <c r="F28" s="290"/>
      <c r="G28" s="291"/>
    </row>
    <row r="29" spans="1:7" s="258" customFormat="1" ht="13.5" customHeight="1">
      <c r="A29" s="940" t="s">
        <v>792</v>
      </c>
      <c r="B29" s="292" t="s">
        <v>2365</v>
      </c>
      <c r="C29" s="282" t="e">
        <f ca="1">ROUND(C21*F27*'数据-取费表'!B21/'数据-取费表'!B20,4)</f>
        <v>#N/A</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t="e">
        <f ca="1">ROUND((C5+C19+C20+C22+C27)/(1-C21-D22-D27-C30),0)</f>
        <v>#N/A</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t="e">
        <f ca="1">SUM(C34:C38)</f>
        <v>#N/A</v>
      </c>
      <c r="D33" s="276"/>
      <c r="E33" s="256"/>
      <c r="F33" s="285"/>
      <c r="G33" s="278"/>
    </row>
    <row r="34" spans="1:7" s="302" customFormat="1" ht="13.5" customHeight="1">
      <c r="A34" s="940" t="s">
        <v>791</v>
      </c>
      <c r="B34" s="259" t="s">
        <v>2373</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2374</v>
      </c>
    </row>
    <row r="35" spans="1:7" ht="13.5" customHeight="1">
      <c r="A35" s="940" t="s">
        <v>796</v>
      </c>
      <c r="B35" s="259" t="s">
        <v>2375</v>
      </c>
      <c r="C35" s="264" t="e">
        <f ca="1">ROUND(C34*F35,0)</f>
        <v>#N/A</v>
      </c>
      <c r="D35" s="264"/>
      <c r="E35" s="264"/>
      <c r="F35" s="303">
        <f>'数据-取费表'!B33</f>
        <v>0.05</v>
      </c>
      <c r="G35" s="263" t="s">
        <v>2376</v>
      </c>
    </row>
    <row r="36" spans="1:7" ht="24">
      <c r="A36" s="940" t="s">
        <v>797</v>
      </c>
      <c r="B36" s="259" t="s">
        <v>2377</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2378</v>
      </c>
    </row>
    <row r="37" spans="1:7" s="302" customFormat="1" ht="13.5" customHeight="1">
      <c r="A37" s="940" t="s">
        <v>798</v>
      </c>
      <c r="B37" s="259" t="s">
        <v>2379</v>
      </c>
      <c r="C37" s="293" t="e">
        <f ca="1">ROUND(E37*D37*F34/10000,0)</f>
        <v>#N/A</v>
      </c>
      <c r="D37" s="261" t="e">
        <f ca="1">D19</f>
        <v>#N/A</v>
      </c>
      <c r="E37" s="293">
        <f>'数据-取费表'!B35</f>
        <v>200</v>
      </c>
      <c r="F37" s="303"/>
      <c r="G37" s="305" t="s">
        <v>2380</v>
      </c>
    </row>
    <row r="38" spans="1:7" ht="13.5" customHeight="1">
      <c r="A38" s="940" t="s">
        <v>799</v>
      </c>
      <c r="B38" s="259" t="s">
        <v>2381</v>
      </c>
      <c r="C38" s="264" t="e">
        <f ca="1">ROUND(C34*F38,0)</f>
        <v>#N/A</v>
      </c>
      <c r="D38" s="264"/>
      <c r="E38" s="264"/>
      <c r="F38" s="303">
        <f>'数据-取费表'!B36</f>
        <v>1.4999999999999999E-2</v>
      </c>
      <c r="G38" s="263" t="s">
        <v>2376</v>
      </c>
    </row>
    <row r="39" spans="1:7" s="258" customFormat="1" ht="13.5" customHeight="1">
      <c r="A39" s="299" t="s">
        <v>2382</v>
      </c>
      <c r="B39" s="254" t="s">
        <v>2383</v>
      </c>
      <c r="C39" s="276" t="e">
        <f ca="1">ROUND(C33*F20,0)</f>
        <v>#N/A</v>
      </c>
      <c r="D39" s="276"/>
      <c r="E39" s="276"/>
      <c r="F39" s="277"/>
      <c r="G39" s="278" t="s">
        <v>2384</v>
      </c>
    </row>
    <row r="40" spans="1:7" s="258" customFormat="1" ht="13.5" customHeight="1">
      <c r="A40" s="299" t="s">
        <v>2385</v>
      </c>
      <c r="B40" s="254" t="s">
        <v>2386</v>
      </c>
      <c r="C40" s="1707">
        <f>F21</f>
        <v>0.02</v>
      </c>
      <c r="D40" s="280" t="s">
        <v>2387</v>
      </c>
      <c r="E40" s="276"/>
      <c r="F40" s="277"/>
      <c r="G40" s="278" t="s">
        <v>2388</v>
      </c>
    </row>
    <row r="41" spans="1:7" s="258" customFormat="1" ht="13.5" customHeight="1">
      <c r="A41" s="299" t="s">
        <v>2389</v>
      </c>
      <c r="B41" s="254" t="s">
        <v>2390</v>
      </c>
      <c r="C41" s="276" t="e">
        <f ca="1">ROUND(SUM(C42:C43),0)</f>
        <v>#N/A</v>
      </c>
      <c r="D41" s="279">
        <f ca="1">C44</f>
        <v>1.4E-3</v>
      </c>
      <c r="E41" s="280" t="s">
        <v>2387</v>
      </c>
      <c r="F41" s="281"/>
      <c r="G41" s="278" t="str">
        <f>IF('数据-取费表'!B22&lt;=1,"单利计息","复利计息")</f>
        <v>复利计息</v>
      </c>
    </row>
    <row r="42" spans="1:7" ht="13.5" customHeight="1">
      <c r="A42" s="940" t="s">
        <v>791</v>
      </c>
      <c r="B42" s="259" t="s">
        <v>2391</v>
      </c>
      <c r="C42" s="282" t="e">
        <f ca="1">ROUND(IF('数据-取费表'!B22&lt;=1,C33*F22*'数据-取费表'!B21/2,C33*(POWER((1+F22),'数据-取费表'!B21/2)-1)),0)</f>
        <v>#N/A</v>
      </c>
      <c r="D42" s="282"/>
      <c r="E42" s="282"/>
      <c r="F42" s="283"/>
      <c r="G42" s="3639" t="s">
        <v>2392</v>
      </c>
    </row>
    <row r="43" spans="1:7" ht="13.5" customHeight="1">
      <c r="A43" s="940" t="s">
        <v>792</v>
      </c>
      <c r="B43" s="259" t="s">
        <v>2393</v>
      </c>
      <c r="C43" s="282" t="e">
        <f ca="1">ROUND(IF('数据-取费表'!B22&lt;=1,C39*F22*'数据-取费表'!B21/2,C39*(POWER((1+F22),'数据-取费表'!B21/2)-1)),0)</f>
        <v>#N/A</v>
      </c>
      <c r="D43" s="282"/>
      <c r="E43" s="282"/>
      <c r="F43" s="283"/>
      <c r="G43" s="3640"/>
    </row>
    <row r="44" spans="1:7" ht="13.5" customHeight="1">
      <c r="A44" s="940" t="s">
        <v>793</v>
      </c>
      <c r="B44" s="259" t="s">
        <v>2394</v>
      </c>
      <c r="C44" s="282">
        <f ca="1">ROUND(IF('数据-取费表'!B22&lt;=1,C40*F22*'数据-取费表'!B21/2,C40*(POWER((1+F22),'数据-取费表'!B21/2)-1)),4)</f>
        <v>1.4E-3</v>
      </c>
      <c r="D44" s="282"/>
      <c r="E44" s="282"/>
      <c r="F44" s="283"/>
      <c r="G44" s="3641"/>
    </row>
    <row r="45" spans="1:7" s="258" customFormat="1" ht="13.5" customHeight="1">
      <c r="A45" s="299" t="s">
        <v>2395</v>
      </c>
      <c r="B45" s="288" t="s">
        <v>2361</v>
      </c>
      <c r="C45" s="289" t="e">
        <f ca="1">C46</f>
        <v>#N/A</v>
      </c>
      <c r="D45" s="279" t="e">
        <f ca="1">C47</f>
        <v>#N/A</v>
      </c>
      <c r="E45" s="280" t="s">
        <v>2387</v>
      </c>
      <c r="F45" s="290"/>
      <c r="G45" s="291" t="s">
        <v>2396</v>
      </c>
    </row>
    <row r="46" spans="1:7" s="258" customFormat="1" ht="13.5" customHeight="1">
      <c r="A46" s="940" t="s">
        <v>791</v>
      </c>
      <c r="B46" s="292" t="s">
        <v>2397</v>
      </c>
      <c r="C46" s="293" t="e">
        <f ca="1">ROUND((C33+C39)*F27,0)</f>
        <v>#N/A</v>
      </c>
      <c r="D46" s="307"/>
      <c r="E46" s="280"/>
      <c r="F46" s="290"/>
      <c r="G46" s="291"/>
    </row>
    <row r="47" spans="1:7" s="258" customFormat="1" ht="13.5" customHeight="1">
      <c r="A47" s="940" t="s">
        <v>792</v>
      </c>
      <c r="B47" s="292" t="s">
        <v>2398</v>
      </c>
      <c r="C47" s="282" t="e">
        <f ca="1">ROUND(C40*F27,4)</f>
        <v>#N/A</v>
      </c>
      <c r="D47" s="307"/>
      <c r="E47" s="280"/>
      <c r="F47" s="290"/>
      <c r="G47" s="291"/>
    </row>
    <row r="48" spans="1:7" s="258" customFormat="1" ht="13.5" customHeight="1">
      <c r="A48" s="299" t="s">
        <v>2360</v>
      </c>
      <c r="B48" s="254" t="s">
        <v>2399</v>
      </c>
      <c r="C48" s="1707">
        <f>ROUND(F30/(1+'数据-取费表'!C42),4)</f>
        <v>5.33E-2</v>
      </c>
      <c r="D48" s="280" t="s">
        <v>2387</v>
      </c>
      <c r="E48" s="276"/>
      <c r="F48" s="281"/>
      <c r="G48" s="278" t="s">
        <v>2400</v>
      </c>
    </row>
    <row r="49" spans="1:7" ht="16.5" customHeight="1">
      <c r="A49" s="299" t="s">
        <v>2366</v>
      </c>
      <c r="B49" s="254" t="s">
        <v>2401</v>
      </c>
      <c r="C49" s="276" t="e">
        <f ca="1">ROUND((C33+C39+C41+C45)/(1-C40-D41-D45-C48),0)</f>
        <v>#N/A</v>
      </c>
      <c r="D49" s="276"/>
      <c r="E49" s="276"/>
      <c r="F49" s="308"/>
      <c r="G49" s="278" t="s">
        <v>2402</v>
      </c>
    </row>
    <row r="50" spans="1:7" s="302" customFormat="1" ht="24">
      <c r="A50" s="299" t="s">
        <v>2403</v>
      </c>
      <c r="B50" s="254" t="s">
        <v>2404</v>
      </c>
      <c r="C50" s="276"/>
      <c r="D50" s="276"/>
      <c r="E50" s="276"/>
      <c r="F50" s="308">
        <f>IF('数据-取费表'!B24=0,'数据-取费表'!N16,1)</f>
        <v>0.95</v>
      </c>
      <c r="G50" s="291" t="s">
        <v>2405</v>
      </c>
    </row>
    <row r="51" spans="1:7" ht="16.5" customHeight="1">
      <c r="A51" s="299" t="s">
        <v>2406</v>
      </c>
      <c r="B51" s="254" t="s">
        <v>2407</v>
      </c>
      <c r="C51" s="276" t="e">
        <f ca="1">ROUND(C49*F50,0)</f>
        <v>#N/A</v>
      </c>
      <c r="D51" s="276"/>
      <c r="E51" s="276"/>
      <c r="F51" s="308"/>
      <c r="G51" s="278" t="s">
        <v>2408</v>
      </c>
    </row>
    <row r="52" spans="1:7" s="252" customFormat="1" ht="16.8" thickBot="1">
      <c r="A52" s="309" t="s">
        <v>2409</v>
      </c>
      <c r="B52" s="310"/>
      <c r="C52" s="311" t="e">
        <f ca="1">C31+C51</f>
        <v>#N/A</v>
      </c>
      <c r="D52" s="310"/>
      <c r="E52" s="310"/>
      <c r="F52" s="310"/>
      <c r="G52" s="312"/>
    </row>
    <row r="55" spans="1:7" ht="15">
      <c r="B55" s="314" t="s">
        <v>2410</v>
      </c>
      <c r="C55" s="315"/>
    </row>
    <row r="56" spans="1:7">
      <c r="B56" s="317" t="s">
        <v>1497</v>
      </c>
      <c r="C56" s="319" t="e">
        <f ca="1">1-C57</f>
        <v>#N/A</v>
      </c>
    </row>
    <row r="57" spans="1:7">
      <c r="B57" s="317" t="s">
        <v>1498</v>
      </c>
      <c r="C57" s="318"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topLeftCell="A25" zoomScale="90" zoomScaleNormal="90" workbookViewId="0">
      <selection activeCell="C48" sqref="C48"/>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7" style="402" customWidth="1"/>
    <col min="6" max="6" width="12.21875" style="402" customWidth="1"/>
    <col min="7" max="7" width="16.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2511</v>
      </c>
      <c r="B1" s="2552" t="s">
        <v>2625</v>
      </c>
      <c r="C1" s="1613" t="s">
        <v>2513</v>
      </c>
      <c r="D1" s="1600" t="s">
        <v>1362</v>
      </c>
      <c r="E1" s="2627"/>
      <c r="F1" s="2554" t="s">
        <v>3040</v>
      </c>
      <c r="G1" s="1610" t="s">
        <v>2626</v>
      </c>
      <c r="H1" s="1609"/>
      <c r="I1" s="1609"/>
      <c r="J1" s="1609"/>
      <c r="K1" s="1611"/>
      <c r="L1" s="1612"/>
      <c r="M1" s="1613"/>
      <c r="N1" s="1613"/>
      <c r="O1" s="1613"/>
      <c r="P1" s="2628"/>
      <c r="Q1" s="2629"/>
      <c r="R1" s="2629"/>
      <c r="S1" s="2629"/>
      <c r="T1" s="2629"/>
      <c r="U1" s="2629"/>
      <c r="V1" s="2629"/>
      <c r="W1" s="2629"/>
      <c r="X1" s="2629"/>
      <c r="Y1" s="2629"/>
      <c r="Z1" s="2629"/>
      <c r="AA1" s="2629"/>
      <c r="AB1" s="2629"/>
      <c r="AC1" s="2630"/>
    </row>
    <row r="2" spans="1:29" s="397" customFormat="1" ht="28.5" customHeight="1" thickTop="1">
      <c r="A2" s="1596" t="s">
        <v>2310</v>
      </c>
      <c r="B2" s="1398">
        <f>IF(C2="——",ROUND(C49*D3/10000,0),ROUND(C49*D3/10000,0)-D2)</f>
        <v>112110</v>
      </c>
      <c r="C2" s="2556" t="s">
        <v>70</v>
      </c>
      <c r="D2" s="1346" t="e">
        <f ca="1">SUMIF(INDIRECT("'"&amp;F2&amp;"'"&amp;"!A:A"),"承租人权益价值",INDIRECT("'"&amp;F2&amp;"'"&amp;"!c:c"))</f>
        <v>#REF!</v>
      </c>
      <c r="E2" s="2557" t="s">
        <v>2311</v>
      </c>
      <c r="F2" s="2558"/>
      <c r="G2" s="1107"/>
      <c r="H2" s="1107"/>
      <c r="I2" s="1107"/>
      <c r="J2" s="1107"/>
      <c r="K2" s="1107"/>
      <c r="L2" s="1110"/>
      <c r="M2" s="1111"/>
      <c r="N2" s="1111"/>
      <c r="O2" s="1111"/>
      <c r="P2" s="2631"/>
      <c r="Q2" s="1111"/>
      <c r="R2" s="1111"/>
      <c r="S2" s="1111"/>
      <c r="T2" s="1111"/>
      <c r="U2" s="1111"/>
      <c r="V2" s="1111"/>
      <c r="W2" s="1111"/>
      <c r="X2" s="1111"/>
      <c r="Y2" s="1111"/>
      <c r="Z2" s="1111"/>
      <c r="AA2" s="1111"/>
      <c r="AB2" s="1111"/>
      <c r="AC2" s="2632"/>
    </row>
    <row r="3" spans="1:29" s="397" customFormat="1" ht="28.5" customHeight="1" thickBot="1">
      <c r="A3" s="247" t="s">
        <v>2312</v>
      </c>
      <c r="B3" s="608">
        <f>IF(C2="——",C49,ROUND(B2*10000/D3,0))</f>
        <v>112630</v>
      </c>
      <c r="C3" s="399" t="s">
        <v>2627</v>
      </c>
      <c r="D3" s="398">
        <f>IF(D1="",'数据-汇总表'!E3,SUMIF('数据-汇总表'!$C19:$C33,D1,'数据-汇总表'!$E19:$E33))</f>
        <v>9953.84</v>
      </c>
      <c r="E3" s="2633"/>
      <c r="F3" s="1108"/>
      <c r="G3" s="1107"/>
      <c r="H3" s="1107"/>
      <c r="I3" s="1107"/>
      <c r="J3" s="1107"/>
      <c r="K3" s="1109"/>
      <c r="L3" s="1110"/>
      <c r="M3" s="1111"/>
      <c r="N3" s="1111"/>
      <c r="O3" s="1111"/>
      <c r="P3" s="2631"/>
      <c r="Q3" s="1111"/>
      <c r="R3" s="1111"/>
      <c r="S3" s="1111"/>
      <c r="T3" s="1111"/>
      <c r="U3" s="1111"/>
      <c r="V3" s="1111"/>
      <c r="W3" s="1111"/>
      <c r="X3" s="1111"/>
      <c r="Y3" s="1111"/>
      <c r="Z3" s="1111"/>
      <c r="AA3" s="1111"/>
      <c r="AB3" s="1111"/>
      <c r="AC3" s="2633"/>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665" t="s">
        <v>2634</v>
      </c>
      <c r="Q4" s="3666"/>
      <c r="R4" s="3671" t="s">
        <v>2630</v>
      </c>
      <c r="S4" s="3672"/>
      <c r="T4" s="3671" t="s">
        <v>2631</v>
      </c>
      <c r="U4" s="3672"/>
      <c r="V4" s="3656" t="s">
        <v>2632</v>
      </c>
      <c r="W4" s="3656"/>
      <c r="X4" s="1791"/>
      <c r="Y4" s="3671" t="s">
        <v>2634</v>
      </c>
      <c r="Z4" s="3672"/>
      <c r="AA4" s="3658" t="s">
        <v>2630</v>
      </c>
      <c r="AB4" s="3656" t="s">
        <v>2631</v>
      </c>
      <c r="AC4" s="3658" t="s">
        <v>2632</v>
      </c>
    </row>
    <row r="5" spans="1:29" ht="14.4">
      <c r="A5" s="403"/>
      <c r="B5" s="404"/>
      <c r="C5" s="3684" t="s">
        <v>3421</v>
      </c>
      <c r="D5" s="3680"/>
      <c r="E5" s="3687" t="s">
        <v>3426</v>
      </c>
      <c r="F5" s="3688"/>
      <c r="G5" s="3679" t="s">
        <v>3427</v>
      </c>
      <c r="H5" s="3680"/>
      <c r="I5" s="3679" t="s">
        <v>3428</v>
      </c>
      <c r="J5" s="3680"/>
      <c r="K5" s="609"/>
      <c r="L5" s="1112"/>
      <c r="M5" s="1113"/>
      <c r="N5" s="1113"/>
      <c r="O5" s="1113"/>
      <c r="P5" s="3667"/>
      <c r="Q5" s="3668"/>
      <c r="R5" s="3673"/>
      <c r="S5" s="3674"/>
      <c r="T5" s="3673"/>
      <c r="U5" s="3674"/>
      <c r="V5" s="3656"/>
      <c r="W5" s="3656"/>
      <c r="X5" s="1791"/>
      <c r="Y5" s="3673"/>
      <c r="Z5" s="3674"/>
      <c r="AA5" s="3659"/>
      <c r="AB5" s="3656"/>
      <c r="AC5" s="3659"/>
    </row>
    <row r="6" spans="1:29" ht="15" thickBot="1">
      <c r="A6" s="405"/>
      <c r="B6" s="406"/>
      <c r="C6" s="3677" t="s">
        <v>2529</v>
      </c>
      <c r="D6" s="3678"/>
      <c r="E6" s="3685" t="s">
        <v>2529</v>
      </c>
      <c r="F6" s="3686"/>
      <c r="G6" s="3677" t="s">
        <v>2529</v>
      </c>
      <c r="H6" s="3678"/>
      <c r="I6" s="3677" t="s">
        <v>2529</v>
      </c>
      <c r="J6" s="3678"/>
      <c r="K6" s="609" t="s">
        <v>2530</v>
      </c>
      <c r="L6" s="1112"/>
      <c r="M6" s="1113"/>
      <c r="N6" s="1113"/>
      <c r="O6" s="1113"/>
      <c r="P6" s="3669"/>
      <c r="Q6" s="3670"/>
      <c r="R6" s="3673"/>
      <c r="S6" s="3674"/>
      <c r="T6" s="3675"/>
      <c r="U6" s="3676"/>
      <c r="V6" s="3656"/>
      <c r="W6" s="3656"/>
      <c r="X6" s="1791"/>
      <c r="Y6" s="3675"/>
      <c r="Z6" s="3676"/>
      <c r="AA6" s="3660"/>
      <c r="AB6" s="3656"/>
      <c r="AC6" s="3660"/>
    </row>
    <row r="7" spans="1:29" s="117" customFormat="1" ht="15" thickBot="1">
      <c r="A7" s="407" t="s">
        <v>2531</v>
      </c>
      <c r="B7" s="408"/>
      <c r="C7" s="409">
        <f>'数据-取费表'!B2</f>
        <v>43903</v>
      </c>
      <c r="D7" s="410">
        <v>100</v>
      </c>
      <c r="E7" s="411">
        <v>43891</v>
      </c>
      <c r="F7" s="412">
        <f>SUMIF(58:58,YEAR(E7)&amp;"-"&amp;MONTH(E7),59:59)</f>
        <v>100</v>
      </c>
      <c r="G7" s="411">
        <v>43891</v>
      </c>
      <c r="H7" s="410">
        <f>SUMIF(58:58,YEAR(G7)&amp;"-"&amp;MONTH(G7),59:59)</f>
        <v>100</v>
      </c>
      <c r="I7" s="411">
        <v>43891</v>
      </c>
      <c r="J7" s="410">
        <f>SUMIF(58:58,YEAR(I7)&amp;"-"&amp;MONTH(I7),59:59)</f>
        <v>100</v>
      </c>
      <c r="K7" s="610"/>
      <c r="L7" s="1114"/>
      <c r="M7" s="1115"/>
      <c r="N7" s="1115"/>
      <c r="O7" s="1115"/>
      <c r="P7" s="3681" t="s">
        <v>2532</v>
      </c>
      <c r="Q7" s="3683"/>
      <c r="R7" s="766" t="s">
        <v>17</v>
      </c>
      <c r="S7" s="767">
        <f t="shared" ref="S7:S15" si="0">F7</f>
        <v>100</v>
      </c>
      <c r="T7" s="766" t="s">
        <v>17</v>
      </c>
      <c r="U7" s="767">
        <f t="shared" ref="U7:U15" si="1">H7</f>
        <v>100</v>
      </c>
      <c r="V7" s="766" t="s">
        <v>17</v>
      </c>
      <c r="W7" s="767">
        <f t="shared" ref="W7:W15" si="2">J7</f>
        <v>100</v>
      </c>
      <c r="X7" s="768"/>
      <c r="Y7" s="3681" t="s">
        <v>2532</v>
      </c>
      <c r="Z7" s="3682"/>
      <c r="AA7" s="769">
        <f>D7/F7</f>
        <v>1</v>
      </c>
      <c r="AB7" s="769">
        <f>D7/H7</f>
        <v>1</v>
      </c>
      <c r="AC7" s="769">
        <f>D7/J7</f>
        <v>1</v>
      </c>
    </row>
    <row r="8" spans="1:29" s="117" customFormat="1" ht="15" thickBot="1">
      <c r="A8" s="407" t="s">
        <v>2533</v>
      </c>
      <c r="B8" s="408"/>
      <c r="C8" s="413" t="s">
        <v>2635</v>
      </c>
      <c r="D8" s="410">
        <v>100</v>
      </c>
      <c r="E8" s="413" t="s">
        <v>3042</v>
      </c>
      <c r="F8" s="412">
        <f>SUMIF(61:61,E8,62:62)-SUMIF(61:61,C8,62:62)+100</f>
        <v>100</v>
      </c>
      <c r="G8" s="413" t="s">
        <v>3042</v>
      </c>
      <c r="H8" s="410">
        <f>SUMIF(61:61,G8,62:62)-SUMIF(61:61,C8,62:62)+100</f>
        <v>100</v>
      </c>
      <c r="I8" s="413" t="s">
        <v>3042</v>
      </c>
      <c r="J8" s="410">
        <f>SUMIF(61:61,I8,62:62)-SUMIF(61:61,C8,62:62)+100</f>
        <v>100</v>
      </c>
      <c r="K8" s="610"/>
      <c r="L8" s="1114"/>
      <c r="M8" s="1115"/>
      <c r="N8" s="1115"/>
      <c r="O8" s="1115"/>
      <c r="P8" s="3681" t="s">
        <v>2535</v>
      </c>
      <c r="Q8" s="3682"/>
      <c r="R8" s="766" t="s">
        <v>17</v>
      </c>
      <c r="S8" s="767">
        <f t="shared" si="0"/>
        <v>100</v>
      </c>
      <c r="T8" s="766" t="s">
        <v>17</v>
      </c>
      <c r="U8" s="767">
        <f t="shared" si="1"/>
        <v>100</v>
      </c>
      <c r="V8" s="766" t="s">
        <v>17</v>
      </c>
      <c r="W8" s="767">
        <f t="shared" si="2"/>
        <v>100</v>
      </c>
      <c r="X8" s="768"/>
      <c r="Y8" s="3681" t="s">
        <v>2535</v>
      </c>
      <c r="Z8" s="3682"/>
      <c r="AA8" s="769">
        <f t="shared" ref="AA8:AA46" si="3">D8/F8</f>
        <v>1</v>
      </c>
      <c r="AB8" s="769">
        <f t="shared" ref="AB8:AB46" si="4">D8/H8</f>
        <v>1</v>
      </c>
      <c r="AC8" s="769">
        <f t="shared" ref="AC8:AC46" si="5">D8/J8</f>
        <v>1</v>
      </c>
    </row>
    <row r="9" spans="1:29" s="117" customFormat="1" ht="14.4">
      <c r="A9" s="414" t="s">
        <v>2536</v>
      </c>
      <c r="B9" s="71" t="s">
        <v>2537</v>
      </c>
      <c r="C9" s="2962" t="s">
        <v>3054</v>
      </c>
      <c r="D9" s="135">
        <v>100</v>
      </c>
      <c r="E9" s="416" t="s">
        <v>1362</v>
      </c>
      <c r="F9" s="417">
        <f>SUMIF(63:63,E9,64:64)-SUMIF(63:63,C9,64:64)+100</f>
        <v>100</v>
      </c>
      <c r="G9" s="416" t="s">
        <v>1362</v>
      </c>
      <c r="H9" s="135">
        <f>SUMIF(63:63,G9,64:64)-SUMIF(63:63,C9,64:64)+100</f>
        <v>100</v>
      </c>
      <c r="I9" s="416" t="s">
        <v>1362</v>
      </c>
      <c r="J9" s="135">
        <f>SUMIF(63:63,I9,64:64)-SUMIF(63:63,C9,64:64)+100</f>
        <v>100</v>
      </c>
      <c r="K9" s="610"/>
      <c r="L9" s="1114"/>
      <c r="M9" s="1115"/>
      <c r="N9" s="1115"/>
      <c r="O9" s="1115"/>
      <c r="P9" s="3657" t="s">
        <v>2538</v>
      </c>
      <c r="Q9" s="1773" t="str">
        <f t="shared" ref="Q9:Q15" si="6">B9</f>
        <v>用途</v>
      </c>
      <c r="R9" s="766" t="s">
        <v>17</v>
      </c>
      <c r="S9" s="767">
        <f t="shared" si="0"/>
        <v>100</v>
      </c>
      <c r="T9" s="766" t="s">
        <v>17</v>
      </c>
      <c r="U9" s="767">
        <f t="shared" si="1"/>
        <v>100</v>
      </c>
      <c r="V9" s="766" t="s">
        <v>17</v>
      </c>
      <c r="W9" s="767">
        <f t="shared" si="2"/>
        <v>100</v>
      </c>
      <c r="X9" s="768"/>
      <c r="Y9" s="3486" t="s">
        <v>2539</v>
      </c>
      <c r="Z9" s="55" t="str">
        <f t="shared" ref="Z9:Z15" si="7">Q9</f>
        <v>用途</v>
      </c>
      <c r="AA9" s="769">
        <f t="shared" si="3"/>
        <v>1</v>
      </c>
      <c r="AB9" s="769">
        <f t="shared" si="4"/>
        <v>1</v>
      </c>
      <c r="AC9" s="769">
        <f t="shared" si="5"/>
        <v>1</v>
      </c>
    </row>
    <row r="10" spans="1:29" s="426" customFormat="1" ht="28.8">
      <c r="A10" s="420"/>
      <c r="B10" s="421" t="s">
        <v>2540</v>
      </c>
      <c r="C10" s="422" t="s">
        <v>3174</v>
      </c>
      <c r="D10" s="136">
        <v>100</v>
      </c>
      <c r="E10" s="422" t="s">
        <v>3174</v>
      </c>
      <c r="F10" s="424">
        <f>SUMIF(65:65,E10,66:66)-SUMIF(65:65,C10,66:66)+100</f>
        <v>100</v>
      </c>
      <c r="G10" s="422" t="s">
        <v>3174</v>
      </c>
      <c r="H10" s="136">
        <f>SUMIF(65:65,G10,66:66)-SUMIF(65:65,C10,66:66)+100</f>
        <v>100</v>
      </c>
      <c r="I10" s="422" t="s">
        <v>3174</v>
      </c>
      <c r="J10" s="136">
        <f>SUMIF(65:65,I10,66:66)-SUMIF(65:65,C10,66:66)+100</f>
        <v>100</v>
      </c>
      <c r="K10" s="611"/>
      <c r="L10" s="1117"/>
      <c r="M10" s="1118"/>
      <c r="N10" s="1118"/>
      <c r="O10" s="1118"/>
      <c r="P10" s="3657"/>
      <c r="Q10" s="1773" t="str">
        <f t="shared" si="6"/>
        <v>土地使用年限（年）</v>
      </c>
      <c r="R10" s="766" t="s">
        <v>17</v>
      </c>
      <c r="S10" s="767">
        <f t="shared" si="0"/>
        <v>100</v>
      </c>
      <c r="T10" s="766" t="s">
        <v>17</v>
      </c>
      <c r="U10" s="767">
        <f t="shared" si="1"/>
        <v>100</v>
      </c>
      <c r="V10" s="766" t="s">
        <v>17</v>
      </c>
      <c r="W10" s="767">
        <f t="shared" si="2"/>
        <v>100</v>
      </c>
      <c r="X10" s="768"/>
      <c r="Y10" s="3486"/>
      <c r="Z10" s="55" t="str">
        <f t="shared" si="7"/>
        <v>土地使用年限（年）</v>
      </c>
      <c r="AA10" s="769">
        <f t="shared" si="3"/>
        <v>1</v>
      </c>
      <c r="AB10" s="769">
        <f t="shared" si="4"/>
        <v>1</v>
      </c>
      <c r="AC10" s="769">
        <f t="shared" si="5"/>
        <v>1</v>
      </c>
    </row>
    <row r="11" spans="1:29" ht="15">
      <c r="A11" s="427"/>
      <c r="B11" s="421" t="s">
        <v>2541</v>
      </c>
      <c r="C11" s="428"/>
      <c r="D11" s="136">
        <v>100</v>
      </c>
      <c r="E11" s="428"/>
      <c r="F11" s="424">
        <f>LOOKUP(E11,68:68,69:69)-LOOKUP(C11,68:68,69:69)+100</f>
        <v>100</v>
      </c>
      <c r="G11" s="428"/>
      <c r="H11" s="136">
        <f>LOOKUP(G11,68:68,69:69)-LOOKUP(C11,68:68,69:69)+100</f>
        <v>100</v>
      </c>
      <c r="I11" s="428"/>
      <c r="J11" s="136">
        <f>LOOKUP(I11,68:68,69:69)-LOOKUP(C11,68:68,69:69)+100</f>
        <v>100</v>
      </c>
      <c r="K11" s="611"/>
      <c r="L11" s="1120"/>
      <c r="M11" s="1113"/>
      <c r="N11" s="1113"/>
      <c r="O11" s="1113"/>
      <c r="P11" s="3657"/>
      <c r="Q11" s="1773" t="str">
        <f t="shared" si="6"/>
        <v>容积率</v>
      </c>
      <c r="R11" s="766" t="s">
        <v>17</v>
      </c>
      <c r="S11" s="767">
        <f t="shared" si="0"/>
        <v>100</v>
      </c>
      <c r="T11" s="766" t="s">
        <v>17</v>
      </c>
      <c r="U11" s="767">
        <f t="shared" si="1"/>
        <v>100</v>
      </c>
      <c r="V11" s="766" t="s">
        <v>17</v>
      </c>
      <c r="W11" s="767">
        <f t="shared" si="2"/>
        <v>100</v>
      </c>
      <c r="X11" s="768"/>
      <c r="Y11" s="3486"/>
      <c r="Z11" s="55" t="str">
        <f t="shared" si="7"/>
        <v>容积率</v>
      </c>
      <c r="AA11" s="769">
        <f t="shared" si="3"/>
        <v>1</v>
      </c>
      <c r="AB11" s="769">
        <f t="shared" si="4"/>
        <v>1</v>
      </c>
      <c r="AC11" s="769">
        <f t="shared" si="5"/>
        <v>1</v>
      </c>
    </row>
    <row r="12" spans="1:29" s="117" customFormat="1" ht="15">
      <c r="A12" s="430"/>
      <c r="B12" s="2570">
        <v>111</v>
      </c>
      <c r="C12" s="431"/>
      <c r="D12" s="432">
        <v>100</v>
      </c>
      <c r="E12" s="433"/>
      <c r="F12" s="424">
        <f>SUMIF(70:70,E12,71:71)-SUMIF(70:70,C12,71:71)+100</f>
        <v>100</v>
      </c>
      <c r="G12" s="433"/>
      <c r="H12" s="136">
        <f>SUMIF(70:70,G12,71:71)-SUMIF(70:70,C12,71:71)+100</f>
        <v>100</v>
      </c>
      <c r="I12" s="433"/>
      <c r="J12" s="136">
        <f>SUMIF(70:70,I12,71:71)-SUMIF(70:70,C12,71:71)+100</f>
        <v>100</v>
      </c>
      <c r="K12" s="612"/>
      <c r="L12" s="1114"/>
      <c r="M12" s="1115"/>
      <c r="N12" s="1115"/>
      <c r="O12" s="1115"/>
      <c r="P12" s="3657"/>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769">
        <f>D12/J12</f>
        <v>1</v>
      </c>
    </row>
    <row r="13" spans="1:29" ht="15">
      <c r="A13" s="427"/>
      <c r="B13" s="2570">
        <v>111</v>
      </c>
      <c r="C13" s="433"/>
      <c r="D13" s="434">
        <v>100</v>
      </c>
      <c r="E13" s="433"/>
      <c r="F13" s="424">
        <f>SUMIF(72:72,E13,73:73)-SUMIF(72:72,C13,73:73)+100</f>
        <v>100</v>
      </c>
      <c r="G13" s="433"/>
      <c r="H13" s="434">
        <f>SUMIF(72:72,G13,73:73)-SUMIF(72:72,C13,73:73)+100</f>
        <v>100</v>
      </c>
      <c r="I13" s="433"/>
      <c r="J13" s="434">
        <f>SUMIF(72:72,I13,73:73)-SUMIF(72:72,C13,73:73)+100</f>
        <v>100</v>
      </c>
      <c r="K13" s="612"/>
      <c r="L13" s="1122"/>
      <c r="M13" s="1113"/>
      <c r="N13" s="1113"/>
      <c r="O13" s="1113"/>
      <c r="P13" s="3657"/>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769">
        <f t="shared" si="5"/>
        <v>1</v>
      </c>
    </row>
    <row r="14" spans="1:29" ht="15.6" thickBot="1">
      <c r="A14" s="435"/>
      <c r="B14" s="2572">
        <v>111</v>
      </c>
      <c r="C14" s="436"/>
      <c r="D14" s="437">
        <v>100</v>
      </c>
      <c r="E14" s="433"/>
      <c r="F14" s="438">
        <f>SUMIF(74:74,E14,75:75)-SUMIF(74:74,C14,75:75)+100</f>
        <v>100</v>
      </c>
      <c r="G14" s="433"/>
      <c r="H14" s="437">
        <f>SUMIF(74:74,G14,75:75)-SUMIF(74:74,C14,75:75)+100</f>
        <v>100</v>
      </c>
      <c r="I14" s="433"/>
      <c r="J14" s="437">
        <f>SUMIF(74:74,I14,75:75)-SUMIF(74:74,C14,75:75)+100</f>
        <v>100</v>
      </c>
      <c r="K14" s="612"/>
      <c r="L14" s="1122"/>
      <c r="M14" s="1113"/>
      <c r="N14" s="1113"/>
      <c r="O14" s="1113"/>
      <c r="P14" s="3657"/>
      <c r="Q14" s="1773">
        <f t="shared" si="6"/>
        <v>111</v>
      </c>
      <c r="R14" s="766" t="s">
        <v>17</v>
      </c>
      <c r="S14" s="767">
        <f t="shared" si="0"/>
        <v>100</v>
      </c>
      <c r="T14" s="766" t="s">
        <v>17</v>
      </c>
      <c r="U14" s="767">
        <f t="shared" si="1"/>
        <v>100</v>
      </c>
      <c r="V14" s="766" t="s">
        <v>17</v>
      </c>
      <c r="W14" s="767">
        <f t="shared" si="2"/>
        <v>100</v>
      </c>
      <c r="X14" s="768"/>
      <c r="Y14" s="3486"/>
      <c r="Z14" s="55">
        <f t="shared" si="7"/>
        <v>111</v>
      </c>
      <c r="AA14" s="769">
        <f t="shared" si="3"/>
        <v>1</v>
      </c>
      <c r="AB14" s="769">
        <f t="shared" si="4"/>
        <v>1</v>
      </c>
      <c r="AC14" s="769">
        <f t="shared" si="5"/>
        <v>1</v>
      </c>
    </row>
    <row r="15" spans="1:29" ht="86.4">
      <c r="A15" s="439" t="s">
        <v>2542</v>
      </c>
      <c r="B15" s="69" t="s">
        <v>2636</v>
      </c>
      <c r="C15" s="2573" t="str">
        <f>估价对象房地状况!C4</f>
        <v>估价对象位于天府广场商圈，周边商业氛围成熟，人流量大，商业繁华度好</v>
      </c>
      <c r="D15" s="440">
        <v>100</v>
      </c>
      <c r="E15" s="2961" t="str">
        <f>C15</f>
        <v>估价对象位于天府广场商圈，周边商业氛围成熟，人流量大，商业繁华度好</v>
      </c>
      <c r="F15" s="442">
        <f>SUMIF(76:76,E16,77:77)-SUMIF(76:76,C16,77:77)+100</f>
        <v>102</v>
      </c>
      <c r="G15" s="2961" t="str">
        <f>E15</f>
        <v>估价对象位于天府广场商圈，周边商业氛围成熟，人流量大，商业繁华度好</v>
      </c>
      <c r="H15" s="440">
        <f>SUMIF(76:76,G16,77:77)-SUMIF(76:76,C16,77:77)+100</f>
        <v>102</v>
      </c>
      <c r="I15" s="2961" t="str">
        <f>G15</f>
        <v>估价对象位于天府广场商圈，周边商业氛围成熟，人流量大，商业繁华度好</v>
      </c>
      <c r="J15" s="440">
        <f>SUMIF(76:76,I16,77:77)-SUMIF(76:76,C16,77:77)+100</f>
        <v>102</v>
      </c>
      <c r="K15" s="613">
        <v>2</v>
      </c>
      <c r="L15" s="1122"/>
      <c r="M15" s="1113"/>
      <c r="N15" s="1113"/>
      <c r="O15" s="1113"/>
      <c r="P15" s="3647" t="s">
        <v>2543</v>
      </c>
      <c r="Q15" s="1788" t="str">
        <f t="shared" si="6"/>
        <v>商业繁华度</v>
      </c>
      <c r="R15" s="770" t="s">
        <v>17</v>
      </c>
      <c r="S15" s="771">
        <f t="shared" si="0"/>
        <v>102</v>
      </c>
      <c r="T15" s="770" t="s">
        <v>17</v>
      </c>
      <c r="U15" s="771">
        <f t="shared" si="1"/>
        <v>102</v>
      </c>
      <c r="V15" s="770" t="s">
        <v>17</v>
      </c>
      <c r="W15" s="771">
        <f t="shared" si="2"/>
        <v>102</v>
      </c>
      <c r="X15" s="1791"/>
      <c r="Y15" s="3649" t="s">
        <v>2543</v>
      </c>
      <c r="Z15" s="1792" t="str">
        <f t="shared" si="7"/>
        <v>商业繁华度</v>
      </c>
      <c r="AA15" s="1789">
        <f t="shared" si="3"/>
        <v>0.98039215686274506</v>
      </c>
      <c r="AB15" s="1789">
        <f t="shared" si="4"/>
        <v>0.98039215686274506</v>
      </c>
      <c r="AC15" s="1789">
        <f t="shared" si="5"/>
        <v>0.98039215686274506</v>
      </c>
    </row>
    <row r="16" spans="1:29" ht="15">
      <c r="A16" s="427"/>
      <c r="B16" s="445"/>
      <c r="C16" s="446" t="s">
        <v>3048</v>
      </c>
      <c r="D16" s="447"/>
      <c r="E16" s="446" t="s">
        <v>3047</v>
      </c>
      <c r="F16" s="448"/>
      <c r="G16" s="446" t="s">
        <v>3047</v>
      </c>
      <c r="H16" s="449"/>
      <c r="I16" s="446" t="s">
        <v>3047</v>
      </c>
      <c r="J16" s="447"/>
      <c r="K16" s="614"/>
      <c r="L16" s="1122"/>
      <c r="M16" s="1113"/>
      <c r="N16" s="1113"/>
      <c r="O16" s="1113"/>
      <c r="P16" s="3648"/>
      <c r="Q16" s="1788"/>
      <c r="R16" s="770"/>
      <c r="S16" s="771"/>
      <c r="T16" s="770"/>
      <c r="U16" s="771"/>
      <c r="V16" s="770"/>
      <c r="W16" s="771"/>
      <c r="X16" s="1791"/>
      <c r="Y16" s="3650"/>
      <c r="Z16" s="1792"/>
      <c r="AA16" s="1789">
        <v>1</v>
      </c>
      <c r="AB16" s="1789">
        <v>1</v>
      </c>
      <c r="AC16" s="1789">
        <v>1</v>
      </c>
    </row>
    <row r="17" spans="1:29" ht="144">
      <c r="A17" s="427"/>
      <c r="B17" s="450" t="s">
        <v>2080</v>
      </c>
      <c r="C17" s="2577" t="str">
        <f>估价对象房地状况!C6</f>
        <v>估价对象周边道路状况较好、地铁14、15号线通过，公共交通通达情况较好、停车便捷程度较好，综合评价交通便捷度较好</v>
      </c>
      <c r="D17" s="449">
        <v>100</v>
      </c>
      <c r="E17" s="2963" t="str">
        <f>C17</f>
        <v>估价对象周边道路状况较好、地铁14、15号线通过，公共交通通达情况较好、停车便捷程度较好，综合评价交通便捷度较好</v>
      </c>
      <c r="F17" s="452">
        <f>SUMIF(78:78,E18,79:79)-SUMIF(78:78,C18,79:79)+100</f>
        <v>100</v>
      </c>
      <c r="G17" s="2963" t="str">
        <f>E17</f>
        <v>估价对象周边道路状况较好、地铁14、15号线通过，公共交通通达情况较好、停车便捷程度较好，综合评价交通便捷度较好</v>
      </c>
      <c r="H17" s="454">
        <f>SUMIF(78:78,G18,79:79)-SUMIF(78:78,C18,79:79)+100</f>
        <v>100</v>
      </c>
      <c r="I17" s="2963" t="str">
        <f>G17</f>
        <v>估价对象周边道路状况较好、地铁14、15号线通过，公共交通通达情况较好、停车便捷程度较好，综合评价交通便捷度较好</v>
      </c>
      <c r="J17" s="454">
        <f>SUMIF(78:78,I18,79:79)-SUMIF(78:78,C18,79:79)+100</f>
        <v>100</v>
      </c>
      <c r="K17" s="613">
        <v>2</v>
      </c>
      <c r="L17" s="1122"/>
      <c r="M17" s="1113"/>
      <c r="N17" s="1113"/>
      <c r="O17" s="1113"/>
      <c r="P17" s="3648"/>
      <c r="Q17" s="1788" t="str">
        <f>B17</f>
        <v>交通便捷度</v>
      </c>
      <c r="R17" s="770" t="s">
        <v>17</v>
      </c>
      <c r="S17" s="771">
        <f>F17</f>
        <v>100</v>
      </c>
      <c r="T17" s="770" t="s">
        <v>17</v>
      </c>
      <c r="U17" s="771">
        <f>H17</f>
        <v>100</v>
      </c>
      <c r="V17" s="770" t="s">
        <v>17</v>
      </c>
      <c r="W17" s="771">
        <f>J17</f>
        <v>100</v>
      </c>
      <c r="X17" s="1791"/>
      <c r="Y17" s="3650"/>
      <c r="Z17" s="1792" t="str">
        <f>Q17</f>
        <v>交通便捷度</v>
      </c>
      <c r="AA17" s="1789">
        <f t="shared" si="3"/>
        <v>1</v>
      </c>
      <c r="AB17" s="1789">
        <f t="shared" si="4"/>
        <v>1</v>
      </c>
      <c r="AC17" s="1789">
        <f t="shared" si="5"/>
        <v>1</v>
      </c>
    </row>
    <row r="18" spans="1:29" ht="15">
      <c r="A18" s="427"/>
      <c r="B18" s="455"/>
      <c r="C18" s="2578" t="s">
        <v>3048</v>
      </c>
      <c r="D18" s="449"/>
      <c r="E18" s="2578" t="s">
        <v>3048</v>
      </c>
      <c r="F18" s="452"/>
      <c r="G18" s="2578" t="s">
        <v>3048</v>
      </c>
      <c r="H18" s="447"/>
      <c r="I18" s="2578" t="s">
        <v>3048</v>
      </c>
      <c r="J18" s="447"/>
      <c r="K18" s="614"/>
      <c r="L18" s="1122"/>
      <c r="M18" s="1113"/>
      <c r="N18" s="1113"/>
      <c r="O18" s="1113"/>
      <c r="P18" s="3648"/>
      <c r="Q18" s="1788"/>
      <c r="R18" s="770"/>
      <c r="S18" s="771"/>
      <c r="T18" s="770"/>
      <c r="U18" s="771"/>
      <c r="V18" s="770"/>
      <c r="W18" s="771"/>
      <c r="X18" s="1791"/>
      <c r="Y18" s="3650"/>
      <c r="Z18" s="1792"/>
      <c r="AA18" s="1789">
        <v>1</v>
      </c>
      <c r="AB18" s="1789">
        <v>1</v>
      </c>
      <c r="AC18" s="1789">
        <v>1</v>
      </c>
    </row>
    <row r="19" spans="1:29" ht="57.6">
      <c r="A19" s="427"/>
      <c r="B19" s="450" t="s">
        <v>2637</v>
      </c>
      <c r="C19" s="2577" t="str">
        <f>估价对象房地状况!C7</f>
        <v>估价对象所在区域公共配套设施齐备情况较好</v>
      </c>
      <c r="D19" s="454">
        <v>100</v>
      </c>
      <c r="E19" s="2964" t="str">
        <f>C19</f>
        <v>估价对象所在区域公共配套设施齐备情况较好</v>
      </c>
      <c r="F19" s="457">
        <f>SUMIF(80:80,E20,81:81)-SUMIF(80:80,C20,81:81)+100</f>
        <v>100</v>
      </c>
      <c r="G19" s="2964" t="str">
        <f>E19</f>
        <v>估价对象所在区域公共配套设施齐备情况较好</v>
      </c>
      <c r="H19" s="449">
        <f>SUMIF(80:80,G20,81:81)-SUMIF(80:80,C20,81:81)+100</f>
        <v>100</v>
      </c>
      <c r="I19" s="2964" t="str">
        <f>G19</f>
        <v>估价对象所在区域公共配套设施齐备情况较好</v>
      </c>
      <c r="J19" s="449">
        <f>SUMIF(80:80,I20,81:81)-SUMIF(80:80,C20,81:81)+100</f>
        <v>100</v>
      </c>
      <c r="K19" s="613">
        <v>2</v>
      </c>
      <c r="L19" s="1122"/>
      <c r="M19" s="1113"/>
      <c r="N19" s="1113"/>
      <c r="O19" s="1113"/>
      <c r="P19" s="3648"/>
      <c r="Q19" s="1788" t="str">
        <f>B19</f>
        <v>公共配套设施</v>
      </c>
      <c r="R19" s="770" t="s">
        <v>17</v>
      </c>
      <c r="S19" s="771">
        <f>F19</f>
        <v>100</v>
      </c>
      <c r="T19" s="770" t="s">
        <v>17</v>
      </c>
      <c r="U19" s="771">
        <f>H19</f>
        <v>100</v>
      </c>
      <c r="V19" s="770" t="s">
        <v>17</v>
      </c>
      <c r="W19" s="771">
        <f>J19</f>
        <v>100</v>
      </c>
      <c r="X19" s="1791"/>
      <c r="Y19" s="3650"/>
      <c r="Z19" s="1792" t="str">
        <f>Q19</f>
        <v>公共配套设施</v>
      </c>
      <c r="AA19" s="1789">
        <f t="shared" si="3"/>
        <v>1</v>
      </c>
      <c r="AB19" s="1789">
        <f t="shared" si="4"/>
        <v>1</v>
      </c>
      <c r="AC19" s="1789">
        <f t="shared" si="5"/>
        <v>1</v>
      </c>
    </row>
    <row r="20" spans="1:29" ht="15">
      <c r="A20" s="427"/>
      <c r="B20" s="455"/>
      <c r="C20" s="446" t="s">
        <v>3048</v>
      </c>
      <c r="D20" s="447"/>
      <c r="E20" s="446" t="s">
        <v>3048</v>
      </c>
      <c r="F20" s="448"/>
      <c r="G20" s="446" t="s">
        <v>3048</v>
      </c>
      <c r="H20" s="447"/>
      <c r="I20" s="446" t="s">
        <v>3048</v>
      </c>
      <c r="J20" s="447"/>
      <c r="K20" s="614"/>
      <c r="L20" s="1122"/>
      <c r="M20" s="1113"/>
      <c r="N20" s="1113"/>
      <c r="O20" s="1113"/>
      <c r="P20" s="3648"/>
      <c r="Q20" s="1788"/>
      <c r="R20" s="770"/>
      <c r="S20" s="771"/>
      <c r="T20" s="770"/>
      <c r="U20" s="771"/>
      <c r="V20" s="770"/>
      <c r="W20" s="771"/>
      <c r="X20" s="1791"/>
      <c r="Y20" s="3650"/>
      <c r="Z20" s="1792"/>
      <c r="AA20" s="1789">
        <v>1</v>
      </c>
      <c r="AB20" s="1789">
        <v>1</v>
      </c>
      <c r="AC20" s="1789">
        <v>1</v>
      </c>
    </row>
    <row r="21" spans="1:29" ht="57.6">
      <c r="A21" s="427"/>
      <c r="B21" s="1365" t="s">
        <v>2638</v>
      </c>
      <c r="C21" s="2577" t="str">
        <f>估价对象房地状况!C8</f>
        <v>估价对象所在区域基础设施水平“七通一平</v>
      </c>
      <c r="D21" s="454">
        <v>100</v>
      </c>
      <c r="E21" s="2964" t="s">
        <v>3055</v>
      </c>
      <c r="F21" s="457">
        <f>SUMIF(82:82,E22,83:83)-SUMIF(82:82,C22,83:83)+100</f>
        <v>100</v>
      </c>
      <c r="G21" s="2964" t="s">
        <v>3055</v>
      </c>
      <c r="H21" s="449">
        <f>SUMIF(82:82,G22,83:83)-SUMIF(82:82,C22,83:83)+100</f>
        <v>100</v>
      </c>
      <c r="I21" s="2964" t="s">
        <v>3055</v>
      </c>
      <c r="J21" s="449">
        <f>SUMIF(82:82,I22,83:83)-SUMIF(82:82,C22,83:83)+100</f>
        <v>100</v>
      </c>
      <c r="K21" s="613">
        <v>1</v>
      </c>
      <c r="L21" s="1122"/>
      <c r="M21" s="1113"/>
      <c r="N21" s="1113"/>
      <c r="O21" s="1113"/>
      <c r="P21" s="3648"/>
      <c r="Q21" s="1788" t="str">
        <f>B21</f>
        <v>基础设施水平</v>
      </c>
      <c r="R21" s="770" t="s">
        <v>17</v>
      </c>
      <c r="S21" s="771">
        <f>F21</f>
        <v>100</v>
      </c>
      <c r="T21" s="770" t="s">
        <v>17</v>
      </c>
      <c r="U21" s="771">
        <f>H21</f>
        <v>100</v>
      </c>
      <c r="V21" s="770" t="s">
        <v>17</v>
      </c>
      <c r="W21" s="771">
        <f>J21</f>
        <v>100</v>
      </c>
      <c r="X21" s="1791"/>
      <c r="Y21" s="3650"/>
      <c r="Z21" s="1792" t="str">
        <f>Q21</f>
        <v>基础设施水平</v>
      </c>
      <c r="AA21" s="1789">
        <f t="shared" ref="AA21" si="8">D21/F21</f>
        <v>1</v>
      </c>
      <c r="AB21" s="1789">
        <f t="shared" ref="AB21" si="9">D21/H21</f>
        <v>1</v>
      </c>
      <c r="AC21" s="1789">
        <f t="shared" ref="AC21" si="10">D21/J21</f>
        <v>1</v>
      </c>
    </row>
    <row r="22" spans="1:29" ht="15">
      <c r="A22" s="427"/>
      <c r="B22" s="1365"/>
      <c r="C22" s="2578" t="s">
        <v>3087</v>
      </c>
      <c r="D22" s="447"/>
      <c r="E22" s="2578" t="s">
        <v>3087</v>
      </c>
      <c r="F22" s="448"/>
      <c r="G22" s="2578" t="s">
        <v>3087</v>
      </c>
      <c r="H22" s="447"/>
      <c r="I22" s="2578" t="s">
        <v>3087</v>
      </c>
      <c r="J22" s="447"/>
      <c r="K22" s="1364"/>
      <c r="L22" s="1122"/>
      <c r="M22" s="1113"/>
      <c r="N22" s="1113"/>
      <c r="O22" s="1113"/>
      <c r="P22" s="3648"/>
      <c r="Q22" s="1788"/>
      <c r="R22" s="770"/>
      <c r="S22" s="771"/>
      <c r="T22" s="770"/>
      <c r="U22" s="771"/>
      <c r="V22" s="770"/>
      <c r="W22" s="771"/>
      <c r="X22" s="1791"/>
      <c r="Y22" s="3650"/>
      <c r="Z22" s="1792"/>
      <c r="AA22" s="1789">
        <v>1</v>
      </c>
      <c r="AB22" s="1789">
        <v>1</v>
      </c>
      <c r="AC22" s="1789">
        <v>1</v>
      </c>
    </row>
    <row r="23" spans="1:29" ht="115.2">
      <c r="A23" s="427"/>
      <c r="B23" s="450" t="s">
        <v>2085</v>
      </c>
      <c r="C23" s="2634" t="str">
        <f>估价对象房地状况!C9</f>
        <v>区域自然环境：望湖公园、北小河公园；人文环境：青年政治学院；综合评价环境状况较好</v>
      </c>
      <c r="D23" s="449">
        <v>100</v>
      </c>
      <c r="E23" s="2965" t="str">
        <f>C23</f>
        <v>区域自然环境：望湖公园、北小河公园；人文环境：青年政治学院；综合评价环境状况较好</v>
      </c>
      <c r="F23" s="452">
        <f>SUMIF(84:84,E24,85:85)-SUMIF(84:84,C24,85:85)+100</f>
        <v>100</v>
      </c>
      <c r="G23" s="2965" t="str">
        <f>E23</f>
        <v>区域自然环境：望湖公园、北小河公园；人文环境：青年政治学院；综合评价环境状况较好</v>
      </c>
      <c r="H23" s="449">
        <f>SUMIF(84:84,G24,85:85)-SUMIF(84:84,C24,85:85)+100</f>
        <v>100</v>
      </c>
      <c r="I23" s="2965" t="str">
        <f>G23</f>
        <v>区域自然环境：望湖公园、北小河公园；人文环境：青年政治学院；综合评价环境状况较好</v>
      </c>
      <c r="J23" s="449">
        <f>SUMIF(84:84,I24,85:85)-SUMIF(84:84,C24,85:85)+100</f>
        <v>100</v>
      </c>
      <c r="K23" s="613">
        <v>2</v>
      </c>
      <c r="L23" s="1122"/>
      <c r="M23" s="1113"/>
      <c r="N23" s="1113"/>
      <c r="O23" s="1113"/>
      <c r="P23" s="3648"/>
      <c r="Q23" s="1788" t="str">
        <f>B23</f>
        <v>自然及人文环境</v>
      </c>
      <c r="R23" s="770" t="s">
        <v>17</v>
      </c>
      <c r="S23" s="771">
        <f>F23</f>
        <v>100</v>
      </c>
      <c r="T23" s="770" t="s">
        <v>17</v>
      </c>
      <c r="U23" s="771">
        <f>H23</f>
        <v>100</v>
      </c>
      <c r="V23" s="770" t="s">
        <v>17</v>
      </c>
      <c r="W23" s="771">
        <f>J23</f>
        <v>100</v>
      </c>
      <c r="X23" s="1791"/>
      <c r="Y23" s="3650"/>
      <c r="Z23" s="1792" t="str">
        <f>Q23</f>
        <v>自然及人文环境</v>
      </c>
      <c r="AA23" s="1789">
        <f t="shared" si="3"/>
        <v>1</v>
      </c>
      <c r="AB23" s="1789">
        <f t="shared" si="4"/>
        <v>1</v>
      </c>
      <c r="AC23" s="1789">
        <f t="shared" si="5"/>
        <v>1</v>
      </c>
    </row>
    <row r="24" spans="1:29" ht="15">
      <c r="A24" s="427"/>
      <c r="B24" s="455"/>
      <c r="C24" s="446" t="s">
        <v>3048</v>
      </c>
      <c r="D24" s="447"/>
      <c r="E24" s="446" t="s">
        <v>3048</v>
      </c>
      <c r="F24" s="448"/>
      <c r="G24" s="446" t="s">
        <v>3048</v>
      </c>
      <c r="H24" s="447"/>
      <c r="I24" s="446" t="s">
        <v>3048</v>
      </c>
      <c r="J24" s="447"/>
      <c r="K24" s="614"/>
      <c r="L24" s="1122"/>
      <c r="M24" s="1113"/>
      <c r="N24" s="1113"/>
      <c r="O24" s="1113"/>
      <c r="P24" s="3648"/>
      <c r="Q24" s="1788"/>
      <c r="R24" s="770"/>
      <c r="S24" s="771"/>
      <c r="T24" s="770"/>
      <c r="U24" s="771"/>
      <c r="V24" s="770"/>
      <c r="W24" s="771"/>
      <c r="X24" s="1791"/>
      <c r="Y24" s="3650"/>
      <c r="Z24" s="1792"/>
      <c r="AA24" s="1789">
        <v>1</v>
      </c>
      <c r="AB24" s="1789">
        <v>1</v>
      </c>
      <c r="AC24" s="1789">
        <v>1</v>
      </c>
    </row>
    <row r="25" spans="1:29" ht="15">
      <c r="A25" s="427"/>
      <c r="B25" s="421" t="s">
        <v>2639</v>
      </c>
      <c r="C25" s="615" t="s">
        <v>3053</v>
      </c>
      <c r="D25" s="434">
        <v>100</v>
      </c>
      <c r="E25" s="615" t="s">
        <v>3053</v>
      </c>
      <c r="F25" s="460">
        <f>SUMIF(86:86,E25,87:87)-SUMIF(86:86,C25,87:87)+100</f>
        <v>100</v>
      </c>
      <c r="G25" s="615" t="s">
        <v>3053</v>
      </c>
      <c r="H25" s="434">
        <f>SUMIF(86:86,G25,87:87)-SUMIF(86:86,C25,87:87)+100</f>
        <v>100</v>
      </c>
      <c r="I25" s="615" t="s">
        <v>3053</v>
      </c>
      <c r="J25" s="434">
        <f>SUMIF(86:86,I25,87:87)-SUMIF(86:86,C25,87:87)+100</f>
        <v>100</v>
      </c>
      <c r="K25" s="611">
        <v>2</v>
      </c>
      <c r="L25" s="1122"/>
      <c r="M25" s="1113"/>
      <c r="N25" s="1113"/>
      <c r="O25" s="1113"/>
      <c r="P25" s="3648"/>
      <c r="Q25" s="1788" t="str">
        <f t="shared" ref="Q25:Q46" si="11">B25</f>
        <v>临街状况</v>
      </c>
      <c r="R25" s="770" t="s">
        <v>17</v>
      </c>
      <c r="S25" s="771">
        <f>F25</f>
        <v>100</v>
      </c>
      <c r="T25" s="770" t="s">
        <v>17</v>
      </c>
      <c r="U25" s="771">
        <f>H25</f>
        <v>100</v>
      </c>
      <c r="V25" s="770" t="s">
        <v>17</v>
      </c>
      <c r="W25" s="771">
        <f>J25</f>
        <v>100</v>
      </c>
      <c r="X25" s="1791"/>
      <c r="Y25" s="3650"/>
      <c r="Z25" s="1792" t="str">
        <f>Q25</f>
        <v>临街状况</v>
      </c>
      <c r="AA25" s="1789">
        <f t="shared" si="3"/>
        <v>1</v>
      </c>
      <c r="AB25" s="1789">
        <f t="shared" si="4"/>
        <v>1</v>
      </c>
      <c r="AC25" s="1789">
        <f t="shared" si="5"/>
        <v>1</v>
      </c>
    </row>
    <row r="26" spans="1:29" ht="15">
      <c r="A26" s="427"/>
      <c r="B26" s="1367" t="s">
        <v>2640</v>
      </c>
      <c r="C26" s="2967" t="s">
        <v>3179</v>
      </c>
      <c r="D26" s="434">
        <v>100</v>
      </c>
      <c r="E26" s="2967" t="s">
        <v>3065</v>
      </c>
      <c r="F26" s="460">
        <f>SUMIF(88:88,E26,89:89)-SUMIF(88:88,C26,89:89)+100</f>
        <v>100</v>
      </c>
      <c r="G26" s="2967" t="s">
        <v>3065</v>
      </c>
      <c r="H26" s="434">
        <f>SUMIF(88:88,G26,89:89)-SUMIF(88:88,C26,89:89)+100</f>
        <v>100</v>
      </c>
      <c r="I26" s="2967" t="s">
        <v>3065</v>
      </c>
      <c r="J26" s="434">
        <f>SUMIF(88:88,I26,89:89)-SUMIF(88:88,C26,89:89)+100</f>
        <v>100</v>
      </c>
      <c r="K26" s="612"/>
      <c r="L26" s="1122"/>
      <c r="M26" s="1113"/>
      <c r="N26" s="1113"/>
      <c r="O26" s="1113"/>
      <c r="P26" s="3648"/>
      <c r="Q26" s="1788" t="str">
        <f t="shared" si="11"/>
        <v>平面位置/可视性</v>
      </c>
      <c r="R26" s="770" t="s">
        <v>17</v>
      </c>
      <c r="S26" s="771">
        <f>F26</f>
        <v>100</v>
      </c>
      <c r="T26" s="770" t="s">
        <v>17</v>
      </c>
      <c r="U26" s="771">
        <f>H26</f>
        <v>100</v>
      </c>
      <c r="V26" s="770" t="s">
        <v>17</v>
      </c>
      <c r="W26" s="771">
        <f>J26</f>
        <v>100</v>
      </c>
      <c r="X26" s="1791"/>
      <c r="Y26" s="3650"/>
      <c r="Z26" s="1792" t="str">
        <f>Q26</f>
        <v>平面位置/可视性</v>
      </c>
      <c r="AA26" s="1789">
        <f t="shared" si="3"/>
        <v>1</v>
      </c>
      <c r="AB26" s="1789">
        <f t="shared" si="4"/>
        <v>1</v>
      </c>
      <c r="AC26" s="1789">
        <f t="shared" si="5"/>
        <v>1</v>
      </c>
    </row>
    <row r="27" spans="1:29" s="117" customFormat="1" ht="15">
      <c r="A27" s="430"/>
      <c r="B27" s="450" t="s">
        <v>2641</v>
      </c>
      <c r="C27" s="2635" t="s">
        <v>3048</v>
      </c>
      <c r="D27" s="461">
        <v>100</v>
      </c>
      <c r="E27" s="2635" t="s">
        <v>3048</v>
      </c>
      <c r="F27" s="463">
        <f>SUMIF(90:90,E27,91:91)-SUMIF(90:90,C27,91:91)+100</f>
        <v>100</v>
      </c>
      <c r="G27" s="2635" t="s">
        <v>3048</v>
      </c>
      <c r="H27" s="461">
        <f>SUMIF(90:90,G27,91:91)-SUMIF(90:90,C27,91:91)+100</f>
        <v>100</v>
      </c>
      <c r="I27" s="2635" t="s">
        <v>3048</v>
      </c>
      <c r="J27" s="461">
        <f>SUMIF(90:90,I27,91:91)-SUMIF(90:90,C27,91:91)+100</f>
        <v>100</v>
      </c>
      <c r="K27" s="611">
        <v>2</v>
      </c>
      <c r="L27" s="1114"/>
      <c r="M27" s="1115"/>
      <c r="N27" s="1115"/>
      <c r="O27" s="1115"/>
      <c r="P27" s="3648"/>
      <c r="Q27" s="1773" t="str">
        <f t="shared" si="11"/>
        <v>人流量</v>
      </c>
      <c r="R27" s="766" t="s">
        <v>17</v>
      </c>
      <c r="S27" s="767">
        <f>F27</f>
        <v>100</v>
      </c>
      <c r="T27" s="766" t="s">
        <v>17</v>
      </c>
      <c r="U27" s="767">
        <f>H27</f>
        <v>100</v>
      </c>
      <c r="V27" s="766" t="s">
        <v>17</v>
      </c>
      <c r="W27" s="767">
        <f>J27</f>
        <v>100</v>
      </c>
      <c r="X27" s="768"/>
      <c r="Y27" s="3650"/>
      <c r="Z27" s="55" t="str">
        <f>Q27</f>
        <v>人流量</v>
      </c>
      <c r="AA27" s="1789">
        <f>D27/F27</f>
        <v>1</v>
      </c>
      <c r="AB27" s="1789">
        <f>D27/H27</f>
        <v>1</v>
      </c>
      <c r="AC27" s="1789">
        <f>D27/J27</f>
        <v>1</v>
      </c>
    </row>
    <row r="28" spans="1:29" ht="15">
      <c r="A28" s="427"/>
      <c r="B28" s="421" t="s">
        <v>2642</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2"/>
      <c r="M28" s="1113"/>
      <c r="N28" s="1113"/>
      <c r="O28" s="1113"/>
      <c r="P28" s="3648"/>
      <c r="Q28" s="1788" t="str">
        <f t="shared" si="11"/>
        <v>楼层</v>
      </c>
      <c r="R28" s="770" t="s">
        <v>17</v>
      </c>
      <c r="S28" s="771">
        <f t="shared" ref="S28:S46" si="12">F28</f>
        <v>100</v>
      </c>
      <c r="T28" s="770" t="s">
        <v>17</v>
      </c>
      <c r="U28" s="771">
        <f t="shared" ref="U28:U46" si="13">H28</f>
        <v>100</v>
      </c>
      <c r="V28" s="770" t="s">
        <v>17</v>
      </c>
      <c r="W28" s="771">
        <f t="shared" ref="W28:W46" si="14">J28</f>
        <v>100</v>
      </c>
      <c r="X28" s="1791"/>
      <c r="Y28" s="3650"/>
      <c r="Z28" s="1792" t="str">
        <f t="shared" ref="Z28:Z46" si="15">Q28</f>
        <v>楼层</v>
      </c>
      <c r="AA28" s="1789">
        <f t="shared" si="3"/>
        <v>1</v>
      </c>
      <c r="AB28" s="1789">
        <f t="shared" si="4"/>
        <v>1</v>
      </c>
      <c r="AC28" s="1789">
        <f t="shared" si="5"/>
        <v>1</v>
      </c>
    </row>
    <row r="29" spans="1:29" ht="15">
      <c r="A29" s="427"/>
      <c r="B29" s="1367">
        <v>111</v>
      </c>
      <c r="C29" s="433"/>
      <c r="D29" s="434">
        <v>100</v>
      </c>
      <c r="E29" s="433"/>
      <c r="F29" s="460">
        <f>SUMIF(94:94,E29,95:95)-SUMIF(94:94,C29,95:95)+100</f>
        <v>100</v>
      </c>
      <c r="G29" s="433"/>
      <c r="H29" s="434">
        <f>SUMIF(94:94,G29,95:95)-SUMIF(94:94,C29,95:95)+100</f>
        <v>100</v>
      </c>
      <c r="I29" s="433"/>
      <c r="J29" s="434">
        <f>SUMIF(94:94,I29,95:95)-SUMIF(94:94,C29,95:95)+100</f>
        <v>100</v>
      </c>
      <c r="K29" s="612"/>
      <c r="L29" s="1122"/>
      <c r="M29" s="1113"/>
      <c r="N29" s="1113"/>
      <c r="O29" s="1113"/>
      <c r="P29" s="3648"/>
      <c r="Q29" s="1788">
        <f t="shared" si="11"/>
        <v>111</v>
      </c>
      <c r="R29" s="770" t="s">
        <v>17</v>
      </c>
      <c r="S29" s="771">
        <f t="shared" si="12"/>
        <v>100</v>
      </c>
      <c r="T29" s="770" t="s">
        <v>17</v>
      </c>
      <c r="U29" s="771">
        <f t="shared" si="13"/>
        <v>100</v>
      </c>
      <c r="V29" s="770" t="s">
        <v>17</v>
      </c>
      <c r="W29" s="771">
        <f t="shared" si="14"/>
        <v>100</v>
      </c>
      <c r="X29" s="1791"/>
      <c r="Y29" s="3650"/>
      <c r="Z29" s="1792">
        <f t="shared" si="15"/>
        <v>111</v>
      </c>
      <c r="AA29" s="1789">
        <f t="shared" si="3"/>
        <v>1</v>
      </c>
      <c r="AB29" s="1789">
        <f t="shared" si="4"/>
        <v>1</v>
      </c>
      <c r="AC29" s="1789">
        <f t="shared" si="5"/>
        <v>1</v>
      </c>
    </row>
    <row r="30" spans="1:29" ht="15">
      <c r="A30" s="427"/>
      <c r="B30" s="1367">
        <v>111</v>
      </c>
      <c r="C30" s="433"/>
      <c r="D30" s="434">
        <v>100</v>
      </c>
      <c r="E30" s="433"/>
      <c r="F30" s="460">
        <f>SUMIF(96:96,E30,97:97)-SUMIF(96:96,C30,97:97)+100</f>
        <v>100</v>
      </c>
      <c r="G30" s="433"/>
      <c r="H30" s="434">
        <f>SUMIF(96:96,G30,97:97)-SUMIF(96:96,C30,97:97)+100</f>
        <v>100</v>
      </c>
      <c r="I30" s="433"/>
      <c r="J30" s="434">
        <f>SUMIF(96:96,I30,97:97)-SUMIF(96:96,C30,97:97)+100</f>
        <v>100</v>
      </c>
      <c r="K30" s="612"/>
      <c r="L30" s="1122"/>
      <c r="M30" s="1113"/>
      <c r="N30" s="1113"/>
      <c r="O30" s="1113"/>
      <c r="P30" s="3648"/>
      <c r="Q30" s="1788">
        <f t="shared" si="11"/>
        <v>111</v>
      </c>
      <c r="R30" s="770" t="s">
        <v>17</v>
      </c>
      <c r="S30" s="771">
        <f t="shared" si="12"/>
        <v>100</v>
      </c>
      <c r="T30" s="770" t="s">
        <v>17</v>
      </c>
      <c r="U30" s="771">
        <f t="shared" si="13"/>
        <v>100</v>
      </c>
      <c r="V30" s="770" t="s">
        <v>17</v>
      </c>
      <c r="W30" s="771">
        <f t="shared" si="14"/>
        <v>100</v>
      </c>
      <c r="X30" s="1791"/>
      <c r="Y30" s="3650"/>
      <c r="Z30" s="1792">
        <f t="shared" si="15"/>
        <v>111</v>
      </c>
      <c r="AA30" s="1789">
        <f t="shared" si="3"/>
        <v>1</v>
      </c>
      <c r="AB30" s="1789">
        <f t="shared" si="4"/>
        <v>1</v>
      </c>
      <c r="AC30" s="1789">
        <f t="shared" si="5"/>
        <v>1</v>
      </c>
    </row>
    <row r="31" spans="1:29" ht="15.6" thickBot="1">
      <c r="A31" s="435"/>
      <c r="B31" s="1367">
        <v>111</v>
      </c>
      <c r="C31" s="436"/>
      <c r="D31" s="437">
        <v>100</v>
      </c>
      <c r="E31" s="433"/>
      <c r="F31" s="438">
        <f>SUMIF(98:98,E31,99:99)-SUMIF(98:98,C31,99:99)+100</f>
        <v>100</v>
      </c>
      <c r="G31" s="433"/>
      <c r="H31" s="437">
        <f>SUMIF(98:98,G31,99:99)-SUMIF(98:98,C31,99:99)+100</f>
        <v>100</v>
      </c>
      <c r="I31" s="433"/>
      <c r="J31" s="437">
        <f>SUMIF(98:98,I31,99:99)-SUMIF(98:98,C31,99:99)+100</f>
        <v>100</v>
      </c>
      <c r="K31" s="612"/>
      <c r="L31" s="1122"/>
      <c r="M31" s="1113"/>
      <c r="N31" s="1113"/>
      <c r="O31" s="1113"/>
      <c r="P31" s="3648"/>
      <c r="Q31" s="1788">
        <f t="shared" si="11"/>
        <v>111</v>
      </c>
      <c r="R31" s="770" t="s">
        <v>17</v>
      </c>
      <c r="S31" s="771">
        <f t="shared" si="12"/>
        <v>100</v>
      </c>
      <c r="T31" s="770" t="s">
        <v>17</v>
      </c>
      <c r="U31" s="771">
        <f t="shared" si="13"/>
        <v>100</v>
      </c>
      <c r="V31" s="770" t="s">
        <v>17</v>
      </c>
      <c r="W31" s="771">
        <f t="shared" si="14"/>
        <v>100</v>
      </c>
      <c r="X31" s="1791"/>
      <c r="Y31" s="3650"/>
      <c r="Z31" s="1792">
        <f t="shared" si="15"/>
        <v>111</v>
      </c>
      <c r="AA31" s="1789">
        <f t="shared" si="3"/>
        <v>1</v>
      </c>
      <c r="AB31" s="1789">
        <f t="shared" si="4"/>
        <v>1</v>
      </c>
      <c r="AC31" s="1789">
        <f t="shared" si="5"/>
        <v>1</v>
      </c>
    </row>
    <row r="32" spans="1:29" ht="15">
      <c r="A32" s="439" t="s">
        <v>2546</v>
      </c>
      <c r="B32" s="71" t="s">
        <v>2643</v>
      </c>
      <c r="C32" s="2587" t="s">
        <v>3084</v>
      </c>
      <c r="D32" s="466">
        <v>100</v>
      </c>
      <c r="E32" s="2587" t="s">
        <v>3084</v>
      </c>
      <c r="F32" s="460">
        <f>SUMIF(100:100,E32,101:101)-SUMIF(100:100,C32,101:101)+100</f>
        <v>100</v>
      </c>
      <c r="G32" s="2587" t="s">
        <v>3084</v>
      </c>
      <c r="H32" s="434">
        <f>SUMIF(100:100,G32,101:101)-SUMIF(100:100,C32,101:101)+100</f>
        <v>100</v>
      </c>
      <c r="I32" s="2587" t="s">
        <v>3084</v>
      </c>
      <c r="J32" s="466">
        <f>SUMIF(100:100,I32,101:101)-SUMIF(100:100,C32,101:101)+100</f>
        <v>100</v>
      </c>
      <c r="K32" s="611">
        <v>3</v>
      </c>
      <c r="L32" s="1122"/>
      <c r="M32" s="1113"/>
      <c r="N32" s="1113"/>
      <c r="O32" s="1113"/>
      <c r="P32" s="3651" t="s">
        <v>2548</v>
      </c>
      <c r="Q32" s="1788" t="str">
        <f t="shared" si="11"/>
        <v>商业类型</v>
      </c>
      <c r="R32" s="770" t="s">
        <v>17</v>
      </c>
      <c r="S32" s="771">
        <f t="shared" si="12"/>
        <v>100</v>
      </c>
      <c r="T32" s="770" t="s">
        <v>17</v>
      </c>
      <c r="U32" s="771">
        <f t="shared" si="13"/>
        <v>100</v>
      </c>
      <c r="V32" s="770" t="s">
        <v>17</v>
      </c>
      <c r="W32" s="771">
        <f t="shared" si="14"/>
        <v>100</v>
      </c>
      <c r="X32" s="1791"/>
      <c r="Y32" s="3654" t="s">
        <v>2548</v>
      </c>
      <c r="Z32" s="1792" t="str">
        <f t="shared" si="15"/>
        <v>商业类型</v>
      </c>
      <c r="AA32" s="1789">
        <f t="shared" si="3"/>
        <v>1</v>
      </c>
      <c r="AB32" s="1789">
        <f t="shared" si="4"/>
        <v>1</v>
      </c>
      <c r="AC32" s="1789">
        <f t="shared" si="5"/>
        <v>1</v>
      </c>
    </row>
    <row r="33" spans="1:29" s="470" customFormat="1" ht="15">
      <c r="A33" s="467"/>
      <c r="B33" s="421" t="s">
        <v>2549</v>
      </c>
      <c r="C33" s="468">
        <v>1044</v>
      </c>
      <c r="D33" s="136">
        <v>100</v>
      </c>
      <c r="E33" s="429">
        <v>58.14</v>
      </c>
      <c r="F33" s="424">
        <f>LOOKUP(E33,103:103,104:104)-LOOKUP(C33,103:103,104:104)+100</f>
        <v>102.5</v>
      </c>
      <c r="G33" s="428">
        <v>236</v>
      </c>
      <c r="H33" s="136">
        <f>LOOKUP(G33,103:103,104:104)-LOOKUP(C33,103:103,104:104)+100</f>
        <v>101.5</v>
      </c>
      <c r="I33" s="428">
        <v>120</v>
      </c>
      <c r="J33" s="136">
        <f>LOOKUP(I33,103:103,104:104)-LOOKUP(C33,103:103,104:104)+100</f>
        <v>102</v>
      </c>
      <c r="K33" s="612"/>
      <c r="L33" s="1120"/>
      <c r="M33" s="1123"/>
      <c r="N33" s="1123"/>
      <c r="O33" s="1123"/>
      <c r="P33" s="3652"/>
      <c r="Q33" s="772" t="str">
        <f t="shared" si="11"/>
        <v>项目建筑规模</v>
      </c>
      <c r="R33" s="773" t="s">
        <v>17</v>
      </c>
      <c r="S33" s="774">
        <f t="shared" si="12"/>
        <v>102.5</v>
      </c>
      <c r="T33" s="773" t="s">
        <v>17</v>
      </c>
      <c r="U33" s="774">
        <f t="shared" si="13"/>
        <v>101.5</v>
      </c>
      <c r="V33" s="773" t="s">
        <v>17</v>
      </c>
      <c r="W33" s="774">
        <f t="shared" si="14"/>
        <v>102</v>
      </c>
      <c r="X33" s="775"/>
      <c r="Y33" s="3654"/>
      <c r="Z33" s="776" t="str">
        <f t="shared" si="15"/>
        <v>项目建筑规模</v>
      </c>
      <c r="AA33" s="1789">
        <f t="shared" si="3"/>
        <v>0.97560975609756095</v>
      </c>
      <c r="AB33" s="1789">
        <f t="shared" si="4"/>
        <v>0.98522167487684731</v>
      </c>
      <c r="AC33" s="1789">
        <f t="shared" si="5"/>
        <v>0.98039215686274506</v>
      </c>
    </row>
    <row r="34" spans="1:29" ht="15">
      <c r="A34" s="471"/>
      <c r="B34" s="421" t="s">
        <v>2550</v>
      </c>
      <c r="C34" s="2589" t="s">
        <v>3034</v>
      </c>
      <c r="D34" s="434">
        <v>100</v>
      </c>
      <c r="E34" s="2589" t="s">
        <v>3034</v>
      </c>
      <c r="F34" s="460">
        <f>SUMIF(105:105,E34,106:106)-SUMIF(105:105,C34,106:106)+100</f>
        <v>100</v>
      </c>
      <c r="G34" s="2589" t="s">
        <v>3034</v>
      </c>
      <c r="H34" s="434">
        <f>SUMIF(105:105,G34,106:106)-SUMIF(105:105,C34,106:106)+100</f>
        <v>100</v>
      </c>
      <c r="I34" s="2589" t="s">
        <v>3034</v>
      </c>
      <c r="J34" s="434">
        <f>SUMIF(105:105,I34,106:106)-SUMIF(105:105,C34,106:106)+100</f>
        <v>100</v>
      </c>
      <c r="K34" s="611">
        <v>2</v>
      </c>
      <c r="L34" s="1122"/>
      <c r="M34" s="1113"/>
      <c r="N34" s="1113"/>
      <c r="O34" s="1113"/>
      <c r="P34" s="3652"/>
      <c r="Q34" s="1788" t="str">
        <f t="shared" si="11"/>
        <v>建筑结构</v>
      </c>
      <c r="R34" s="770" t="s">
        <v>17</v>
      </c>
      <c r="S34" s="771">
        <f t="shared" si="12"/>
        <v>100</v>
      </c>
      <c r="T34" s="770" t="s">
        <v>17</v>
      </c>
      <c r="U34" s="771">
        <f t="shared" si="13"/>
        <v>100</v>
      </c>
      <c r="V34" s="770" t="s">
        <v>17</v>
      </c>
      <c r="W34" s="771">
        <f t="shared" si="14"/>
        <v>100</v>
      </c>
      <c r="X34" s="1791"/>
      <c r="Y34" s="3654"/>
      <c r="Z34" s="1792" t="str">
        <f t="shared" si="15"/>
        <v>建筑结构</v>
      </c>
      <c r="AA34" s="1789">
        <f t="shared" si="3"/>
        <v>1</v>
      </c>
      <c r="AB34" s="1789">
        <f t="shared" si="4"/>
        <v>1</v>
      </c>
      <c r="AC34" s="1789">
        <f t="shared" si="5"/>
        <v>1</v>
      </c>
    </row>
    <row r="35" spans="1:29" ht="15">
      <c r="A35" s="471"/>
      <c r="B35" s="421" t="s">
        <v>2644</v>
      </c>
      <c r="C35" s="2583" t="s">
        <v>3086</v>
      </c>
      <c r="D35" s="434">
        <v>100</v>
      </c>
      <c r="E35" s="2583" t="s">
        <v>3086</v>
      </c>
      <c r="F35" s="460">
        <f>SUMIF(107:107,E35,108:108)-SUMIF(107:107,C35,108:108)+100</f>
        <v>100</v>
      </c>
      <c r="G35" s="2583" t="s">
        <v>3086</v>
      </c>
      <c r="H35" s="434">
        <f>SUMIF(107:107,G35,108:108)-SUMIF(107:107,C35,108:108)+100</f>
        <v>100</v>
      </c>
      <c r="I35" s="2583" t="s">
        <v>3086</v>
      </c>
      <c r="J35" s="434">
        <f>SUMIF(107:107,I35,108:108)-SUMIF(107:107,C35,108:108)+100</f>
        <v>100</v>
      </c>
      <c r="K35" s="611">
        <v>2</v>
      </c>
      <c r="L35" s="1122"/>
      <c r="M35" s="1113"/>
      <c r="N35" s="1113"/>
      <c r="O35" s="1113"/>
      <c r="P35" s="3652"/>
      <c r="Q35" s="1788" t="str">
        <f t="shared" si="11"/>
        <v>公共部分装修</v>
      </c>
      <c r="R35" s="770" t="s">
        <v>17</v>
      </c>
      <c r="S35" s="771">
        <f t="shared" si="12"/>
        <v>100</v>
      </c>
      <c r="T35" s="770" t="s">
        <v>17</v>
      </c>
      <c r="U35" s="771">
        <f t="shared" si="13"/>
        <v>100</v>
      </c>
      <c r="V35" s="770" t="s">
        <v>17</v>
      </c>
      <c r="W35" s="771">
        <f t="shared" si="14"/>
        <v>100</v>
      </c>
      <c r="X35" s="1791"/>
      <c r="Y35" s="3654"/>
      <c r="Z35" s="1792" t="str">
        <f t="shared" si="15"/>
        <v>公共部分装修</v>
      </c>
      <c r="AA35" s="1789">
        <f t="shared" si="3"/>
        <v>1</v>
      </c>
      <c r="AB35" s="1789">
        <f t="shared" si="4"/>
        <v>1</v>
      </c>
      <c r="AC35" s="1789">
        <f t="shared" si="5"/>
        <v>1</v>
      </c>
    </row>
    <row r="36" spans="1:29" ht="15">
      <c r="A36" s="471"/>
      <c r="B36" s="421" t="s">
        <v>2645</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2"/>
      <c r="M36" s="1113"/>
      <c r="N36" s="1113"/>
      <c r="O36" s="1113"/>
      <c r="P36" s="3652"/>
      <c r="Q36" s="1788" t="str">
        <f t="shared" si="11"/>
        <v>成新度</v>
      </c>
      <c r="R36" s="770" t="s">
        <v>17</v>
      </c>
      <c r="S36" s="771">
        <f t="shared" si="12"/>
        <v>100</v>
      </c>
      <c r="T36" s="770" t="s">
        <v>17</v>
      </c>
      <c r="U36" s="771">
        <f t="shared" si="13"/>
        <v>100</v>
      </c>
      <c r="V36" s="770" t="s">
        <v>17</v>
      </c>
      <c r="W36" s="771">
        <f t="shared" si="14"/>
        <v>100</v>
      </c>
      <c r="X36" s="1791"/>
      <c r="Y36" s="3654"/>
      <c r="Z36" s="1792" t="str">
        <f t="shared" si="15"/>
        <v>成新度</v>
      </c>
      <c r="AA36" s="1789">
        <f t="shared" si="3"/>
        <v>1</v>
      </c>
      <c r="AB36" s="1789">
        <f t="shared" si="4"/>
        <v>1</v>
      </c>
      <c r="AC36" s="1789">
        <f t="shared" si="5"/>
        <v>1</v>
      </c>
    </row>
    <row r="37" spans="1:29" s="117" customFormat="1" ht="15">
      <c r="A37" s="472"/>
      <c r="B37" s="421" t="s">
        <v>2646</v>
      </c>
      <c r="C37" s="2583" t="s">
        <v>3180</v>
      </c>
      <c r="D37" s="136">
        <v>100</v>
      </c>
      <c r="E37" s="2583" t="s">
        <v>3180</v>
      </c>
      <c r="F37" s="460">
        <f>SUMIF(112:112,E37,113:113)-SUMIF(112:112,C37,113:113)+100</f>
        <v>100</v>
      </c>
      <c r="G37" s="2583" t="s">
        <v>3180</v>
      </c>
      <c r="H37" s="434">
        <f>SUMIF(112:112,G37,113:113)-SUMIF(112:112,C37,113:113)+100</f>
        <v>100</v>
      </c>
      <c r="I37" s="2583" t="s">
        <v>3180</v>
      </c>
      <c r="J37" s="434">
        <f>SUMIF(112:112,I37,113:113)-SUMIF(112:112,C37,113:113)+100</f>
        <v>100</v>
      </c>
      <c r="K37" s="611">
        <v>1</v>
      </c>
      <c r="L37" s="1114"/>
      <c r="M37" s="1115"/>
      <c r="N37" s="1115"/>
      <c r="O37" s="1115"/>
      <c r="P37" s="3652"/>
      <c r="Q37" s="1773" t="str">
        <f t="shared" si="11"/>
        <v>市政基础设施</v>
      </c>
      <c r="R37" s="766" t="s">
        <v>17</v>
      </c>
      <c r="S37" s="767">
        <f t="shared" si="12"/>
        <v>100</v>
      </c>
      <c r="T37" s="766" t="s">
        <v>17</v>
      </c>
      <c r="U37" s="767">
        <f t="shared" si="13"/>
        <v>100</v>
      </c>
      <c r="V37" s="766" t="s">
        <v>17</v>
      </c>
      <c r="W37" s="767">
        <f t="shared" si="14"/>
        <v>100</v>
      </c>
      <c r="X37" s="768"/>
      <c r="Y37" s="3654"/>
      <c r="Z37" s="55" t="str">
        <f t="shared" si="15"/>
        <v>市政基础设施</v>
      </c>
      <c r="AA37" s="769">
        <f t="shared" si="3"/>
        <v>1</v>
      </c>
      <c r="AB37" s="769">
        <f t="shared" si="4"/>
        <v>1</v>
      </c>
      <c r="AC37" s="769">
        <f t="shared" si="5"/>
        <v>1</v>
      </c>
    </row>
    <row r="38" spans="1:29" ht="15">
      <c r="A38" s="471"/>
      <c r="B38" s="421" t="s">
        <v>2647</v>
      </c>
      <c r="C38" s="2583" t="s">
        <v>3088</v>
      </c>
      <c r="D38" s="434">
        <v>100</v>
      </c>
      <c r="E38" s="2583" t="s">
        <v>3088</v>
      </c>
      <c r="F38" s="460">
        <f>SUMIF(114:114,E38,115:115)-SUMIF(114:114,C38,115:115)+100</f>
        <v>100</v>
      </c>
      <c r="G38" s="2583" t="s">
        <v>3088</v>
      </c>
      <c r="H38" s="434">
        <f>SUMIF(114:114,G38,115:115)-SUMIF(114:114,C38,115:115)+100</f>
        <v>100</v>
      </c>
      <c r="I38" s="2583" t="s">
        <v>3088</v>
      </c>
      <c r="J38" s="434">
        <f>SUMIF(114:114,I38,115:115)-SUMIF(114:114,C38,115:115)+100</f>
        <v>100</v>
      </c>
      <c r="K38" s="611">
        <v>3</v>
      </c>
      <c r="L38" s="1122"/>
      <c r="M38" s="1113"/>
      <c r="N38" s="1113"/>
      <c r="O38" s="1113"/>
      <c r="P38" s="3652" t="s">
        <v>2548</v>
      </c>
      <c r="Q38" s="1788" t="str">
        <f t="shared" si="11"/>
        <v>业态</v>
      </c>
      <c r="R38" s="770" t="s">
        <v>17</v>
      </c>
      <c r="S38" s="771">
        <f t="shared" si="12"/>
        <v>100</v>
      </c>
      <c r="T38" s="770" t="s">
        <v>17</v>
      </c>
      <c r="U38" s="771">
        <f t="shared" si="13"/>
        <v>100</v>
      </c>
      <c r="V38" s="770" t="s">
        <v>17</v>
      </c>
      <c r="W38" s="771">
        <f t="shared" si="14"/>
        <v>100</v>
      </c>
      <c r="X38" s="1791"/>
      <c r="Y38" s="3654" t="s">
        <v>2548</v>
      </c>
      <c r="Z38" s="1792" t="str">
        <f t="shared" si="15"/>
        <v>业态</v>
      </c>
      <c r="AA38" s="1789">
        <f t="shared" si="3"/>
        <v>1</v>
      </c>
      <c r="AB38" s="1789">
        <f t="shared" si="4"/>
        <v>1</v>
      </c>
      <c r="AC38" s="1789">
        <f t="shared" si="5"/>
        <v>1</v>
      </c>
    </row>
    <row r="39" spans="1:29" ht="15">
      <c r="A39" s="471"/>
      <c r="B39" s="421" t="s">
        <v>2648</v>
      </c>
      <c r="C39" s="2583" t="s">
        <v>3089</v>
      </c>
      <c r="D39" s="434">
        <v>100</v>
      </c>
      <c r="E39" s="2583" t="s">
        <v>3089</v>
      </c>
      <c r="F39" s="460">
        <f>SUMIF(116:116,E39,117:117)-SUMIF(116:116,C39,117:117)+100</f>
        <v>100</v>
      </c>
      <c r="G39" s="2583" t="s">
        <v>3089</v>
      </c>
      <c r="H39" s="434">
        <f>SUMIF(116:116,G39,117:117)-SUMIF(116:116,C39,117:117)+100</f>
        <v>100</v>
      </c>
      <c r="I39" s="2583" t="s">
        <v>3092</v>
      </c>
      <c r="J39" s="434">
        <f>SUMIF(116:116,I39,117:117)-SUMIF(116:116,C39,117:117)+100</f>
        <v>103</v>
      </c>
      <c r="K39" s="611">
        <v>3</v>
      </c>
      <c r="L39" s="1122"/>
      <c r="M39" s="1113"/>
      <c r="N39" s="1113"/>
      <c r="O39" s="1113"/>
      <c r="P39" s="3652"/>
      <c r="Q39" s="1788" t="str">
        <f t="shared" si="11"/>
        <v>层高</v>
      </c>
      <c r="R39" s="770" t="s">
        <v>17</v>
      </c>
      <c r="S39" s="771">
        <f t="shared" si="12"/>
        <v>100</v>
      </c>
      <c r="T39" s="770" t="s">
        <v>17</v>
      </c>
      <c r="U39" s="771">
        <f t="shared" si="13"/>
        <v>100</v>
      </c>
      <c r="V39" s="770" t="s">
        <v>17</v>
      </c>
      <c r="W39" s="771">
        <f t="shared" si="14"/>
        <v>103</v>
      </c>
      <c r="X39" s="1791"/>
      <c r="Y39" s="3654"/>
      <c r="Z39" s="1792" t="str">
        <f t="shared" si="15"/>
        <v>层高</v>
      </c>
      <c r="AA39" s="1789">
        <f t="shared" si="3"/>
        <v>1</v>
      </c>
      <c r="AB39" s="1789">
        <f t="shared" si="4"/>
        <v>1</v>
      </c>
      <c r="AC39" s="1789">
        <f t="shared" si="5"/>
        <v>0.970873786407767</v>
      </c>
    </row>
    <row r="40" spans="1:29" ht="15">
      <c r="A40" s="471"/>
      <c r="B40" s="421" t="s">
        <v>2649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2"/>
      <c r="M40" s="1113"/>
      <c r="N40" s="1113"/>
      <c r="O40" s="1113"/>
      <c r="P40" s="3652"/>
      <c r="Q40" s="1788" t="str">
        <f t="shared" si="11"/>
        <v>单套建筑面积</v>
      </c>
      <c r="R40" s="770" t="s">
        <v>17</v>
      </c>
      <c r="S40" s="771">
        <f t="shared" si="12"/>
        <v>100</v>
      </c>
      <c r="T40" s="770" t="s">
        <v>17</v>
      </c>
      <c r="U40" s="771">
        <f t="shared" si="13"/>
        <v>100</v>
      </c>
      <c r="V40" s="770" t="s">
        <v>17</v>
      </c>
      <c r="W40" s="771">
        <f t="shared" si="14"/>
        <v>100</v>
      </c>
      <c r="X40" s="1791"/>
      <c r="Y40" s="3654"/>
      <c r="Z40" s="1792" t="str">
        <f t="shared" si="15"/>
        <v>单套建筑面积</v>
      </c>
      <c r="AA40" s="1789">
        <f t="shared" si="3"/>
        <v>1</v>
      </c>
      <c r="AB40" s="1789">
        <f t="shared" si="4"/>
        <v>1</v>
      </c>
      <c r="AC40" s="1789">
        <f t="shared" si="5"/>
        <v>1</v>
      </c>
    </row>
    <row r="41" spans="1:29" s="470" customFormat="1" ht="15">
      <c r="A41" s="467"/>
      <c r="B41" s="1790" t="s">
        <v>2650</v>
      </c>
      <c r="C41" s="615" t="s">
        <v>3090</v>
      </c>
      <c r="D41" s="434">
        <v>100</v>
      </c>
      <c r="E41" s="615" t="s">
        <v>3090</v>
      </c>
      <c r="F41" s="460">
        <f>SUMIF(120:120,E41,121:121)-SUMIF(120:120,C41,121:121)+100</f>
        <v>100</v>
      </c>
      <c r="G41" s="615" t="s">
        <v>3090</v>
      </c>
      <c r="H41" s="434">
        <f>SUMIF(120:120,G41,121:121)-SUMIF(120:120,C41,121:121)+100</f>
        <v>100</v>
      </c>
      <c r="I41" s="615" t="s">
        <v>3090</v>
      </c>
      <c r="J41" s="434">
        <f>SUMIF(120:120,I41,121:121)-SUMIF(120:120,C41,121:121)+100</f>
        <v>100</v>
      </c>
      <c r="K41" s="611">
        <v>2</v>
      </c>
      <c r="L41" s="1120"/>
      <c r="M41" s="1123"/>
      <c r="N41" s="1123"/>
      <c r="O41" s="1123"/>
      <c r="P41" s="3652"/>
      <c r="Q41" s="772" t="str">
        <f t="shared" si="11"/>
        <v>进深比</v>
      </c>
      <c r="R41" s="773" t="s">
        <v>17</v>
      </c>
      <c r="S41" s="774">
        <f t="shared" si="12"/>
        <v>100</v>
      </c>
      <c r="T41" s="773" t="s">
        <v>17</v>
      </c>
      <c r="U41" s="774">
        <f t="shared" si="13"/>
        <v>100</v>
      </c>
      <c r="V41" s="773" t="s">
        <v>17</v>
      </c>
      <c r="W41" s="774">
        <f t="shared" si="14"/>
        <v>100</v>
      </c>
      <c r="X41" s="775"/>
      <c r="Y41" s="3654"/>
      <c r="Z41" s="776" t="str">
        <f t="shared" si="15"/>
        <v>进深比</v>
      </c>
      <c r="AA41" s="1789">
        <f t="shared" si="3"/>
        <v>1</v>
      </c>
      <c r="AB41" s="1789">
        <f t="shared" si="4"/>
        <v>1</v>
      </c>
      <c r="AC41" s="1789">
        <f t="shared" si="5"/>
        <v>1</v>
      </c>
    </row>
    <row r="42" spans="1:29" ht="15">
      <c r="A42" s="471"/>
      <c r="B42" s="421" t="s">
        <v>2651</v>
      </c>
      <c r="C42" s="2583" t="s">
        <v>3091</v>
      </c>
      <c r="D42" s="434">
        <v>100</v>
      </c>
      <c r="E42" s="2583" t="s">
        <v>3091</v>
      </c>
      <c r="F42" s="460">
        <f>SUMIF(122:122,E42,123:123)-SUMIF(122:122,C42,123:123)+100</f>
        <v>100</v>
      </c>
      <c r="G42" s="2583" t="s">
        <v>3091</v>
      </c>
      <c r="H42" s="434">
        <f>SUMIF(122:122,G42,123:123)-SUMIF(122:122,C42,123:123)+100</f>
        <v>100</v>
      </c>
      <c r="I42" s="2583" t="s">
        <v>3091</v>
      </c>
      <c r="J42" s="434">
        <f>SUMIF(122:122,I42,123:123)-SUMIF(122:122,C42,123:123)+100</f>
        <v>100</v>
      </c>
      <c r="K42" s="611">
        <v>3</v>
      </c>
      <c r="L42" s="1122"/>
      <c r="M42" s="1113"/>
      <c r="N42" s="1113"/>
      <c r="O42" s="1113"/>
      <c r="P42" s="3652"/>
      <c r="Q42" s="1788" t="str">
        <f t="shared" si="11"/>
        <v>内部装修</v>
      </c>
      <c r="R42" s="770" t="s">
        <v>17</v>
      </c>
      <c r="S42" s="771">
        <f t="shared" si="12"/>
        <v>100</v>
      </c>
      <c r="T42" s="770" t="s">
        <v>17</v>
      </c>
      <c r="U42" s="771">
        <f t="shared" si="13"/>
        <v>100</v>
      </c>
      <c r="V42" s="770" t="s">
        <v>17</v>
      </c>
      <c r="W42" s="771">
        <f t="shared" si="14"/>
        <v>100</v>
      </c>
      <c r="X42" s="1791"/>
      <c r="Y42" s="3654"/>
      <c r="Z42" s="1792" t="str">
        <f t="shared" si="15"/>
        <v>内部装修</v>
      </c>
      <c r="AA42" s="1789">
        <f t="shared" si="3"/>
        <v>1</v>
      </c>
      <c r="AB42" s="1789">
        <f t="shared" si="4"/>
        <v>1</v>
      </c>
      <c r="AC42" s="1789">
        <f t="shared" si="5"/>
        <v>1</v>
      </c>
    </row>
    <row r="43" spans="1:29" ht="28.8">
      <c r="A43" s="471"/>
      <c r="B43" s="421" t="s">
        <v>2559</v>
      </c>
      <c r="C43" s="2583" t="s">
        <v>3048</v>
      </c>
      <c r="D43" s="434">
        <v>100</v>
      </c>
      <c r="E43" s="2583" t="s">
        <v>3048</v>
      </c>
      <c r="F43" s="460">
        <f>SUMIF(124:124,E43,125:125)-SUMIF(124:124,C43,125:125)+100</f>
        <v>100</v>
      </c>
      <c r="G43" s="2583" t="s">
        <v>3048</v>
      </c>
      <c r="H43" s="434">
        <f>SUMIF(124:124,G43,125:125)-SUMIF(124:124,C43,125:125)+100</f>
        <v>100</v>
      </c>
      <c r="I43" s="2583" t="s">
        <v>3048</v>
      </c>
      <c r="J43" s="434">
        <f>SUMIF(124:124,I43,125:125)-SUMIF(124:124,C43,125:125)+100</f>
        <v>100</v>
      </c>
      <c r="K43" s="611">
        <v>2</v>
      </c>
      <c r="L43" s="1122"/>
      <c r="M43" s="1113"/>
      <c r="N43" s="1113"/>
      <c r="O43" s="1113"/>
      <c r="P43" s="3652"/>
      <c r="Q43" s="1788" t="str">
        <f t="shared" si="11"/>
        <v>内部装修维护情况</v>
      </c>
      <c r="R43" s="770" t="s">
        <v>17</v>
      </c>
      <c r="S43" s="771">
        <f t="shared" si="12"/>
        <v>100</v>
      </c>
      <c r="T43" s="770" t="s">
        <v>17</v>
      </c>
      <c r="U43" s="771">
        <f t="shared" si="13"/>
        <v>100</v>
      </c>
      <c r="V43" s="770" t="s">
        <v>17</v>
      </c>
      <c r="W43" s="771">
        <f t="shared" si="14"/>
        <v>100</v>
      </c>
      <c r="X43" s="1791"/>
      <c r="Y43" s="3654"/>
      <c r="Z43" s="1792" t="str">
        <f t="shared" si="15"/>
        <v>内部装修维护情况</v>
      </c>
      <c r="AA43" s="1789">
        <f t="shared" si="3"/>
        <v>1</v>
      </c>
      <c r="AB43" s="1789">
        <f t="shared" si="4"/>
        <v>1</v>
      </c>
      <c r="AC43" s="1789">
        <f t="shared" si="5"/>
        <v>1</v>
      </c>
    </row>
    <row r="44" spans="1:29" s="117" customFormat="1" ht="15">
      <c r="A44" s="472"/>
      <c r="B44" s="1367"/>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4"/>
      <c r="M44" s="1115"/>
      <c r="N44" s="1115"/>
      <c r="O44" s="1115"/>
      <c r="P44" s="3652"/>
      <c r="Q44" s="1773">
        <f t="shared" si="11"/>
        <v>0</v>
      </c>
      <c r="R44" s="766" t="s">
        <v>17</v>
      </c>
      <c r="S44" s="767">
        <f t="shared" si="12"/>
        <v>100</v>
      </c>
      <c r="T44" s="766" t="s">
        <v>17</v>
      </c>
      <c r="U44" s="767">
        <f t="shared" si="13"/>
        <v>100</v>
      </c>
      <c r="V44" s="766" t="s">
        <v>17</v>
      </c>
      <c r="W44" s="767">
        <f t="shared" si="14"/>
        <v>100</v>
      </c>
      <c r="X44" s="768"/>
      <c r="Y44" s="3654"/>
      <c r="Z44" s="55">
        <f t="shared" si="15"/>
        <v>0</v>
      </c>
      <c r="AA44" s="769">
        <f t="shared" si="3"/>
        <v>1</v>
      </c>
      <c r="AB44" s="769">
        <f t="shared" si="4"/>
        <v>1</v>
      </c>
      <c r="AC44" s="769">
        <f t="shared" si="5"/>
        <v>1</v>
      </c>
    </row>
    <row r="45" spans="1:29" ht="15">
      <c r="A45" s="471"/>
      <c r="B45" s="1367"/>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2"/>
      <c r="M45" s="1113"/>
      <c r="N45" s="1113"/>
      <c r="O45" s="1113"/>
      <c r="P45" s="3652"/>
      <c r="Q45" s="1788">
        <f t="shared" si="11"/>
        <v>0</v>
      </c>
      <c r="R45" s="770" t="s">
        <v>17</v>
      </c>
      <c r="S45" s="771">
        <f t="shared" si="12"/>
        <v>100</v>
      </c>
      <c r="T45" s="770" t="s">
        <v>17</v>
      </c>
      <c r="U45" s="771">
        <f t="shared" si="13"/>
        <v>100</v>
      </c>
      <c r="V45" s="770" t="s">
        <v>17</v>
      </c>
      <c r="W45" s="771">
        <f t="shared" si="14"/>
        <v>100</v>
      </c>
      <c r="X45" s="1791"/>
      <c r="Y45" s="3654"/>
      <c r="Z45" s="1792">
        <f t="shared" si="15"/>
        <v>0</v>
      </c>
      <c r="AA45" s="1789">
        <f t="shared" si="3"/>
        <v>1</v>
      </c>
      <c r="AB45" s="1789">
        <f t="shared" si="4"/>
        <v>1</v>
      </c>
      <c r="AC45" s="1789">
        <f t="shared" si="5"/>
        <v>1</v>
      </c>
    </row>
    <row r="46" spans="1:29" ht="15.6" thickBot="1">
      <c r="A46" s="477"/>
      <c r="B46" s="2572">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2"/>
      <c r="M46" s="1113"/>
      <c r="N46" s="1113"/>
      <c r="O46" s="1113"/>
      <c r="P46" s="3653"/>
      <c r="Q46" s="1788">
        <f t="shared" si="11"/>
        <v>1</v>
      </c>
      <c r="R46" s="770" t="s">
        <v>17</v>
      </c>
      <c r="S46" s="771">
        <f t="shared" si="12"/>
        <v>100</v>
      </c>
      <c r="T46" s="770" t="s">
        <v>17</v>
      </c>
      <c r="U46" s="771">
        <f t="shared" si="13"/>
        <v>100</v>
      </c>
      <c r="V46" s="770" t="s">
        <v>17</v>
      </c>
      <c r="W46" s="771">
        <f t="shared" si="14"/>
        <v>100</v>
      </c>
      <c r="X46" s="1791"/>
      <c r="Y46" s="3655"/>
      <c r="Z46" s="1792">
        <f t="shared" si="15"/>
        <v>1</v>
      </c>
      <c r="AA46" s="1789">
        <f t="shared" si="3"/>
        <v>1</v>
      </c>
      <c r="AB46" s="1789">
        <f t="shared" si="4"/>
        <v>1</v>
      </c>
      <c r="AC46" s="1789">
        <f t="shared" si="5"/>
        <v>1</v>
      </c>
    </row>
    <row r="47" spans="1:29" ht="14.4">
      <c r="A47" s="478" t="s">
        <v>2560</v>
      </c>
      <c r="B47" s="479"/>
      <c r="C47" s="1387" t="s">
        <v>1</v>
      </c>
      <c r="D47" s="1388"/>
      <c r="E47" s="1389">
        <v>120055</v>
      </c>
      <c r="F47" s="1390"/>
      <c r="G47" s="1389">
        <v>110169</v>
      </c>
      <c r="H47" s="1392"/>
      <c r="I47" s="1389">
        <v>125000</v>
      </c>
      <c r="J47" s="1392"/>
      <c r="K47" s="779"/>
      <c r="L47" s="1125"/>
      <c r="M47" s="1126"/>
      <c r="N47" s="1113"/>
      <c r="O47" s="1126"/>
      <c r="P47" s="3642" t="str">
        <f>A47</f>
        <v>成交单价（元/平方米）</v>
      </c>
      <c r="Q47" s="3642"/>
      <c r="R47" s="3656">
        <f>E47</f>
        <v>120055</v>
      </c>
      <c r="S47" s="3656"/>
      <c r="T47" s="3656">
        <f>G47</f>
        <v>110169</v>
      </c>
      <c r="U47" s="3656"/>
      <c r="V47" s="3656">
        <f>I47</f>
        <v>125000</v>
      </c>
      <c r="W47" s="3656"/>
      <c r="X47" s="755"/>
      <c r="Y47" s="777"/>
      <c r="Z47" s="755"/>
      <c r="AA47" s="755"/>
      <c r="AB47" s="755"/>
      <c r="AC47" s="755"/>
    </row>
    <row r="48" spans="1:29" ht="15" thickBot="1">
      <c r="A48" s="485" t="s">
        <v>2652</v>
      </c>
      <c r="B48" s="486"/>
      <c r="C48" s="1393">
        <f>R49</f>
        <v>112630</v>
      </c>
      <c r="D48" s="1394"/>
      <c r="E48" s="1395">
        <f>R48</f>
        <v>114830</v>
      </c>
      <c r="F48" s="1395"/>
      <c r="G48" s="1393">
        <f>T48</f>
        <v>106413</v>
      </c>
      <c r="H48" s="1394"/>
      <c r="I48" s="1395">
        <f>V48</f>
        <v>116647</v>
      </c>
      <c r="J48" s="1394"/>
      <c r="K48" s="780"/>
      <c r="L48" s="1125"/>
      <c r="M48" s="1126"/>
      <c r="N48" s="1113"/>
      <c r="O48" s="1126"/>
      <c r="P48" s="3642" t="str">
        <f>A48</f>
        <v>比较价值（元/平方米）</v>
      </c>
      <c r="Q48" s="3642"/>
      <c r="R48" s="3643">
        <f>IF(F1="售价",ROUND(PRODUCT(R47,AA7:AA46),0),ROUND(PRODUCT(R47,AA7:AA46),1))</f>
        <v>114830</v>
      </c>
      <c r="S48" s="3643"/>
      <c r="T48" s="3643">
        <f>IF(F1="售价",ROUND(PRODUCT(T47,AB7:AB46),0),ROUND(PRODUCT(T47,AB7:AB46),1))</f>
        <v>106413</v>
      </c>
      <c r="U48" s="3643"/>
      <c r="V48" s="3643">
        <f>IF(F1="售价",ROUND(PRODUCT(V47,AC7:AC46),0),ROUND(PRODUCT(V47,AC7:AC46),1))</f>
        <v>116647</v>
      </c>
      <c r="W48" s="3643"/>
      <c r="X48" s="755"/>
      <c r="Y48" s="755"/>
      <c r="Z48" s="755"/>
      <c r="AA48" s="755"/>
      <c r="AB48" s="755"/>
      <c r="AC48" s="755"/>
    </row>
    <row r="49" spans="1:29" ht="15" thickBot="1">
      <c r="A49" s="491" t="s">
        <v>2653</v>
      </c>
      <c r="B49" s="492"/>
      <c r="C49" s="1397">
        <f>R49</f>
        <v>112630</v>
      </c>
      <c r="D49" s="1397"/>
      <c r="E49" s="1397"/>
      <c r="F49" s="1397"/>
      <c r="G49" s="1397"/>
      <c r="H49" s="1397"/>
      <c r="I49" s="1397"/>
      <c r="J49" s="1397"/>
      <c r="K49" s="781"/>
      <c r="L49" s="1125"/>
      <c r="M49" s="1126"/>
      <c r="N49" s="1113"/>
      <c r="O49" s="1126"/>
      <c r="P49" s="3644" t="str">
        <f>A49</f>
        <v>估价对象XX用房的比较价值（楼面单价，元/平方米）</v>
      </c>
      <c r="Q49" s="3645"/>
      <c r="R49" s="3646">
        <f>IF(F1="售价",ROUND(AVERAGE(R48:V48),0),ROUND(AVERAGE(R48:V48),1))</f>
        <v>112630</v>
      </c>
      <c r="S49" s="3646"/>
      <c r="T49" s="3646"/>
      <c r="U49" s="3646"/>
      <c r="V49" s="3646"/>
      <c r="W49" s="3646"/>
      <c r="X49" s="755"/>
      <c r="Y49" s="755"/>
      <c r="Z49" s="755"/>
      <c r="AA49" s="755"/>
      <c r="AB49" s="755"/>
      <c r="AC49" s="755"/>
    </row>
    <row r="50" spans="1:29">
      <c r="A50" s="1126"/>
      <c r="B50" s="1126"/>
      <c r="C50" s="1126"/>
      <c r="D50" s="1126"/>
      <c r="E50" s="1126"/>
      <c r="F50" s="1126"/>
      <c r="G50" s="1129"/>
      <c r="H50" s="1126"/>
      <c r="I50" s="1126"/>
      <c r="J50" s="1126"/>
      <c r="K50" s="1094"/>
      <c r="L50" s="1095"/>
      <c r="M50" s="1126"/>
      <c r="N50" s="1126"/>
      <c r="O50" s="1126"/>
      <c r="P50" s="674"/>
      <c r="Q50" s="755"/>
      <c r="R50" s="755"/>
      <c r="S50" s="755"/>
      <c r="T50" s="755"/>
      <c r="U50" s="755"/>
      <c r="V50" s="755"/>
      <c r="W50" s="755"/>
      <c r="X50" s="755"/>
      <c r="Y50" s="755"/>
      <c r="Z50" s="755"/>
      <c r="AA50" s="755"/>
      <c r="AB50" s="755"/>
      <c r="AC50" s="755"/>
    </row>
    <row r="51" spans="1:29">
      <c r="A51" s="1126"/>
      <c r="B51" s="1126"/>
      <c r="C51" s="1126"/>
      <c r="D51" s="1126"/>
      <c r="E51" s="1126"/>
      <c r="F51" s="1126"/>
      <c r="G51" s="1126"/>
      <c r="H51" s="1126"/>
      <c r="I51" s="1126"/>
      <c r="J51" s="1126"/>
      <c r="K51" s="1094"/>
      <c r="L51" s="1095"/>
      <c r="M51" s="1126"/>
      <c r="N51" s="1126"/>
      <c r="O51" s="1126"/>
      <c r="P51" s="674"/>
      <c r="Q51" s="755"/>
      <c r="R51" s="755"/>
      <c r="S51" s="755"/>
      <c r="T51" s="755"/>
      <c r="U51" s="755"/>
      <c r="V51" s="755"/>
      <c r="W51" s="755"/>
      <c r="X51" s="755"/>
      <c r="Y51" s="755"/>
      <c r="Z51" s="755"/>
      <c r="AA51" s="755"/>
      <c r="AB51" s="755"/>
      <c r="AC51" s="755"/>
    </row>
    <row r="52" spans="1:29" ht="13.5" customHeight="1">
      <c r="A52" s="1126"/>
      <c r="B52" s="1126"/>
      <c r="C52" s="496" t="s">
        <v>2654</v>
      </c>
      <c r="D52" s="497"/>
      <c r="E52" s="498">
        <f>IF(E47&lt;E48,E48/E47-1,E47/E48-1)</f>
        <v>4.5502046503526961E-2</v>
      </c>
      <c r="F52" s="499" t="str">
        <f>IF(OR(E52&gt;=0.3,E52&lt;=-0.3),"超过30%","")</f>
        <v/>
      </c>
      <c r="G52" s="498">
        <f>IF(G47&lt;G48,G48/G47-1,G47/G48-1)</f>
        <v>3.5296439344816966E-2</v>
      </c>
      <c r="H52" s="499" t="str">
        <f>IF(OR(G52&gt;=0.3,G52&lt;=-0.3),"超过30%","")</f>
        <v/>
      </c>
      <c r="I52" s="498">
        <f>IF(I47&lt;I48,I48/I47-1,I47/I48-1)</f>
        <v>7.1609214124666698E-2</v>
      </c>
      <c r="J52" s="499" t="str">
        <f>IF(OR(I52&gt;=0.3,I52&lt;=-0.3),"超过30%","")</f>
        <v/>
      </c>
      <c r="K52" s="1094"/>
      <c r="L52" s="1095"/>
      <c r="M52" s="1126"/>
      <c r="N52" s="1126"/>
      <c r="O52" s="1126"/>
      <c r="P52" s="674"/>
      <c r="Q52" s="755"/>
      <c r="R52" s="755"/>
      <c r="S52" s="755"/>
      <c r="T52" s="755"/>
      <c r="U52" s="755"/>
      <c r="V52" s="755"/>
      <c r="W52" s="755"/>
      <c r="X52" s="755"/>
      <c r="Y52" s="755"/>
      <c r="Z52" s="755"/>
      <c r="AA52" s="755"/>
      <c r="AB52" s="755"/>
      <c r="AC52" s="755"/>
    </row>
    <row r="53" spans="1:29" ht="13.5" customHeight="1">
      <c r="A53" s="1126"/>
      <c r="B53" s="1126"/>
      <c r="C53" s="496" t="s">
        <v>2655</v>
      </c>
      <c r="D53" s="500"/>
      <c r="E53" s="498">
        <f>IF(E48&lt;G48,G48/E48-1,E48/G48-1)</f>
        <v>7.909747869151329E-2</v>
      </c>
      <c r="F53" s="499" t="str">
        <f>IF(OR(E53&gt;=0.2,E53&lt;=-0.2),"超过20%","")</f>
        <v/>
      </c>
      <c r="G53" s="498">
        <f>IF(G48&lt;I48,I48/G48-1,G48/I48-1)</f>
        <v>9.6172460131750848E-2</v>
      </c>
      <c r="H53" s="499" t="str">
        <f>IF(OR(G53&gt;=0.2,G53&lt;=-0.2),"超过20%","")</f>
        <v/>
      </c>
      <c r="I53" s="498">
        <f>IF(I48&lt;E48,E48/I48-1,I48/E48-1)</f>
        <v>1.5823391099886841E-2</v>
      </c>
      <c r="J53" s="499" t="str">
        <f>IF(OR(I53&gt;=0.2,I53&lt;=-0.2),"超过20%","")</f>
        <v/>
      </c>
      <c r="K53" s="1094"/>
      <c r="L53" s="1095"/>
      <c r="M53" s="1126"/>
      <c r="N53" s="1126"/>
      <c r="O53" s="1126"/>
      <c r="P53" s="674"/>
      <c r="Q53" s="755"/>
      <c r="R53" s="755"/>
      <c r="S53" s="755"/>
      <c r="T53" s="755"/>
      <c r="U53" s="755"/>
      <c r="V53" s="755"/>
      <c r="W53" s="755"/>
      <c r="X53" s="755"/>
      <c r="Y53" s="755"/>
      <c r="Z53" s="755"/>
      <c r="AA53" s="755"/>
      <c r="AB53" s="755"/>
      <c r="AC53" s="755"/>
    </row>
    <row r="54" spans="1:29" s="501" customFormat="1" ht="13.5" customHeight="1">
      <c r="A54" s="1127"/>
      <c r="B54" s="1127"/>
      <c r="C54" s="496" t="s">
        <v>2656</v>
      </c>
      <c r="D54" s="500"/>
      <c r="E54" s="498">
        <f>IF(E47&lt;G47,G47/E47-1,E47/G47-1)</f>
        <v>8.9734861893999263E-2</v>
      </c>
      <c r="F54" s="499" t="str">
        <f>IF(OR(E54&gt;=0.3,E54&lt;=-0.3),"超过30%","")</f>
        <v/>
      </c>
      <c r="G54" s="498">
        <f>IF(G47&lt;I47,I47/G47-1,G47/I47-1)</f>
        <v>0.13462044676814711</v>
      </c>
      <c r="H54" s="499" t="str">
        <f>IF(OR(G54&gt;=0.3,G54&lt;=-0.3),"超过30%","")</f>
        <v/>
      </c>
      <c r="I54" s="498">
        <f>IF(I47&lt;E47,E47/I47-1,I47/E47-1)</f>
        <v>4.1189454833201466E-2</v>
      </c>
      <c r="J54" s="499" t="str">
        <f>IF(OR(I54&gt;=0.3,I54&lt;=-0.3),"超过30%","")</f>
        <v/>
      </c>
      <c r="K54" s="1130"/>
      <c r="L54" s="1131"/>
      <c r="M54" s="1127"/>
      <c r="N54" s="1127"/>
      <c r="O54" s="1127"/>
      <c r="P54" s="2636"/>
      <c r="Q54" s="756"/>
      <c r="R54" s="756"/>
      <c r="S54" s="756"/>
      <c r="T54" s="756"/>
      <c r="U54" s="756"/>
      <c r="V54" s="756"/>
      <c r="W54" s="756"/>
      <c r="X54" s="756"/>
      <c r="Y54" s="756"/>
      <c r="Z54" s="756"/>
      <c r="AA54" s="756"/>
      <c r="AB54" s="756"/>
      <c r="AC54" s="756"/>
    </row>
    <row r="55" spans="1:29" s="501" customFormat="1">
      <c r="A55" s="1127"/>
      <c r="B55" s="1128"/>
      <c r="C55" s="1132"/>
      <c r="D55" s="1127"/>
      <c r="E55" s="1127"/>
      <c r="F55" s="1127"/>
      <c r="G55" s="1127"/>
      <c r="H55" s="1127"/>
      <c r="I55" s="1127"/>
      <c r="J55" s="1127"/>
      <c r="K55" s="1130"/>
      <c r="L55" s="1131"/>
      <c r="M55" s="1127"/>
      <c r="N55" s="1127"/>
      <c r="O55" s="1127"/>
      <c r="P55" s="2636"/>
      <c r="Q55" s="756"/>
      <c r="R55" s="756"/>
      <c r="S55" s="756"/>
      <c r="T55" s="756"/>
      <c r="U55" s="756"/>
      <c r="V55" s="756"/>
      <c r="W55" s="756"/>
      <c r="X55" s="756"/>
      <c r="Y55" s="756"/>
      <c r="Z55" s="756"/>
      <c r="AA55" s="756"/>
      <c r="AB55" s="756"/>
      <c r="AC55" s="756"/>
    </row>
    <row r="56" spans="1:29">
      <c r="A56" s="1126"/>
      <c r="B56" s="1128"/>
      <c r="C56" s="1132"/>
      <c r="D56" s="1126"/>
      <c r="E56" s="1126"/>
      <c r="F56" s="1126"/>
      <c r="G56" s="1126"/>
      <c r="H56" s="1126"/>
      <c r="I56" s="1126"/>
      <c r="J56" s="1126"/>
      <c r="K56" s="1094"/>
      <c r="L56" s="1095"/>
      <c r="M56" s="1126"/>
      <c r="N56" s="1126"/>
      <c r="O56" s="1126"/>
      <c r="P56" s="674"/>
      <c r="Q56" s="755"/>
      <c r="R56" s="755"/>
      <c r="S56" s="755"/>
      <c r="T56" s="755"/>
      <c r="U56" s="755"/>
      <c r="V56" s="755"/>
      <c r="W56" s="755"/>
      <c r="X56" s="755"/>
      <c r="Y56" s="755"/>
      <c r="Z56" s="755"/>
      <c r="AA56" s="755"/>
      <c r="AB56" s="755"/>
      <c r="AC56" s="755"/>
    </row>
    <row r="57" spans="1:29" ht="22.2" thickBot="1">
      <c r="A57" s="759" t="s">
        <v>2657</v>
      </c>
      <c r="B57" s="755"/>
      <c r="C57" s="760"/>
      <c r="D57" s="760"/>
      <c r="E57" s="760"/>
      <c r="F57" s="761"/>
      <c r="G57" s="761"/>
      <c r="H57" s="760"/>
      <c r="I57" s="760"/>
      <c r="J57" s="760"/>
      <c r="K57" s="762"/>
      <c r="L57" s="1143"/>
      <c r="M57" s="1141"/>
      <c r="N57" s="1141"/>
      <c r="O57" s="1141"/>
      <c r="P57" s="2637"/>
      <c r="Q57" s="2638"/>
      <c r="R57" s="755"/>
      <c r="S57" s="755"/>
      <c r="T57" s="755"/>
      <c r="U57" s="755"/>
      <c r="V57" s="755"/>
      <c r="W57" s="755"/>
      <c r="X57" s="755"/>
      <c r="Y57" s="755"/>
      <c r="Z57" s="755"/>
      <c r="AA57" s="755"/>
      <c r="AB57" s="755"/>
      <c r="AC57" s="755"/>
    </row>
    <row r="58" spans="1:29" s="507" customFormat="1" ht="14.4">
      <c r="A58" s="504" t="s">
        <v>2531</v>
      </c>
      <c r="B58" s="505"/>
      <c r="C58" s="1553" t="str">
        <f>YEAR(C7)&amp;"-"&amp;MONTH(C7)</f>
        <v>2020-3</v>
      </c>
      <c r="D58" s="1554">
        <f>EDATE(C58,-1)</f>
        <v>43862</v>
      </c>
      <c r="E58" s="1554">
        <f t="shared" ref="E58:N58" si="16">EDATE(D58,-1)</f>
        <v>43831</v>
      </c>
      <c r="F58" s="1554">
        <f t="shared" si="16"/>
        <v>43800</v>
      </c>
      <c r="G58" s="1554">
        <f t="shared" si="16"/>
        <v>43770</v>
      </c>
      <c r="H58" s="1554">
        <f t="shared" si="16"/>
        <v>43739</v>
      </c>
      <c r="I58" s="1554">
        <f t="shared" si="16"/>
        <v>43709</v>
      </c>
      <c r="J58" s="1554">
        <f t="shared" si="16"/>
        <v>43678</v>
      </c>
      <c r="K58" s="1554">
        <f t="shared" si="16"/>
        <v>43647</v>
      </c>
      <c r="L58" s="1554">
        <f t="shared" si="16"/>
        <v>43617</v>
      </c>
      <c r="M58" s="1554">
        <f t="shared" si="16"/>
        <v>43586</v>
      </c>
      <c r="N58" s="1554">
        <f t="shared" si="16"/>
        <v>43556</v>
      </c>
      <c r="O58" s="1554">
        <f>EDATE(N58,-1)</f>
        <v>43525</v>
      </c>
      <c r="P58" s="1549"/>
    </row>
    <row r="59" spans="1:29" s="117" customFormat="1">
      <c r="A59" s="508"/>
      <c r="B59" s="509"/>
      <c r="C59" s="1552">
        <v>100</v>
      </c>
      <c r="D59" s="1552">
        <v>99</v>
      </c>
      <c r="E59" s="511">
        <v>99</v>
      </c>
      <c r="F59" s="511">
        <v>99</v>
      </c>
      <c r="G59" s="511">
        <v>99</v>
      </c>
      <c r="H59" s="511"/>
      <c r="I59" s="511"/>
      <c r="J59" s="511"/>
      <c r="K59" s="511"/>
      <c r="L59" s="511"/>
      <c r="M59" s="512"/>
      <c r="N59" s="511"/>
      <c r="O59" s="512"/>
      <c r="P59" s="2598"/>
    </row>
    <row r="60" spans="1:29" s="117" customFormat="1" ht="15" thickBot="1">
      <c r="A60" s="514" t="s">
        <v>2568</v>
      </c>
      <c r="B60" s="515"/>
      <c r="C60" s="516"/>
      <c r="D60" s="517"/>
      <c r="E60" s="517"/>
      <c r="F60" s="517"/>
      <c r="G60" s="517"/>
      <c r="H60" s="517"/>
      <c r="I60" s="517"/>
      <c r="J60" s="517"/>
      <c r="K60" s="517"/>
      <c r="L60" s="517"/>
      <c r="M60" s="518"/>
      <c r="N60" s="517"/>
      <c r="O60" s="518"/>
      <c r="P60" s="2598"/>
      <c r="Q60" s="503"/>
    </row>
    <row r="61" spans="1:29" s="117" customFormat="1" ht="14.4">
      <c r="A61" s="520" t="s">
        <v>2533</v>
      </c>
      <c r="B61" s="509"/>
      <c r="C61" s="521" t="s">
        <v>2635</v>
      </c>
      <c r="D61" s="522"/>
      <c r="E61" s="522"/>
      <c r="F61" s="522"/>
      <c r="G61" s="522"/>
      <c r="H61" s="522"/>
      <c r="I61" s="522"/>
      <c r="J61" s="522"/>
      <c r="K61" s="522"/>
      <c r="L61" s="523"/>
      <c r="M61" s="524"/>
      <c r="N61" s="1133"/>
      <c r="O61" s="1133"/>
      <c r="P61" s="2599"/>
      <c r="Q61" s="503"/>
    </row>
    <row r="62" spans="1:29" s="117" customFormat="1" ht="14.4" thickBot="1">
      <c r="A62" s="520"/>
      <c r="B62" s="509"/>
      <c r="C62" s="510">
        <v>100</v>
      </c>
      <c r="D62" s="511"/>
      <c r="E62" s="511"/>
      <c r="F62" s="511"/>
      <c r="G62" s="511"/>
      <c r="H62" s="511"/>
      <c r="I62" s="511"/>
      <c r="J62" s="511"/>
      <c r="K62" s="511"/>
      <c r="L62" s="511"/>
      <c r="M62" s="513"/>
      <c r="N62" s="1133"/>
      <c r="O62" s="1133"/>
      <c r="P62" s="2598"/>
      <c r="Q62" s="503"/>
    </row>
    <row r="63" spans="1:29" ht="14.4">
      <c r="A63" s="526" t="s">
        <v>2571</v>
      </c>
      <c r="B63" s="527" t="s">
        <v>2537</v>
      </c>
      <c r="C63" s="528" t="str">
        <f>C9</f>
        <v>商业</v>
      </c>
      <c r="D63" s="529"/>
      <c r="E63" s="529"/>
      <c r="F63" s="529"/>
      <c r="G63" s="529"/>
      <c r="H63" s="529"/>
      <c r="I63" s="529"/>
      <c r="J63" s="529"/>
      <c r="K63" s="530"/>
      <c r="L63" s="531"/>
      <c r="M63" s="532"/>
      <c r="N63" s="1134"/>
      <c r="O63" s="1134"/>
      <c r="P63" s="2600"/>
      <c r="Q63" s="503"/>
    </row>
    <row r="64" spans="1:29" ht="14.4" thickBot="1">
      <c r="A64" s="533"/>
      <c r="B64" s="534"/>
      <c r="C64" s="535">
        <v>100</v>
      </c>
      <c r="D64" s="535"/>
      <c r="E64" s="535"/>
      <c r="F64" s="535"/>
      <c r="G64" s="535"/>
      <c r="H64" s="535"/>
      <c r="I64" s="535"/>
      <c r="J64" s="535"/>
      <c r="K64" s="535"/>
      <c r="L64" s="535"/>
      <c r="M64" s="536"/>
      <c r="N64" s="1135"/>
      <c r="O64" s="1135"/>
      <c r="P64" s="2600"/>
      <c r="Q64" s="503"/>
    </row>
    <row r="65" spans="1:17" ht="29.4" thickTop="1">
      <c r="A65" s="533"/>
      <c r="B65" s="537" t="s">
        <v>2540</v>
      </c>
      <c r="C65" s="538" t="s">
        <v>2572</v>
      </c>
      <c r="D65" s="538" t="s">
        <v>2573</v>
      </c>
      <c r="E65" s="538" t="s">
        <v>2574</v>
      </c>
      <c r="F65" s="538" t="s">
        <v>2575</v>
      </c>
      <c r="G65" s="538" t="s">
        <v>2576</v>
      </c>
      <c r="H65" s="538" t="s">
        <v>2577</v>
      </c>
      <c r="I65" s="538" t="s">
        <v>2578</v>
      </c>
      <c r="J65" s="538"/>
      <c r="K65" s="539"/>
      <c r="L65" s="540"/>
      <c r="M65" s="541"/>
      <c r="N65" s="1134"/>
      <c r="O65" s="1134"/>
      <c r="P65" s="2600"/>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35"/>
      <c r="O66" s="1135"/>
      <c r="P66" s="2600"/>
      <c r="Q66" s="503"/>
    </row>
    <row r="67" spans="1:17" ht="15" thickTop="1">
      <c r="A67" s="533"/>
      <c r="B67" s="545" t="s">
        <v>2541</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5"/>
      <c r="O67" s="1135"/>
      <c r="P67" s="2600"/>
      <c r="Q67" s="503"/>
    </row>
    <row r="68" spans="1:17">
      <c r="A68" s="533"/>
      <c r="B68" s="547"/>
      <c r="C68" s="548">
        <v>0</v>
      </c>
      <c r="D68" s="548">
        <v>2</v>
      </c>
      <c r="E68" s="548">
        <v>4</v>
      </c>
      <c r="F68" s="548">
        <v>6</v>
      </c>
      <c r="G68" s="548">
        <v>8</v>
      </c>
      <c r="H68" s="548">
        <v>10</v>
      </c>
      <c r="I68" s="548">
        <v>12</v>
      </c>
      <c r="J68" s="548"/>
      <c r="K68" s="549"/>
      <c r="L68" s="550"/>
      <c r="M68" s="551"/>
      <c r="N68" s="1134"/>
      <c r="O68" s="1134"/>
      <c r="P68" s="2600"/>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5"/>
      <c r="O69" s="1135"/>
      <c r="P69" s="2600"/>
      <c r="Q69" s="503"/>
    </row>
    <row r="70" spans="1:17" s="470" customFormat="1" ht="14.4" thickTop="1">
      <c r="A70" s="552"/>
      <c r="B70" s="537">
        <f>B12</f>
        <v>111</v>
      </c>
      <c r="C70" s="553"/>
      <c r="D70" s="553"/>
      <c r="E70" s="553"/>
      <c r="F70" s="553"/>
      <c r="G70" s="553"/>
      <c r="H70" s="554"/>
      <c r="I70" s="554"/>
      <c r="J70" s="554"/>
      <c r="K70" s="554"/>
      <c r="L70" s="555"/>
      <c r="M70" s="556"/>
      <c r="N70" s="1136"/>
      <c r="O70" s="1136"/>
      <c r="P70" s="2601"/>
      <c r="Q70" s="558"/>
    </row>
    <row r="71" spans="1:17" s="470" customFormat="1" ht="14.4" thickBot="1">
      <c r="A71" s="552"/>
      <c r="B71" s="542"/>
      <c r="C71" s="559"/>
      <c r="D71" s="535"/>
      <c r="E71" s="535"/>
      <c r="F71" s="535"/>
      <c r="G71" s="535"/>
      <c r="H71" s="535"/>
      <c r="I71" s="535"/>
      <c r="J71" s="535"/>
      <c r="K71" s="535"/>
      <c r="L71" s="535"/>
      <c r="M71" s="536"/>
      <c r="N71" s="1135"/>
      <c r="O71" s="1135"/>
      <c r="P71" s="2601"/>
      <c r="Q71" s="558"/>
    </row>
    <row r="72" spans="1:17" s="470" customFormat="1" ht="14.4" thickTop="1">
      <c r="A72" s="552"/>
      <c r="B72" s="537">
        <f>B13</f>
        <v>111</v>
      </c>
      <c r="C72" s="553"/>
      <c r="D72" s="553"/>
      <c r="E72" s="553"/>
      <c r="F72" s="553"/>
      <c r="G72" s="553"/>
      <c r="H72" s="554"/>
      <c r="I72" s="554"/>
      <c r="J72" s="554"/>
      <c r="K72" s="554"/>
      <c r="L72" s="555"/>
      <c r="M72" s="556"/>
      <c r="N72" s="1136"/>
      <c r="O72" s="1136"/>
      <c r="P72" s="2602"/>
      <c r="Q72" s="560"/>
    </row>
    <row r="73" spans="1:17" s="470" customFormat="1" ht="14.4" thickBot="1">
      <c r="A73" s="552"/>
      <c r="B73" s="542"/>
      <c r="C73" s="559"/>
      <c r="D73" s="535"/>
      <c r="E73" s="535"/>
      <c r="F73" s="535"/>
      <c r="G73" s="559"/>
      <c r="H73" s="561"/>
      <c r="I73" s="561"/>
      <c r="J73" s="561"/>
      <c r="K73" s="561"/>
      <c r="L73" s="561"/>
      <c r="M73" s="562"/>
      <c r="N73" s="1136"/>
      <c r="O73" s="1136"/>
      <c r="P73" s="2601"/>
      <c r="Q73" s="558"/>
    </row>
    <row r="74" spans="1:17" s="470" customFormat="1" ht="14.4" thickTop="1">
      <c r="A74" s="552"/>
      <c r="B74" s="545">
        <f>B14</f>
        <v>111</v>
      </c>
      <c r="C74" s="553"/>
      <c r="D74" s="553"/>
      <c r="E74" s="553"/>
      <c r="F74" s="553"/>
      <c r="G74" s="522"/>
      <c r="H74" s="563"/>
      <c r="I74" s="563"/>
      <c r="J74" s="563"/>
      <c r="K74" s="563"/>
      <c r="L74" s="564"/>
      <c r="M74" s="565"/>
      <c r="N74" s="1136"/>
      <c r="O74" s="1136"/>
      <c r="P74" s="2603"/>
      <c r="Q74" s="558"/>
    </row>
    <row r="75" spans="1:17" s="470" customFormat="1" ht="14.4" thickBot="1">
      <c r="A75" s="567"/>
      <c r="B75" s="568"/>
      <c r="C75" s="569"/>
      <c r="D75" s="569"/>
      <c r="E75" s="569"/>
      <c r="F75" s="569"/>
      <c r="G75" s="569"/>
      <c r="H75" s="570"/>
      <c r="I75" s="570"/>
      <c r="J75" s="570"/>
      <c r="K75" s="570"/>
      <c r="L75" s="570"/>
      <c r="M75" s="571"/>
      <c r="N75" s="1136"/>
      <c r="O75" s="1136"/>
      <c r="P75" s="2601"/>
      <c r="Q75" s="558"/>
    </row>
    <row r="76" spans="1:17" ht="14.4">
      <c r="A76" s="526" t="s">
        <v>2542</v>
      </c>
      <c r="B76" s="527" t="s">
        <v>2579</v>
      </c>
      <c r="C76" s="572" t="s">
        <v>2580</v>
      </c>
      <c r="D76" s="572" t="s">
        <v>2581</v>
      </c>
      <c r="E76" s="572" t="s">
        <v>2582</v>
      </c>
      <c r="F76" s="572" t="s">
        <v>2583</v>
      </c>
      <c r="G76" s="572" t="s">
        <v>2584</v>
      </c>
      <c r="H76" s="528"/>
      <c r="I76" s="528"/>
      <c r="J76" s="528"/>
      <c r="K76" s="573"/>
      <c r="L76" s="574"/>
      <c r="M76" s="575"/>
      <c r="N76" s="1134"/>
      <c r="O76" s="1134"/>
      <c r="P76" s="2604"/>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35"/>
      <c r="O77" s="1135"/>
      <c r="P77" s="2600"/>
      <c r="Q77" s="503"/>
    </row>
    <row r="78" spans="1:17" ht="15" thickTop="1">
      <c r="A78" s="533"/>
      <c r="B78" s="537" t="s">
        <v>2585</v>
      </c>
      <c r="C78" s="577" t="s">
        <v>2580</v>
      </c>
      <c r="D78" s="577" t="s">
        <v>2581</v>
      </c>
      <c r="E78" s="577" t="s">
        <v>2582</v>
      </c>
      <c r="F78" s="577" t="s">
        <v>2583</v>
      </c>
      <c r="G78" s="577" t="s">
        <v>2584</v>
      </c>
      <c r="H78" s="538"/>
      <c r="I78" s="538"/>
      <c r="J78" s="538"/>
      <c r="K78" s="539"/>
      <c r="L78" s="540"/>
      <c r="M78" s="541"/>
      <c r="N78" s="1134"/>
      <c r="O78" s="1134"/>
      <c r="P78" s="2600"/>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35"/>
      <c r="O79" s="1135"/>
      <c r="P79" s="2600"/>
      <c r="Q79" s="503"/>
    </row>
    <row r="80" spans="1:17" ht="15" thickTop="1">
      <c r="A80" s="533"/>
      <c r="B80" s="537" t="s">
        <v>2586</v>
      </c>
      <c r="C80" s="577" t="s">
        <v>2580</v>
      </c>
      <c r="D80" s="577" t="s">
        <v>2581</v>
      </c>
      <c r="E80" s="577" t="s">
        <v>2582</v>
      </c>
      <c r="F80" s="577" t="s">
        <v>2583</v>
      </c>
      <c r="G80" s="577" t="s">
        <v>2584</v>
      </c>
      <c r="H80" s="538"/>
      <c r="I80" s="538"/>
      <c r="J80" s="538"/>
      <c r="K80" s="539"/>
      <c r="L80" s="540"/>
      <c r="M80" s="541"/>
      <c r="N80" s="1134"/>
      <c r="O80" s="1134"/>
      <c r="P80" s="2600"/>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35"/>
      <c r="O81" s="1135"/>
      <c r="P81" s="2600"/>
      <c r="Q81" s="503"/>
    </row>
    <row r="82" spans="1:17" ht="15" thickTop="1">
      <c r="A82" s="533"/>
      <c r="B82" s="545" t="s">
        <v>2638</v>
      </c>
      <c r="C82" s="659" t="s">
        <v>2658</v>
      </c>
      <c r="D82" s="659" t="s">
        <v>2659</v>
      </c>
      <c r="E82" s="659" t="s">
        <v>2660</v>
      </c>
      <c r="F82" s="659" t="s">
        <v>2661</v>
      </c>
      <c r="G82" s="659" t="s">
        <v>2662</v>
      </c>
      <c r="H82" s="538"/>
      <c r="I82" s="538"/>
      <c r="J82" s="538"/>
      <c r="K82" s="538"/>
      <c r="L82" s="538"/>
      <c r="M82" s="1363"/>
      <c r="N82" s="1135"/>
      <c r="O82" s="1135"/>
      <c r="P82" s="2600"/>
      <c r="Q82" s="503"/>
    </row>
    <row r="83" spans="1:17" ht="14.4"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5"/>
      <c r="O83" s="1135"/>
      <c r="P83" s="2600"/>
      <c r="Q83" s="503"/>
    </row>
    <row r="84" spans="1:17" ht="15" thickTop="1">
      <c r="A84" s="533"/>
      <c r="B84" s="537" t="s">
        <v>2592</v>
      </c>
      <c r="C84" s="577" t="s">
        <v>2580</v>
      </c>
      <c r="D84" s="577" t="s">
        <v>2581</v>
      </c>
      <c r="E84" s="577" t="s">
        <v>2582</v>
      </c>
      <c r="F84" s="577" t="s">
        <v>2583</v>
      </c>
      <c r="G84" s="577" t="s">
        <v>2584</v>
      </c>
      <c r="H84" s="538"/>
      <c r="I84" s="538"/>
      <c r="J84" s="538"/>
      <c r="K84" s="539"/>
      <c r="L84" s="540"/>
      <c r="M84" s="541"/>
      <c r="N84" s="1134"/>
      <c r="O84" s="1134"/>
      <c r="P84" s="2600"/>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35"/>
      <c r="O85" s="1135"/>
      <c r="P85" s="2600"/>
      <c r="Q85" s="503"/>
    </row>
    <row r="86" spans="1:17" s="117" customFormat="1" ht="15" thickTop="1">
      <c r="A86" s="578"/>
      <c r="B86" s="537" t="s">
        <v>2663</v>
      </c>
      <c r="C86" s="2966" t="s">
        <v>3056</v>
      </c>
      <c r="D86" s="2966" t="s">
        <v>3057</v>
      </c>
      <c r="E86" s="2966" t="s">
        <v>3058</v>
      </c>
      <c r="F86" s="2966" t="s">
        <v>3059</v>
      </c>
      <c r="G86" s="553"/>
      <c r="H86" s="553"/>
      <c r="I86" s="553"/>
      <c r="J86" s="553"/>
      <c r="K86" s="553"/>
      <c r="L86" s="579"/>
      <c r="M86" s="580"/>
      <c r="N86" s="1133"/>
      <c r="O86" s="1133"/>
      <c r="P86" s="2600"/>
      <c r="Q86" s="503"/>
    </row>
    <row r="87" spans="1:17" s="117" customFormat="1" ht="14.4"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5"/>
      <c r="O87" s="1135"/>
      <c r="P87" s="2600"/>
      <c r="Q87" s="503"/>
    </row>
    <row r="88" spans="1:17" s="117" customFormat="1" ht="15.6" thickTop="1" thickBot="1">
      <c r="A88" s="578"/>
      <c r="B88" s="537" t="str">
        <f>B26</f>
        <v>平面位置/可视性</v>
      </c>
      <c r="C88" s="2966" t="s">
        <v>3060</v>
      </c>
      <c r="D88" s="2966" t="s">
        <v>3061</v>
      </c>
      <c r="E88" s="2966" t="s">
        <v>3062</v>
      </c>
      <c r="F88" s="2966" t="s">
        <v>3063</v>
      </c>
      <c r="G88" s="2966" t="s">
        <v>3064</v>
      </c>
      <c r="H88" s="553"/>
      <c r="I88" s="553"/>
      <c r="J88" s="553"/>
      <c r="K88" s="553"/>
      <c r="L88" s="553"/>
      <c r="M88" s="580"/>
      <c r="N88" s="1133"/>
      <c r="O88" s="1133"/>
      <c r="P88" s="2600"/>
      <c r="Q88" s="503"/>
    </row>
    <row r="89" spans="1:17" s="117" customFormat="1" ht="15.6" thickTop="1" thickBot="1">
      <c r="A89" s="578"/>
      <c r="B89" s="542"/>
      <c r="C89" s="2966">
        <v>100</v>
      </c>
      <c r="D89" s="2966">
        <f>C89-2</f>
        <v>98</v>
      </c>
      <c r="E89" s="2966">
        <f t="shared" ref="E89:G89" si="21">D89-2</f>
        <v>96</v>
      </c>
      <c r="F89" s="2966">
        <f t="shared" si="21"/>
        <v>94</v>
      </c>
      <c r="G89" s="2966">
        <f t="shared" si="21"/>
        <v>92</v>
      </c>
      <c r="H89" s="535"/>
      <c r="I89" s="535"/>
      <c r="J89" s="535"/>
      <c r="K89" s="535"/>
      <c r="L89" s="535"/>
      <c r="M89" s="535"/>
      <c r="N89" s="1135"/>
      <c r="O89" s="1135"/>
      <c r="P89" s="2600"/>
      <c r="Q89" s="503"/>
    </row>
    <row r="90" spans="1:17" s="470" customFormat="1" ht="15" thickTop="1">
      <c r="A90" s="552"/>
      <c r="B90" s="537" t="str">
        <f>B27</f>
        <v>人流量</v>
      </c>
      <c r="C90" s="2966" t="s">
        <v>3060</v>
      </c>
      <c r="D90" s="2966" t="s">
        <v>3061</v>
      </c>
      <c r="E90" s="2966" t="s">
        <v>3062</v>
      </c>
      <c r="F90" s="2966" t="s">
        <v>3063</v>
      </c>
      <c r="G90" s="2966" t="s">
        <v>3064</v>
      </c>
      <c r="H90" s="554"/>
      <c r="I90" s="554"/>
      <c r="J90" s="554"/>
      <c r="K90" s="554"/>
      <c r="L90" s="555"/>
      <c r="M90" s="556"/>
      <c r="N90" s="1136"/>
      <c r="O90" s="1136"/>
      <c r="P90" s="2601"/>
      <c r="Q90" s="558"/>
    </row>
    <row r="91" spans="1:17" s="470" customFormat="1" ht="14.4"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6"/>
      <c r="O91" s="1136"/>
      <c r="P91" s="2601"/>
      <c r="Q91" s="558"/>
    </row>
    <row r="92" spans="1:17" ht="15" thickTop="1">
      <c r="A92" s="533"/>
      <c r="B92" s="537" t="str">
        <f>B28</f>
        <v>楼层</v>
      </c>
      <c r="C92" s="2966">
        <v>1</v>
      </c>
      <c r="D92" s="553"/>
      <c r="E92" s="553"/>
      <c r="F92" s="553"/>
      <c r="G92" s="553"/>
      <c r="H92" s="553"/>
      <c r="I92" s="553"/>
      <c r="J92" s="553"/>
      <c r="K92" s="553"/>
      <c r="L92" s="579"/>
      <c r="M92" s="580"/>
      <c r="N92" s="1134"/>
      <c r="O92" s="1134"/>
      <c r="P92" s="2600"/>
      <c r="Q92" s="503"/>
    </row>
    <row r="93" spans="1:17" ht="14.4" thickBot="1">
      <c r="A93" s="533"/>
      <c r="B93" s="542"/>
      <c r="C93" s="535">
        <v>100</v>
      </c>
      <c r="D93" s="535"/>
      <c r="E93" s="535"/>
      <c r="F93" s="535"/>
      <c r="G93" s="535"/>
      <c r="H93" s="535"/>
      <c r="I93" s="535"/>
      <c r="J93" s="535"/>
      <c r="K93" s="535"/>
      <c r="L93" s="535"/>
      <c r="M93" s="536"/>
      <c r="N93" s="1135"/>
      <c r="O93" s="1135"/>
      <c r="P93" s="2600"/>
      <c r="Q93" s="503"/>
    </row>
    <row r="94" spans="1:17" ht="14.4" thickTop="1">
      <c r="A94" s="533"/>
      <c r="B94" s="537">
        <f>B29</f>
        <v>111</v>
      </c>
      <c r="C94" s="553"/>
      <c r="D94" s="553"/>
      <c r="E94" s="553"/>
      <c r="F94" s="553"/>
      <c r="G94" s="582"/>
      <c r="H94" s="582"/>
      <c r="I94" s="582"/>
      <c r="J94" s="582"/>
      <c r="K94" s="583"/>
      <c r="L94" s="584"/>
      <c r="M94" s="585"/>
      <c r="N94" s="1134"/>
      <c r="O94" s="1134"/>
      <c r="P94" s="2600"/>
      <c r="Q94" s="503"/>
    </row>
    <row r="95" spans="1:17" ht="14.4" thickBot="1">
      <c r="A95" s="533"/>
      <c r="B95" s="542"/>
      <c r="C95" s="559"/>
      <c r="D95" s="535"/>
      <c r="E95" s="535"/>
      <c r="F95" s="535"/>
      <c r="G95" s="535"/>
      <c r="H95" s="535"/>
      <c r="I95" s="535"/>
      <c r="J95" s="535"/>
      <c r="K95" s="535"/>
      <c r="L95" s="535"/>
      <c r="M95" s="536"/>
      <c r="N95" s="1135"/>
      <c r="O95" s="1135"/>
      <c r="P95" s="2600"/>
      <c r="Q95" s="503"/>
    </row>
    <row r="96" spans="1:17" ht="14.4" thickTop="1">
      <c r="A96" s="533"/>
      <c r="B96" s="537">
        <f>B30</f>
        <v>111</v>
      </c>
      <c r="C96" s="553"/>
      <c r="D96" s="553"/>
      <c r="E96" s="553"/>
      <c r="F96" s="553"/>
      <c r="G96" s="582"/>
      <c r="H96" s="582"/>
      <c r="I96" s="582"/>
      <c r="J96" s="582"/>
      <c r="K96" s="583"/>
      <c r="L96" s="584"/>
      <c r="M96" s="585"/>
      <c r="N96" s="1134"/>
      <c r="O96" s="1134"/>
      <c r="P96" s="2600"/>
      <c r="Q96" s="503"/>
    </row>
    <row r="97" spans="1:17" ht="14.4" thickBot="1">
      <c r="A97" s="533"/>
      <c r="B97" s="542"/>
      <c r="C97" s="559"/>
      <c r="D97" s="535"/>
      <c r="E97" s="535"/>
      <c r="F97" s="535"/>
      <c r="G97" s="535"/>
      <c r="H97" s="535"/>
      <c r="I97" s="535"/>
      <c r="J97" s="535"/>
      <c r="K97" s="535"/>
      <c r="L97" s="535"/>
      <c r="M97" s="536"/>
      <c r="N97" s="1135"/>
      <c r="O97" s="1135"/>
      <c r="P97" s="2600"/>
      <c r="Q97" s="503"/>
    </row>
    <row r="98" spans="1:17" ht="14.4" thickTop="1">
      <c r="A98" s="533"/>
      <c r="B98" s="545">
        <f>B31</f>
        <v>111</v>
      </c>
      <c r="C98" s="553"/>
      <c r="D98" s="553"/>
      <c r="E98" s="553"/>
      <c r="F98" s="553"/>
      <c r="G98" s="586"/>
      <c r="H98" s="586"/>
      <c r="I98" s="586"/>
      <c r="J98" s="586"/>
      <c r="K98" s="587"/>
      <c r="L98" s="588"/>
      <c r="M98" s="589"/>
      <c r="N98" s="1134"/>
      <c r="O98" s="1134"/>
      <c r="P98" s="2600"/>
      <c r="Q98" s="503"/>
    </row>
    <row r="99" spans="1:17" ht="14.4" thickBot="1">
      <c r="A99" s="2606"/>
      <c r="B99" s="568"/>
      <c r="C99" s="569"/>
      <c r="D99" s="569"/>
      <c r="E99" s="569"/>
      <c r="F99" s="569"/>
      <c r="G99" s="590"/>
      <c r="H99" s="590"/>
      <c r="I99" s="590"/>
      <c r="J99" s="590"/>
      <c r="K99" s="590"/>
      <c r="L99" s="590"/>
      <c r="M99" s="591"/>
      <c r="N99" s="1135"/>
      <c r="O99" s="1135"/>
      <c r="P99" s="2600"/>
      <c r="Q99" s="503"/>
    </row>
    <row r="100" spans="1:17" ht="14.4">
      <c r="A100" s="526" t="s">
        <v>2546</v>
      </c>
      <c r="B100" s="527" t="s">
        <v>2664</v>
      </c>
      <c r="C100" s="2968" t="s">
        <v>3066</v>
      </c>
      <c r="D100" s="2968" t="s">
        <v>3067</v>
      </c>
      <c r="E100" s="2968" t="s">
        <v>3068</v>
      </c>
      <c r="F100" s="529"/>
      <c r="G100" s="529"/>
      <c r="H100" s="529"/>
      <c r="I100" s="529"/>
      <c r="J100" s="529"/>
      <c r="K100" s="530"/>
      <c r="L100" s="531"/>
      <c r="M100" s="532"/>
      <c r="N100" s="1134"/>
      <c r="O100" s="1134"/>
      <c r="P100" s="2600"/>
      <c r="Q100" s="503"/>
    </row>
    <row r="101" spans="1:17" ht="14.4"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5"/>
      <c r="O101" s="1135"/>
      <c r="P101" s="2600"/>
      <c r="Q101" s="503"/>
    </row>
    <row r="102" spans="1:17" ht="28.2" thickTop="1">
      <c r="A102" s="533"/>
      <c r="B102" s="537" t="s">
        <v>2596</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3"/>
      <c r="O102" s="1133"/>
      <c r="P102" s="2600"/>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6"/>
      <c r="O103" s="1136"/>
      <c r="P103" s="2601"/>
      <c r="Q103" s="558"/>
    </row>
    <row r="104" spans="1:17" s="470" customFormat="1" ht="14.4"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5"/>
      <c r="O104" s="1135"/>
      <c r="P104" s="2601"/>
      <c r="Q104" s="558"/>
    </row>
    <row r="105" spans="1:17" ht="15" thickTop="1">
      <c r="A105" s="598"/>
      <c r="B105" s="537" t="s">
        <v>2597</v>
      </c>
      <c r="C105" s="2966" t="s">
        <v>3069</v>
      </c>
      <c r="D105" s="553"/>
      <c r="E105" s="582"/>
      <c r="F105" s="582"/>
      <c r="G105" s="582"/>
      <c r="H105" s="582"/>
      <c r="I105" s="582"/>
      <c r="J105" s="582"/>
      <c r="K105" s="583"/>
      <c r="L105" s="584"/>
      <c r="M105" s="585"/>
      <c r="N105" s="1134"/>
      <c r="O105" s="1134"/>
      <c r="P105" s="2600"/>
      <c r="Q105" s="503"/>
    </row>
    <row r="106" spans="1:17" ht="14.4"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5"/>
      <c r="O106" s="1135"/>
      <c r="P106" s="2600"/>
      <c r="Q106" s="503"/>
    </row>
    <row r="107" spans="1:17" ht="15" thickTop="1">
      <c r="A107" s="598"/>
      <c r="B107" s="537" t="s">
        <v>2599</v>
      </c>
      <c r="C107" s="2966" t="s">
        <v>3070</v>
      </c>
      <c r="D107" s="2966" t="s">
        <v>3071</v>
      </c>
      <c r="E107" s="2966" t="s">
        <v>3072</v>
      </c>
      <c r="F107" s="2969" t="s">
        <v>3073</v>
      </c>
      <c r="G107" s="582"/>
      <c r="H107" s="582"/>
      <c r="I107" s="582"/>
      <c r="J107" s="582"/>
      <c r="K107" s="583"/>
      <c r="L107" s="584"/>
      <c r="M107" s="585"/>
      <c r="N107" s="1134"/>
      <c r="O107" s="1134"/>
      <c r="P107" s="2600"/>
      <c r="Q107" s="503"/>
    </row>
    <row r="108" spans="1:17" ht="14.4"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5"/>
      <c r="O108" s="1135"/>
      <c r="P108" s="2600"/>
      <c r="Q108" s="503"/>
    </row>
    <row r="109" spans="1:17" ht="15" thickTop="1">
      <c r="A109" s="598"/>
      <c r="B109" s="537" t="s">
        <v>1981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4"/>
      <c r="O109" s="1134"/>
      <c r="P109" s="2600"/>
      <c r="Q109" s="503"/>
    </row>
    <row r="110" spans="1:17">
      <c r="A110" s="598"/>
      <c r="B110" s="545"/>
      <c r="C110" s="602">
        <v>0.5</v>
      </c>
      <c r="D110" s="602">
        <v>0.6</v>
      </c>
      <c r="E110" s="602">
        <v>0.7</v>
      </c>
      <c r="F110" s="602">
        <v>0.8</v>
      </c>
      <c r="G110" s="602">
        <v>0.9</v>
      </c>
      <c r="H110" s="602">
        <v>1.0001</v>
      </c>
      <c r="I110" s="622"/>
      <c r="J110" s="622"/>
      <c r="K110" s="623"/>
      <c r="L110" s="624"/>
      <c r="M110" s="625"/>
      <c r="N110" s="1134"/>
      <c r="O110" s="1134"/>
      <c r="P110" s="2600"/>
      <c r="Q110" s="503"/>
    </row>
    <row r="111" spans="1:17" ht="14.4"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5"/>
      <c r="O111" s="1135"/>
      <c r="P111" s="2600"/>
      <c r="Q111" s="503"/>
    </row>
    <row r="112" spans="1:17" s="470" customFormat="1" ht="15" thickTop="1">
      <c r="A112" s="592"/>
      <c r="B112" s="537" t="s">
        <v>2601</v>
      </c>
      <c r="C112" s="2966" t="s">
        <v>3074</v>
      </c>
      <c r="D112" s="2966" t="s">
        <v>3075</v>
      </c>
      <c r="E112" s="2966" t="s">
        <v>3076</v>
      </c>
      <c r="F112" s="2966" t="s">
        <v>3077</v>
      </c>
      <c r="G112" s="2966" t="s">
        <v>3078</v>
      </c>
      <c r="H112" s="582"/>
      <c r="I112" s="582"/>
      <c r="J112" s="582"/>
      <c r="K112" s="583"/>
      <c r="L112" s="584"/>
      <c r="M112" s="585"/>
      <c r="N112" s="1136"/>
      <c r="O112" s="1136"/>
      <c r="P112" s="2601"/>
      <c r="Q112" s="558"/>
    </row>
    <row r="113" spans="1:17" s="470" customFormat="1" ht="14.4"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6"/>
      <c r="O113" s="1136"/>
      <c r="P113" s="2601"/>
      <c r="Q113" s="558"/>
    </row>
    <row r="114" spans="1:17" ht="15" thickTop="1">
      <c r="A114" s="598"/>
      <c r="B114" s="537" t="s">
        <v>2665</v>
      </c>
      <c r="C114" s="2966" t="s">
        <v>3079</v>
      </c>
      <c r="D114" s="2966" t="s">
        <v>3080</v>
      </c>
      <c r="E114" s="582"/>
      <c r="F114" s="582"/>
      <c r="G114" s="582"/>
      <c r="H114" s="582"/>
      <c r="I114" s="582"/>
      <c r="J114" s="582"/>
      <c r="K114" s="583"/>
      <c r="L114" s="584"/>
      <c r="M114" s="585"/>
      <c r="N114" s="1134"/>
      <c r="O114" s="1134"/>
      <c r="P114" s="2600"/>
      <c r="Q114" s="503"/>
    </row>
    <row r="115" spans="1:17" ht="14.4"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5"/>
      <c r="O115" s="1135"/>
      <c r="P115" s="2600"/>
      <c r="Q115" s="503"/>
    </row>
    <row r="116" spans="1:17" ht="15" thickTop="1">
      <c r="A116" s="598"/>
      <c r="B116" s="537" t="s">
        <v>2666</v>
      </c>
      <c r="C116" s="2966" t="s">
        <v>3081</v>
      </c>
      <c r="D116" s="2966" t="s">
        <v>3082</v>
      </c>
      <c r="E116" s="553"/>
      <c r="F116" s="553"/>
      <c r="G116" s="553"/>
      <c r="H116" s="582"/>
      <c r="I116" s="582"/>
      <c r="J116" s="582"/>
      <c r="K116" s="583"/>
      <c r="L116" s="584"/>
      <c r="M116" s="585"/>
      <c r="N116" s="1134"/>
      <c r="O116" s="1134"/>
      <c r="P116" s="2600"/>
      <c r="Q116" s="503"/>
    </row>
    <row r="117" spans="1:17" ht="14.4" thickBot="1">
      <c r="A117" s="533"/>
      <c r="B117" s="542"/>
      <c r="C117" s="543">
        <v>100</v>
      </c>
      <c r="D117" s="543">
        <f>C117-$K39</f>
        <v>97</v>
      </c>
      <c r="E117" s="543">
        <f>D117-$K39</f>
        <v>94</v>
      </c>
      <c r="F117" s="543">
        <f>E117-$K39</f>
        <v>91</v>
      </c>
      <c r="G117" s="543">
        <f>F117-$K39</f>
        <v>88</v>
      </c>
      <c r="H117" s="543"/>
      <c r="I117" s="543"/>
      <c r="J117" s="543"/>
      <c r="K117" s="543"/>
      <c r="L117" s="543"/>
      <c r="M117" s="544"/>
      <c r="N117" s="1135"/>
      <c r="O117" s="1135"/>
      <c r="P117" s="2600"/>
      <c r="Q117" s="503"/>
    </row>
    <row r="118" spans="1:17" ht="15" thickTop="1">
      <c r="A118" s="598"/>
      <c r="B118" s="537" t="s">
        <v>2667</v>
      </c>
      <c r="C118" s="626"/>
      <c r="D118" s="626"/>
      <c r="E118" s="626"/>
      <c r="F118" s="626"/>
      <c r="G118" s="626"/>
      <c r="H118" s="554"/>
      <c r="I118" s="554"/>
      <c r="J118" s="554"/>
      <c r="K118" s="554"/>
      <c r="L118" s="555"/>
      <c r="M118" s="556"/>
      <c r="N118" s="1134"/>
      <c r="O118" s="1134"/>
      <c r="P118" s="2600"/>
      <c r="Q118" s="503"/>
    </row>
    <row r="119" spans="1:17" ht="14.4" thickBot="1">
      <c r="A119" s="533"/>
      <c r="B119" s="542"/>
      <c r="C119" s="559"/>
      <c r="D119" s="535"/>
      <c r="E119" s="535"/>
      <c r="F119" s="535"/>
      <c r="G119" s="535"/>
      <c r="H119" s="535"/>
      <c r="I119" s="535"/>
      <c r="J119" s="535"/>
      <c r="K119" s="535"/>
      <c r="L119" s="535"/>
      <c r="M119" s="536"/>
      <c r="N119" s="1135"/>
      <c r="O119" s="1135"/>
      <c r="P119" s="2600"/>
      <c r="Q119" s="503"/>
    </row>
    <row r="120" spans="1:17" s="470" customFormat="1" ht="15" thickTop="1">
      <c r="A120" s="592"/>
      <c r="B120" s="537" t="s">
        <v>2668</v>
      </c>
      <c r="C120" s="2969" t="s">
        <v>3083</v>
      </c>
      <c r="D120" s="582"/>
      <c r="E120" s="582"/>
      <c r="F120" s="582"/>
      <c r="G120" s="554"/>
      <c r="H120" s="554"/>
      <c r="I120" s="554"/>
      <c r="J120" s="554"/>
      <c r="K120" s="554"/>
      <c r="L120" s="555"/>
      <c r="M120" s="556"/>
      <c r="N120" s="1136"/>
      <c r="O120" s="1136"/>
      <c r="P120" s="2601"/>
      <c r="Q120" s="558"/>
    </row>
    <row r="121" spans="1:17" s="470" customFormat="1" ht="14.4"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6"/>
      <c r="O121" s="1136"/>
      <c r="P121" s="2601"/>
      <c r="Q121" s="558"/>
    </row>
    <row r="122" spans="1:17" ht="15" thickTop="1">
      <c r="A122" s="598"/>
      <c r="B122" s="537" t="s">
        <v>2603</v>
      </c>
      <c r="C122" s="2966" t="s">
        <v>3070</v>
      </c>
      <c r="D122" s="2966" t="s">
        <v>3071</v>
      </c>
      <c r="E122" s="2966" t="s">
        <v>3072</v>
      </c>
      <c r="F122" s="2969" t="s">
        <v>3073</v>
      </c>
      <c r="G122" s="582"/>
      <c r="H122" s="582"/>
      <c r="I122" s="582"/>
      <c r="J122" s="582"/>
      <c r="K122" s="583"/>
      <c r="L122" s="584"/>
      <c r="M122" s="585"/>
      <c r="N122" s="1134"/>
      <c r="O122" s="1134"/>
      <c r="P122" s="2600"/>
      <c r="Q122" s="503"/>
    </row>
    <row r="123" spans="1:17" ht="14.4"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5"/>
      <c r="O123" s="1135"/>
      <c r="P123" s="2600"/>
      <c r="Q123" s="503"/>
    </row>
    <row r="124" spans="1:17" ht="29.4" thickTop="1">
      <c r="A124" s="598"/>
      <c r="B124" s="537" t="s">
        <v>2604</v>
      </c>
      <c r="C124" s="577" t="s">
        <v>2580</v>
      </c>
      <c r="D124" s="577" t="s">
        <v>2581</v>
      </c>
      <c r="E124" s="577" t="s">
        <v>2582</v>
      </c>
      <c r="F124" s="577" t="s">
        <v>2583</v>
      </c>
      <c r="G124" s="577" t="s">
        <v>2584</v>
      </c>
      <c r="H124" s="538"/>
      <c r="I124" s="538"/>
      <c r="J124" s="538"/>
      <c r="K124" s="539"/>
      <c r="L124" s="540"/>
      <c r="M124" s="541"/>
      <c r="N124" s="1134"/>
      <c r="O124" s="1134"/>
      <c r="P124" s="2601"/>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35"/>
      <c r="O125" s="1135"/>
      <c r="P125" s="2600"/>
      <c r="Q125" s="503"/>
    </row>
    <row r="126" spans="1:17" s="470" customFormat="1" ht="14.4" thickTop="1">
      <c r="A126" s="592"/>
      <c r="B126" s="537">
        <f>B44</f>
        <v>0</v>
      </c>
      <c r="C126" s="553"/>
      <c r="D126" s="553"/>
      <c r="E126" s="553"/>
      <c r="F126" s="553"/>
      <c r="G126" s="553"/>
      <c r="H126" s="554"/>
      <c r="I126" s="554"/>
      <c r="J126" s="554"/>
      <c r="K126" s="554"/>
      <c r="L126" s="555"/>
      <c r="M126" s="556"/>
      <c r="N126" s="1136"/>
      <c r="O126" s="1136"/>
      <c r="P126" s="2601"/>
      <c r="Q126" s="558"/>
    </row>
    <row r="127" spans="1:17" s="470" customFormat="1" ht="14.4" thickBot="1">
      <c r="A127" s="552"/>
      <c r="B127" s="542"/>
      <c r="C127" s="559"/>
      <c r="D127" s="535"/>
      <c r="E127" s="535"/>
      <c r="F127" s="535"/>
      <c r="G127" s="559"/>
      <c r="H127" s="561"/>
      <c r="I127" s="561"/>
      <c r="J127" s="561"/>
      <c r="K127" s="561"/>
      <c r="L127" s="561"/>
      <c r="M127" s="562"/>
      <c r="N127" s="1136"/>
      <c r="O127" s="1136"/>
      <c r="P127" s="2601"/>
      <c r="Q127" s="558"/>
    </row>
    <row r="128" spans="1:17" ht="14.4" thickTop="1">
      <c r="A128" s="598"/>
      <c r="B128" s="537">
        <f>B45</f>
        <v>0</v>
      </c>
      <c r="C128" s="553"/>
      <c r="D128" s="553"/>
      <c r="E128" s="553"/>
      <c r="F128" s="553"/>
      <c r="G128" s="582"/>
      <c r="H128" s="582"/>
      <c r="I128" s="582"/>
      <c r="J128" s="582"/>
      <c r="K128" s="583"/>
      <c r="L128" s="584"/>
      <c r="M128" s="585"/>
      <c r="N128" s="1134"/>
      <c r="O128" s="1134"/>
      <c r="P128" s="2600"/>
      <c r="Q128" s="503"/>
    </row>
    <row r="129" spans="1:17" ht="14.4" thickBot="1">
      <c r="A129" s="533"/>
      <c r="B129" s="542"/>
      <c r="C129" s="559"/>
      <c r="D129" s="535"/>
      <c r="E129" s="535"/>
      <c r="F129" s="535"/>
      <c r="G129" s="535"/>
      <c r="H129" s="535"/>
      <c r="I129" s="535"/>
      <c r="J129" s="535"/>
      <c r="K129" s="535"/>
      <c r="L129" s="535"/>
      <c r="M129" s="536"/>
      <c r="N129" s="1135"/>
      <c r="O129" s="1135"/>
      <c r="P129" s="2600"/>
      <c r="Q129" s="503"/>
    </row>
    <row r="130" spans="1:17" ht="14.4" thickTop="1">
      <c r="A130" s="598"/>
      <c r="B130" s="545">
        <f>B46</f>
        <v>1</v>
      </c>
      <c r="C130" s="553"/>
      <c r="D130" s="553"/>
      <c r="E130" s="553"/>
      <c r="F130" s="553"/>
      <c r="G130" s="586"/>
      <c r="H130" s="586"/>
      <c r="I130" s="586"/>
      <c r="J130" s="586"/>
      <c r="K130" s="522"/>
      <c r="L130" s="523"/>
      <c r="M130" s="589"/>
      <c r="N130" s="1134"/>
      <c r="O130" s="1134"/>
      <c r="P130" s="2600"/>
      <c r="Q130" s="503"/>
    </row>
    <row r="131" spans="1:17" ht="14.4" thickBot="1">
      <c r="A131" s="2606"/>
      <c r="B131" s="568"/>
      <c r="C131" s="569"/>
      <c r="D131" s="569"/>
      <c r="E131" s="569"/>
      <c r="F131" s="569"/>
      <c r="G131" s="590"/>
      <c r="H131" s="590"/>
      <c r="I131" s="590"/>
      <c r="J131" s="590"/>
      <c r="K131" s="590"/>
      <c r="L131" s="590"/>
      <c r="M131" s="591"/>
      <c r="N131" s="1135"/>
      <c r="O131" s="1135"/>
      <c r="P131" s="260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4">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E18 G18 I18 C18" xr:uid="{00000000-0002-0000-1700-000004000000}">
      <formula1>交通便捷度</formula1>
    </dataValidation>
    <dataValidation type="list" allowBlank="1" showInputMessage="1" showErrorMessage="1" sqref="E24 G24 I24 C24" xr:uid="{00000000-0002-0000-1700-000005000000}">
      <formula1>环境</formula1>
    </dataValidation>
    <dataValidation type="list" allowBlank="1" showInputMessage="1" showErrorMessage="1" sqref="C25 E25 G25 I25" xr:uid="{00000000-0002-0000-1700-000006000000}">
      <formula1>商业临街状况</formula1>
    </dataValidation>
    <dataValidation type="list" allowBlank="1" showInputMessage="1" showErrorMessage="1" sqref="C27 E27 G27 I27" xr:uid="{00000000-0002-0000-1700-000007000000}">
      <formula1>商业人流量</formula1>
    </dataValidation>
    <dataValidation type="list" allowBlank="1" showInputMessage="1" showErrorMessage="1" sqref="C28 E28 G28 I28" xr:uid="{00000000-0002-0000-1700-000008000000}">
      <formula1>商业楼层</formula1>
    </dataValidation>
    <dataValidation type="list" allowBlank="1" showInputMessage="1" showErrorMessage="1" sqref="C32 E32 G32 I32" xr:uid="{00000000-0002-0000-1700-000009000000}">
      <formula1>商业类型</formula1>
    </dataValidation>
    <dataValidation type="list" allowBlank="1" showInputMessage="1" showErrorMessage="1" sqref="C34 E34 G34 I34" xr:uid="{00000000-0002-0000-1700-00000A000000}">
      <formula1>商业建筑结构</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opLeftCell="A7" zoomScale="90" zoomScaleNormal="90" workbookViewId="0">
      <selection activeCell="B36" sqref="B3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5" t="s">
        <v>2977</v>
      </c>
      <c r="C1" s="3690" t="s">
        <v>2978</v>
      </c>
      <c r="D1" s="3691"/>
      <c r="E1" s="3691"/>
      <c r="F1" s="3691"/>
      <c r="G1" s="3691"/>
      <c r="H1" s="3691"/>
      <c r="I1" s="3691"/>
      <c r="J1" s="3691"/>
      <c r="K1" s="3691"/>
      <c r="L1" s="3691"/>
      <c r="M1" s="3691"/>
      <c r="N1" s="3691"/>
      <c r="O1" s="3691"/>
      <c r="P1" s="3691"/>
      <c r="Q1" s="3691"/>
      <c r="R1" s="3691"/>
      <c r="S1" s="3692"/>
      <c r="T1" s="1185" t="s">
        <v>2979</v>
      </c>
    </row>
    <row r="2" spans="1:45" s="705" customFormat="1" ht="39.6">
      <c r="A2" s="1186"/>
      <c r="B2" s="701" t="s">
        <v>2980</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7"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8"/>
      <c r="B3" s="706"/>
      <c r="C3" s="707">
        <f>'[4]比较法-商业'!C103</f>
        <v>0</v>
      </c>
      <c r="D3" s="707">
        <f>'[4]比较法-商业'!D103</f>
        <v>100</v>
      </c>
      <c r="E3" s="707">
        <f>'[4]比较法-商业'!E103</f>
        <v>200</v>
      </c>
      <c r="F3" s="707">
        <f>'[4]比较法-商业'!F103</f>
        <v>300</v>
      </c>
      <c r="G3" s="707">
        <f>'[4]比较法-商业'!G103</f>
        <v>500</v>
      </c>
      <c r="H3" s="707">
        <f>'[4]比较法-商业'!H103</f>
        <v>1000</v>
      </c>
      <c r="I3" s="707">
        <f>'[4]比较法-商业'!I103</f>
        <v>1500</v>
      </c>
      <c r="J3" s="707">
        <f>'[4]比较法-商业'!J103</f>
        <v>2000</v>
      </c>
      <c r="K3" s="1683"/>
      <c r="L3" s="1684"/>
      <c r="M3" s="1685"/>
      <c r="N3" s="1685"/>
      <c r="O3" s="1683"/>
      <c r="P3" s="1683"/>
      <c r="Q3" s="1683"/>
      <c r="R3" s="1683"/>
      <c r="S3" s="1686"/>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89"/>
      <c r="B4" s="1190"/>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7"/>
      <c r="L4" s="1687"/>
      <c r="M4" s="1688"/>
      <c r="N4" s="1688"/>
      <c r="O4" s="1687"/>
      <c r="P4" s="1687"/>
      <c r="Q4" s="1687"/>
      <c r="R4" s="1687"/>
      <c r="S4" s="1689"/>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6"/>
      <c r="B5" s="1747" t="str">
        <f>'[4]比较法-商业'!B86</f>
        <v>临街状况</v>
      </c>
      <c r="C5" s="1197" t="str">
        <f>'[4]比较法-商业'!C86</f>
        <v>多面临街</v>
      </c>
      <c r="D5" s="1197" t="str">
        <f>'[4]比较法-商业'!D86</f>
        <v>双面临街</v>
      </c>
      <c r="E5" s="1197" t="str">
        <f>'[4]比较法-商业'!E86</f>
        <v>单面临街</v>
      </c>
      <c r="F5" s="1197" t="str">
        <f>'[4]比较法-商业'!F86</f>
        <v>不临街</v>
      </c>
      <c r="G5" s="1690"/>
      <c r="H5" s="1690"/>
      <c r="I5" s="1690"/>
      <c r="J5" s="1690"/>
      <c r="K5" s="1690"/>
      <c r="L5" s="1691"/>
      <c r="M5" s="1692"/>
      <c r="N5" s="1692"/>
      <c r="O5" s="1690"/>
      <c r="P5" s="1690"/>
      <c r="Q5" s="1690"/>
      <c r="R5" s="1690"/>
      <c r="S5" s="1693"/>
      <c r="T5" s="1200">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thickBot="1">
      <c r="A6" s="1196"/>
      <c r="B6" s="1098"/>
      <c r="C6" s="1104">
        <v>100</v>
      </c>
      <c r="D6" s="1101">
        <f>C6-$T5</f>
        <v>98</v>
      </c>
      <c r="E6" s="1101">
        <f t="shared" ref="E6:S6" si="7">D6-$T5</f>
        <v>96</v>
      </c>
      <c r="F6" s="1694">
        <f t="shared" si="7"/>
        <v>94</v>
      </c>
      <c r="G6" s="1694">
        <f t="shared" si="7"/>
        <v>92</v>
      </c>
      <c r="H6" s="1694">
        <f t="shared" si="7"/>
        <v>90</v>
      </c>
      <c r="I6" s="1694">
        <f t="shared" si="7"/>
        <v>88</v>
      </c>
      <c r="J6" s="1694">
        <f t="shared" si="7"/>
        <v>86</v>
      </c>
      <c r="K6" s="1694">
        <f t="shared" si="7"/>
        <v>84</v>
      </c>
      <c r="L6" s="1694">
        <f t="shared" si="7"/>
        <v>82</v>
      </c>
      <c r="M6" s="1694">
        <f t="shared" si="7"/>
        <v>80</v>
      </c>
      <c r="N6" s="1694">
        <f t="shared" si="7"/>
        <v>78</v>
      </c>
      <c r="O6" s="1694">
        <f t="shared" si="7"/>
        <v>76</v>
      </c>
      <c r="P6" s="1694">
        <f t="shared" si="7"/>
        <v>74</v>
      </c>
      <c r="Q6" s="1694">
        <f t="shared" si="7"/>
        <v>72</v>
      </c>
      <c r="R6" s="1694">
        <f t="shared" si="7"/>
        <v>70</v>
      </c>
      <c r="S6" s="1694">
        <f t="shared" si="7"/>
        <v>68</v>
      </c>
      <c r="T6" s="1100"/>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6.4">
      <c r="A7" s="1196"/>
      <c r="B7" s="1748" t="str">
        <f>'[4]比较法-商业'!B26</f>
        <v>平面位置/可视性</v>
      </c>
      <c r="C7" s="1103" t="str">
        <f>'[4]比较法-商业'!C88</f>
        <v>好</v>
      </c>
      <c r="D7" s="1103" t="str">
        <f>'[4]比较法-商业'!D88</f>
        <v>较好</v>
      </c>
      <c r="E7" s="1103" t="str">
        <f>'[4]比较法-商业'!E88</f>
        <v>一般</v>
      </c>
      <c r="F7" s="1103" t="str">
        <f>'[4]比较法-商业'!F88</f>
        <v>较差</v>
      </c>
      <c r="G7" s="1103" t="str">
        <f>'[4]比较法-商业'!G88</f>
        <v>差</v>
      </c>
      <c r="H7" s="1695"/>
      <c r="I7" s="1695"/>
      <c r="J7" s="1695"/>
      <c r="K7" s="1695"/>
      <c r="L7" s="1695"/>
      <c r="M7" s="1696"/>
      <c r="N7" s="1697"/>
      <c r="O7" s="1698"/>
      <c r="P7" s="1699"/>
      <c r="Q7" s="1700"/>
      <c r="R7" s="1701"/>
      <c r="S7" s="1702"/>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thickBot="1">
      <c r="A8" s="1196"/>
      <c r="B8" s="1098"/>
      <c r="C8" s="1104">
        <v>100</v>
      </c>
      <c r="D8" s="1101">
        <f>C8-$T7</f>
        <v>98</v>
      </c>
      <c r="E8" s="1101">
        <f t="shared" ref="E8:S8" si="8">D8-$T7</f>
        <v>96</v>
      </c>
      <c r="F8" s="1694">
        <f t="shared" si="8"/>
        <v>94</v>
      </c>
      <c r="G8" s="1694">
        <f t="shared" si="8"/>
        <v>92</v>
      </c>
      <c r="H8" s="1694">
        <f t="shared" si="8"/>
        <v>90</v>
      </c>
      <c r="I8" s="1694">
        <f t="shared" si="8"/>
        <v>88</v>
      </c>
      <c r="J8" s="1694">
        <f t="shared" si="8"/>
        <v>86</v>
      </c>
      <c r="K8" s="1694">
        <f t="shared" si="8"/>
        <v>84</v>
      </c>
      <c r="L8" s="1694">
        <f t="shared" si="8"/>
        <v>82</v>
      </c>
      <c r="M8" s="1694">
        <f t="shared" si="8"/>
        <v>80</v>
      </c>
      <c r="N8" s="1694">
        <f t="shared" si="8"/>
        <v>78</v>
      </c>
      <c r="O8" s="1694">
        <f t="shared" si="8"/>
        <v>76</v>
      </c>
      <c r="P8" s="1694">
        <f t="shared" si="8"/>
        <v>74</v>
      </c>
      <c r="Q8" s="1694">
        <f t="shared" si="8"/>
        <v>72</v>
      </c>
      <c r="R8" s="1694">
        <f t="shared" si="8"/>
        <v>70</v>
      </c>
      <c r="S8" s="1694">
        <f t="shared" si="8"/>
        <v>68</v>
      </c>
      <c r="T8" s="1100"/>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2970" t="str">
        <f>'[4]比较法-商业'!B90</f>
        <v>人流量</v>
      </c>
      <c r="C9" s="1103" t="str">
        <f>'[4]比较法-商业'!C90</f>
        <v>好</v>
      </c>
      <c r="D9" s="1103" t="str">
        <f>'[4]比较法-商业'!D90</f>
        <v>较好</v>
      </c>
      <c r="E9" s="1103" t="str">
        <f>'[4]比较法-商业'!E90</f>
        <v>一般</v>
      </c>
      <c r="F9" s="1103" t="str">
        <f>'[4]比较法-商业'!F90</f>
        <v>较差</v>
      </c>
      <c r="G9" s="1103" t="str">
        <f>'[4]比较法-商业'!G90</f>
        <v>差</v>
      </c>
      <c r="H9" s="1695"/>
      <c r="I9" s="1695"/>
      <c r="J9" s="1695"/>
      <c r="K9" s="1695"/>
      <c r="L9" s="1703"/>
      <c r="M9" s="1696"/>
      <c r="N9" s="1697"/>
      <c r="O9" s="1698"/>
      <c r="P9" s="1699"/>
      <c r="Q9" s="1700"/>
      <c r="R9" s="1701"/>
      <c r="S9" s="1702"/>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thickBot="1">
      <c r="A10" s="1196"/>
      <c r="B10" s="1190"/>
      <c r="C10" s="1201">
        <v>100</v>
      </c>
      <c r="D10" s="1202">
        <f>C10-$T9</f>
        <v>98</v>
      </c>
      <c r="E10" s="1202">
        <f t="shared" ref="E10:S10" si="9">D10-$T9</f>
        <v>96</v>
      </c>
      <c r="F10" s="1704">
        <f t="shared" si="9"/>
        <v>94</v>
      </c>
      <c r="G10" s="1704">
        <f t="shared" si="9"/>
        <v>92</v>
      </c>
      <c r="H10" s="1704">
        <f t="shared" si="9"/>
        <v>90</v>
      </c>
      <c r="I10" s="1704">
        <f t="shared" si="9"/>
        <v>88</v>
      </c>
      <c r="J10" s="1704">
        <f t="shared" si="9"/>
        <v>86</v>
      </c>
      <c r="K10" s="1704">
        <f t="shared" si="9"/>
        <v>84</v>
      </c>
      <c r="L10" s="1704">
        <f t="shared" si="9"/>
        <v>82</v>
      </c>
      <c r="M10" s="1704">
        <f t="shared" si="9"/>
        <v>80</v>
      </c>
      <c r="N10" s="1704">
        <f t="shared" si="9"/>
        <v>78</v>
      </c>
      <c r="O10" s="1704">
        <f t="shared" si="9"/>
        <v>76</v>
      </c>
      <c r="P10" s="1704">
        <f t="shared" si="9"/>
        <v>74</v>
      </c>
      <c r="Q10" s="1704">
        <f t="shared" si="9"/>
        <v>72</v>
      </c>
      <c r="R10" s="1704">
        <f t="shared" si="9"/>
        <v>70</v>
      </c>
      <c r="S10" s="1704">
        <f t="shared" si="9"/>
        <v>68</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2981</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thickBot="1">
      <c r="A12" s="1196"/>
      <c r="B12" s="1098"/>
      <c r="C12" s="1104">
        <v>100</v>
      </c>
      <c r="D12" s="1101">
        <f>C12-$T11</f>
        <v>100</v>
      </c>
      <c r="E12" s="1101">
        <f t="shared" ref="E12:S12" si="10">D12-$T11</f>
        <v>100</v>
      </c>
      <c r="F12" s="1101">
        <f t="shared" si="10"/>
        <v>100</v>
      </c>
      <c r="G12" s="1101">
        <f t="shared" si="10"/>
        <v>100</v>
      </c>
      <c r="H12" s="1101">
        <f t="shared" si="10"/>
        <v>100</v>
      </c>
      <c r="I12" s="1101">
        <f t="shared" si="10"/>
        <v>100</v>
      </c>
      <c r="J12" s="1101">
        <f t="shared" si="10"/>
        <v>100</v>
      </c>
      <c r="K12" s="1101">
        <f t="shared" si="10"/>
        <v>100</v>
      </c>
      <c r="L12" s="1101">
        <f t="shared" si="10"/>
        <v>100</v>
      </c>
      <c r="M12" s="1101">
        <f t="shared" si="10"/>
        <v>100</v>
      </c>
      <c r="N12" s="1101">
        <f t="shared" si="10"/>
        <v>100</v>
      </c>
      <c r="O12" s="1101">
        <f t="shared" si="10"/>
        <v>100</v>
      </c>
      <c r="P12" s="1101">
        <f t="shared" si="10"/>
        <v>100</v>
      </c>
      <c r="Q12" s="1101">
        <f t="shared" si="10"/>
        <v>100</v>
      </c>
      <c r="R12" s="1101">
        <f>Q12-$T11</f>
        <v>100</v>
      </c>
      <c r="S12" s="1101">
        <f t="shared" si="10"/>
        <v>100</v>
      </c>
      <c r="T12" s="1100"/>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2982</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thickBot="1">
      <c r="A14" s="1196"/>
      <c r="B14" s="1098"/>
      <c r="C14" s="1102"/>
      <c r="D14" s="1099"/>
      <c r="E14" s="1099"/>
      <c r="F14" s="1099"/>
      <c r="G14" s="1099"/>
      <c r="H14" s="1099"/>
      <c r="I14" s="1099"/>
      <c r="J14" s="1099"/>
      <c r="K14" s="1099"/>
      <c r="L14" s="1099"/>
      <c r="M14" s="1210"/>
      <c r="N14" s="1210"/>
      <c r="O14" s="1099"/>
      <c r="P14" s="1099"/>
      <c r="Q14" s="1099"/>
      <c r="R14" s="1099"/>
      <c r="S14" s="1211"/>
      <c r="T14" s="1100"/>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2983</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6" t="s">
        <v>2984</v>
      </c>
      <c r="B17" s="2877" t="s">
        <v>2985</v>
      </c>
      <c r="C17" s="1212">
        <v>1</v>
      </c>
      <c r="D17" s="1213">
        <v>2</v>
      </c>
      <c r="E17" s="1213">
        <v>3</v>
      </c>
      <c r="F17" s="1213">
        <v>4</v>
      </c>
      <c r="G17" s="1213">
        <v>5</v>
      </c>
      <c r="H17" s="1213">
        <v>-1</v>
      </c>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5" customFormat="1" ht="13.8" thickBot="1">
      <c r="A18" s="1222"/>
      <c r="B18" s="1223"/>
      <c r="C18" s="1224">
        <v>100</v>
      </c>
      <c r="D18" s="1225">
        <v>75</v>
      </c>
      <c r="E18" s="3421">
        <v>60</v>
      </c>
      <c r="F18" s="1225">
        <v>45</v>
      </c>
      <c r="G18" s="1225">
        <v>40</v>
      </c>
      <c r="H18" s="1225">
        <v>50</v>
      </c>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78" t="s">
        <v>2986</v>
      </c>
      <c r="E19" s="1770"/>
      <c r="F19" s="1770"/>
      <c r="G19" s="1770"/>
      <c r="H19" s="1261"/>
      <c r="I19" s="168"/>
      <c r="J19" s="168"/>
      <c r="K19" s="168"/>
      <c r="L19" s="168"/>
      <c r="M19" s="168"/>
      <c r="N19" s="168"/>
      <c r="O19" s="168"/>
      <c r="P19" s="168"/>
      <c r="Q19" s="168"/>
      <c r="R19" s="783"/>
      <c r="S19" s="138"/>
    </row>
    <row r="20" spans="1:45" ht="16.2" thickBot="1">
      <c r="A20" s="712" t="s">
        <v>2987</v>
      </c>
      <c r="B20" s="338">
        <f>IF(D20="——",S22,S22-F20)</f>
        <v>64404</v>
      </c>
      <c r="C20" s="168"/>
      <c r="D20" s="2879" t="s">
        <v>70</v>
      </c>
      <c r="E20" s="1771"/>
      <c r="F20" s="1185" t="e">
        <f ca="1">SUMIF(INDIRECT("'"&amp;H20&amp;"'"&amp;"!A:A"),"承租人权益价值",INDIRECT("'"&amp;H20&amp;"'"&amp;"!c:c"))</f>
        <v>#REF!</v>
      </c>
      <c r="G20" s="1185" t="s">
        <v>2988</v>
      </c>
      <c r="H20" s="2880"/>
      <c r="I20" s="168"/>
      <c r="J20" s="168"/>
      <c r="K20" s="168"/>
      <c r="L20" s="168"/>
      <c r="M20" s="168"/>
      <c r="N20" s="168"/>
      <c r="O20" s="168"/>
      <c r="P20" s="168"/>
      <c r="Q20" s="168"/>
      <c r="R20" s="783"/>
      <c r="S20" s="138"/>
    </row>
    <row r="21" spans="1:45" ht="15.6">
      <c r="A21" s="712" t="s">
        <v>2989</v>
      </c>
      <c r="B21" s="338">
        <f>R22</f>
        <v>64703</v>
      </c>
      <c r="C21" s="168"/>
      <c r="D21" s="168"/>
      <c r="E21" s="168"/>
      <c r="F21" s="168"/>
      <c r="G21" s="168"/>
      <c r="H21" s="168"/>
      <c r="I21" s="168"/>
      <c r="J21" s="168"/>
      <c r="K21" s="168"/>
      <c r="L21" s="168"/>
      <c r="M21" s="168"/>
      <c r="N21" s="168"/>
      <c r="O21" s="168"/>
      <c r="P21" s="168"/>
      <c r="Q21" s="168"/>
      <c r="R21" s="783"/>
      <c r="S21" s="138"/>
    </row>
    <row r="22" spans="1:45">
      <c r="A22" s="361" t="s">
        <v>2990</v>
      </c>
      <c r="B22" s="24">
        <f>SUM(B24:B10000)</f>
        <v>9953.84</v>
      </c>
      <c r="C22" s="3634" t="s">
        <v>33</v>
      </c>
      <c r="D22" s="3635"/>
      <c r="E22" s="3635"/>
      <c r="F22" s="3635"/>
      <c r="G22" s="3635"/>
      <c r="H22" s="3635"/>
      <c r="I22" s="3635"/>
      <c r="J22" s="3635"/>
      <c r="K22" s="3635"/>
      <c r="L22" s="3635"/>
      <c r="M22" s="3635"/>
      <c r="N22" s="3635"/>
      <c r="O22" s="3635"/>
      <c r="P22" s="3635"/>
      <c r="Q22" s="3689"/>
      <c r="R22" s="713">
        <f>ROUND(S22*10000/B22,0)</f>
        <v>64703</v>
      </c>
      <c r="S22" s="24">
        <f>SUM(S24:S10000)</f>
        <v>64404</v>
      </c>
    </row>
    <row r="23" spans="1:45" s="12" customFormat="1" ht="26.4">
      <c r="A23" s="11" t="s">
        <v>2991</v>
      </c>
      <c r="B23" s="11" t="s">
        <v>2992</v>
      </c>
      <c r="C23" s="11" t="s">
        <v>2993</v>
      </c>
      <c r="D23" s="11" t="str">
        <f>B5</f>
        <v>临街状况</v>
      </c>
      <c r="E23" s="11" t="s">
        <v>2993</v>
      </c>
      <c r="F23" s="11" t="str">
        <f>B7</f>
        <v>平面位置/可视性</v>
      </c>
      <c r="G23" s="11" t="s">
        <v>2993</v>
      </c>
      <c r="H23" s="11" t="str">
        <f>B9</f>
        <v>人流量</v>
      </c>
      <c r="I23" s="11" t="s">
        <v>2993</v>
      </c>
      <c r="J23" s="11" t="str">
        <f>B11</f>
        <v>修正项5</v>
      </c>
      <c r="K23" s="11" t="s">
        <v>2993</v>
      </c>
      <c r="L23" s="11" t="str">
        <f>B13</f>
        <v>修正项6</v>
      </c>
      <c r="M23" s="11" t="s">
        <v>2993</v>
      </c>
      <c r="N23" s="11" t="str">
        <f>B15</f>
        <v>修正项7</v>
      </c>
      <c r="O23" s="11" t="s">
        <v>2993</v>
      </c>
      <c r="P23" s="11" t="str">
        <f>B17</f>
        <v>楼层</v>
      </c>
      <c r="Q23" s="11" t="s">
        <v>2993</v>
      </c>
      <c r="R23" s="714" t="s">
        <v>2994</v>
      </c>
      <c r="S23" s="11" t="s">
        <v>2995</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413" t="str">
        <f>面积表!C14</f>
        <v>商业1层</v>
      </c>
      <c r="B24" s="3413">
        <f>面积表!E14</f>
        <v>1044.08</v>
      </c>
      <c r="C24" s="715">
        <v>1</v>
      </c>
      <c r="D24" s="716" t="s">
        <v>3053</v>
      </c>
      <c r="E24" s="715">
        <v>1</v>
      </c>
      <c r="F24" s="716" t="s">
        <v>3049</v>
      </c>
      <c r="G24" s="715">
        <v>1</v>
      </c>
      <c r="H24" s="716" t="s">
        <v>3049</v>
      </c>
      <c r="I24" s="715">
        <v>1</v>
      </c>
      <c r="J24" s="716"/>
      <c r="K24" s="715">
        <v>1</v>
      </c>
      <c r="L24" s="716"/>
      <c r="M24" s="715">
        <v>1</v>
      </c>
      <c r="N24" s="716"/>
      <c r="O24" s="715">
        <v>1</v>
      </c>
      <c r="P24" s="716">
        <v>1</v>
      </c>
      <c r="Q24" s="715">
        <v>1</v>
      </c>
      <c r="R24" s="717">
        <f>'比较法-商业'!B3</f>
        <v>112630</v>
      </c>
      <c r="S24" s="715">
        <f t="shared" ref="S24:S54" si="11">ROUND(R24*B24/10000,0)</f>
        <v>11759</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413" t="str">
        <f>面积表!C15</f>
        <v>商业2层</v>
      </c>
      <c r="B25" s="3413">
        <f>面积表!E15</f>
        <v>1392.6</v>
      </c>
      <c r="C25" s="24">
        <f>IF(B25="",1,(LOOKUP(B25,$3:$3,$4:$4)-LOOKUP($B$24,$3:$3,$4:$4)+100)/100)</f>
        <v>1</v>
      </c>
      <c r="D25" s="716" t="s">
        <v>3053</v>
      </c>
      <c r="E25" s="24">
        <f>(SUMIF($5:$5,D25,$6:$6)-SUMIF($5:$5,$D$24,$6:$6)+100)/100</f>
        <v>1</v>
      </c>
      <c r="F25" s="716" t="s">
        <v>3049</v>
      </c>
      <c r="G25" s="24">
        <f>(SUMIF($7:$7,F25,$8:$8)-SUMIF($7:$7,$F$24,$8:$8)+100)/100</f>
        <v>1</v>
      </c>
      <c r="H25" s="716" t="s">
        <v>3049</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0.75</v>
      </c>
      <c r="R25" s="713">
        <f>IF(B25="",0,ROUND($R$24*C25*E25*G25*I25*K25*M25*O25*Q25,0))</f>
        <v>84473</v>
      </c>
      <c r="S25" s="361">
        <f t="shared" si="11"/>
        <v>11764</v>
      </c>
    </row>
    <row r="26" spans="1:45">
      <c r="A26" s="3413" t="str">
        <f>面积表!C16</f>
        <v>商业3层</v>
      </c>
      <c r="B26" s="3413">
        <f>面积表!E16</f>
        <v>2242.9</v>
      </c>
      <c r="C26" s="24">
        <f t="shared" ref="C26:C89" si="12">IF(B26="",1,(LOOKUP(B26,$3:$3,$4:$4)-LOOKUP($B$24,$3:$3,$4:$4)+100)/100)</f>
        <v>0.99</v>
      </c>
      <c r="D26" s="716" t="s">
        <v>3053</v>
      </c>
      <c r="E26" s="24">
        <f t="shared" ref="E26:E89" si="13">(SUMIF($5:$5,D26,$6:$6)-SUMIF($5:$5,$D$24,$6:$6)+100)/100</f>
        <v>1</v>
      </c>
      <c r="F26" s="716" t="s">
        <v>3049</v>
      </c>
      <c r="G26" s="24">
        <f t="shared" ref="G26:G89" si="14">(SUMIF($7:$7,F26,$8:$8)-SUMIF($7:$7,$F$24,$8:$8)+100)/100</f>
        <v>1</v>
      </c>
      <c r="H26" s="716" t="s">
        <v>3049</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0.6</v>
      </c>
      <c r="R26" s="713">
        <f t="shared" ref="R26:R89" si="20">IF(B26="",0,ROUND($R$24*C26*E26*G26*I26*K26*M26*O26*Q26,0))</f>
        <v>66902</v>
      </c>
      <c r="S26" s="361">
        <f t="shared" si="11"/>
        <v>15005</v>
      </c>
    </row>
    <row r="27" spans="1:45">
      <c r="A27" s="3413" t="str">
        <f>面积表!C17</f>
        <v>商业4层</v>
      </c>
      <c r="B27" s="3413">
        <f>面积表!E17</f>
        <v>2304.6999999999998</v>
      </c>
      <c r="C27" s="24">
        <f t="shared" si="12"/>
        <v>0.99</v>
      </c>
      <c r="D27" s="716" t="s">
        <v>3053</v>
      </c>
      <c r="E27" s="24">
        <f t="shared" si="13"/>
        <v>1</v>
      </c>
      <c r="F27" s="716" t="s">
        <v>3049</v>
      </c>
      <c r="G27" s="24">
        <f t="shared" si="14"/>
        <v>1</v>
      </c>
      <c r="H27" s="716" t="s">
        <v>3049</v>
      </c>
      <c r="I27" s="24">
        <f t="shared" si="15"/>
        <v>1</v>
      </c>
      <c r="J27" s="716"/>
      <c r="K27" s="24">
        <f t="shared" si="16"/>
        <v>1</v>
      </c>
      <c r="L27" s="716"/>
      <c r="M27" s="24">
        <f t="shared" si="17"/>
        <v>1</v>
      </c>
      <c r="N27" s="716"/>
      <c r="O27" s="24">
        <f t="shared" si="18"/>
        <v>1</v>
      </c>
      <c r="P27" s="716">
        <v>4</v>
      </c>
      <c r="Q27" s="24">
        <f t="shared" si="19"/>
        <v>0.45</v>
      </c>
      <c r="R27" s="713">
        <f t="shared" si="20"/>
        <v>50177</v>
      </c>
      <c r="S27" s="361">
        <f t="shared" si="11"/>
        <v>11564</v>
      </c>
    </row>
    <row r="28" spans="1:45">
      <c r="A28" s="3413" t="str">
        <f>面积表!C18</f>
        <v>商业5层</v>
      </c>
      <c r="B28" s="3413">
        <f>面积表!E18</f>
        <v>2080.14</v>
      </c>
      <c r="C28" s="24">
        <f t="shared" si="12"/>
        <v>0.99</v>
      </c>
      <c r="D28" s="716" t="s">
        <v>3053</v>
      </c>
      <c r="E28" s="24">
        <f t="shared" si="13"/>
        <v>1</v>
      </c>
      <c r="F28" s="716" t="s">
        <v>3049</v>
      </c>
      <c r="G28" s="24">
        <f t="shared" si="14"/>
        <v>1</v>
      </c>
      <c r="H28" s="716" t="s">
        <v>3049</v>
      </c>
      <c r="I28" s="24">
        <f t="shared" si="15"/>
        <v>1</v>
      </c>
      <c r="J28" s="716"/>
      <c r="K28" s="24">
        <f t="shared" si="16"/>
        <v>1</v>
      </c>
      <c r="L28" s="716"/>
      <c r="M28" s="24">
        <f t="shared" si="17"/>
        <v>1</v>
      </c>
      <c r="N28" s="716"/>
      <c r="O28" s="24">
        <f t="shared" si="18"/>
        <v>1</v>
      </c>
      <c r="P28" s="716">
        <v>5</v>
      </c>
      <c r="Q28" s="24">
        <f t="shared" si="19"/>
        <v>0.4</v>
      </c>
      <c r="R28" s="713">
        <f t="shared" si="20"/>
        <v>44601</v>
      </c>
      <c r="S28" s="361">
        <f t="shared" si="11"/>
        <v>9278</v>
      </c>
    </row>
    <row r="29" spans="1:45">
      <c r="A29" s="3413" t="str">
        <f>面积表!C13</f>
        <v>商业-1层</v>
      </c>
      <c r="B29" s="3413">
        <f>面积表!E13</f>
        <v>889.42</v>
      </c>
      <c r="C29" s="24">
        <f t="shared" si="12"/>
        <v>1.0049999999999999</v>
      </c>
      <c r="D29" s="716" t="s">
        <v>3053</v>
      </c>
      <c r="E29" s="24">
        <f t="shared" si="13"/>
        <v>1</v>
      </c>
      <c r="F29" s="716" t="s">
        <v>3049</v>
      </c>
      <c r="G29" s="24">
        <f t="shared" si="14"/>
        <v>1</v>
      </c>
      <c r="H29" s="716" t="s">
        <v>3049</v>
      </c>
      <c r="I29" s="24">
        <f t="shared" si="15"/>
        <v>1</v>
      </c>
      <c r="J29" s="716"/>
      <c r="K29" s="24">
        <f t="shared" si="16"/>
        <v>1</v>
      </c>
      <c r="L29" s="716"/>
      <c r="M29" s="24">
        <f t="shared" si="17"/>
        <v>1</v>
      </c>
      <c r="N29" s="716"/>
      <c r="O29" s="24">
        <f t="shared" si="18"/>
        <v>1</v>
      </c>
      <c r="P29" s="716">
        <v>-1</v>
      </c>
      <c r="Q29" s="24">
        <f t="shared" si="19"/>
        <v>0.5</v>
      </c>
      <c r="R29" s="713">
        <f t="shared" si="20"/>
        <v>56597</v>
      </c>
      <c r="S29" s="361">
        <f t="shared" si="11"/>
        <v>5034</v>
      </c>
    </row>
    <row r="30" spans="1:45">
      <c r="A30" s="3413"/>
      <c r="B30" s="3413"/>
      <c r="C30" s="24">
        <f t="shared" si="12"/>
        <v>1</v>
      </c>
      <c r="D30" s="716"/>
      <c r="E30" s="24">
        <f t="shared" si="13"/>
        <v>0.04</v>
      </c>
      <c r="F30" s="716"/>
      <c r="G30" s="24">
        <f t="shared" si="14"/>
        <v>0.04</v>
      </c>
      <c r="H30" s="716"/>
      <c r="I30" s="24">
        <f t="shared" si="15"/>
        <v>0.04</v>
      </c>
      <c r="J30" s="716"/>
      <c r="K30" s="24">
        <f t="shared" si="16"/>
        <v>1</v>
      </c>
      <c r="L30" s="716"/>
      <c r="M30" s="24">
        <f t="shared" si="17"/>
        <v>1</v>
      </c>
      <c r="N30" s="716"/>
      <c r="O30" s="24">
        <f t="shared" si="18"/>
        <v>1</v>
      </c>
      <c r="P30" s="716">
        <v>1</v>
      </c>
      <c r="Q30" s="24">
        <f t="shared" si="19"/>
        <v>1</v>
      </c>
      <c r="R30" s="713">
        <f t="shared" si="20"/>
        <v>0</v>
      </c>
      <c r="S30" s="361">
        <f t="shared" si="11"/>
        <v>0</v>
      </c>
    </row>
    <row r="31" spans="1:45">
      <c r="A31" s="3413"/>
      <c r="B31" s="3413"/>
      <c r="C31" s="24">
        <f t="shared" si="12"/>
        <v>1</v>
      </c>
      <c r="D31" s="716"/>
      <c r="E31" s="24">
        <f t="shared" si="13"/>
        <v>0.04</v>
      </c>
      <c r="F31" s="716"/>
      <c r="G31" s="24">
        <f t="shared" si="14"/>
        <v>0.04</v>
      </c>
      <c r="H31" s="716"/>
      <c r="I31" s="24">
        <f t="shared" si="15"/>
        <v>0.04</v>
      </c>
      <c r="J31" s="716"/>
      <c r="K31" s="24">
        <f t="shared" si="16"/>
        <v>1</v>
      </c>
      <c r="L31" s="716"/>
      <c r="M31" s="24">
        <f t="shared" si="17"/>
        <v>1</v>
      </c>
      <c r="N31" s="716"/>
      <c r="O31" s="24">
        <f t="shared" si="18"/>
        <v>1</v>
      </c>
      <c r="P31" s="716">
        <v>1</v>
      </c>
      <c r="Q31" s="24">
        <f t="shared" si="19"/>
        <v>1</v>
      </c>
      <c r="R31" s="713">
        <f t="shared" si="20"/>
        <v>0</v>
      </c>
      <c r="S31" s="361">
        <f t="shared" si="11"/>
        <v>0</v>
      </c>
    </row>
    <row r="32" spans="1:45">
      <c r="A32" s="3413"/>
      <c r="B32" s="3413"/>
      <c r="C32" s="24">
        <f t="shared" si="12"/>
        <v>1</v>
      </c>
      <c r="D32" s="716"/>
      <c r="E32" s="24">
        <f t="shared" si="13"/>
        <v>0.04</v>
      </c>
      <c r="F32" s="716"/>
      <c r="G32" s="24">
        <f t="shared" si="14"/>
        <v>0.04</v>
      </c>
      <c r="H32" s="716"/>
      <c r="I32" s="24">
        <f t="shared" si="15"/>
        <v>0.04</v>
      </c>
      <c r="J32" s="716"/>
      <c r="K32" s="24">
        <f t="shared" si="16"/>
        <v>1</v>
      </c>
      <c r="L32" s="716"/>
      <c r="M32" s="24">
        <f t="shared" si="17"/>
        <v>1</v>
      </c>
      <c r="N32" s="716"/>
      <c r="O32" s="24">
        <f t="shared" si="18"/>
        <v>1</v>
      </c>
      <c r="P32" s="716">
        <v>1</v>
      </c>
      <c r="Q32" s="24">
        <f t="shared" si="19"/>
        <v>1</v>
      </c>
      <c r="R32" s="713">
        <f t="shared" si="20"/>
        <v>0</v>
      </c>
      <c r="S32" s="361">
        <f t="shared" si="11"/>
        <v>0</v>
      </c>
    </row>
    <row r="33" spans="1:19">
      <c r="A33" s="2990"/>
      <c r="B33" s="2950"/>
      <c r="C33" s="24">
        <f t="shared" si="12"/>
        <v>1</v>
      </c>
      <c r="D33" s="716"/>
      <c r="E33" s="24">
        <f t="shared" si="13"/>
        <v>0.04</v>
      </c>
      <c r="F33" s="716"/>
      <c r="G33" s="24">
        <f t="shared" si="14"/>
        <v>0.04</v>
      </c>
      <c r="H33" s="716"/>
      <c r="I33" s="24">
        <f t="shared" si="15"/>
        <v>0.04</v>
      </c>
      <c r="J33" s="716"/>
      <c r="K33" s="24">
        <f t="shared" si="16"/>
        <v>1</v>
      </c>
      <c r="L33" s="716"/>
      <c r="M33" s="24">
        <f t="shared" si="17"/>
        <v>1</v>
      </c>
      <c r="N33" s="716"/>
      <c r="O33" s="24">
        <f t="shared" si="18"/>
        <v>1</v>
      </c>
      <c r="P33" s="716">
        <v>2</v>
      </c>
      <c r="Q33" s="24">
        <f t="shared" si="19"/>
        <v>0.75</v>
      </c>
      <c r="R33" s="713">
        <f t="shared" si="20"/>
        <v>0</v>
      </c>
      <c r="S33" s="361">
        <f t="shared" si="11"/>
        <v>0</v>
      </c>
    </row>
    <row r="34" spans="1:19">
      <c r="A34" s="2990"/>
      <c r="B34" s="2950"/>
      <c r="C34" s="24">
        <f t="shared" si="12"/>
        <v>1</v>
      </c>
      <c r="D34" s="716"/>
      <c r="E34" s="24">
        <f t="shared" si="13"/>
        <v>0.04</v>
      </c>
      <c r="F34" s="716"/>
      <c r="G34" s="24">
        <f t="shared" si="14"/>
        <v>0.04</v>
      </c>
      <c r="H34" s="716"/>
      <c r="I34" s="24">
        <f t="shared" si="15"/>
        <v>0.04</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1"/>
      <c r="B35" s="2950"/>
      <c r="C35" s="24">
        <f t="shared" si="12"/>
        <v>1</v>
      </c>
      <c r="D35" s="716"/>
      <c r="E35" s="24">
        <f t="shared" si="13"/>
        <v>0.04</v>
      </c>
      <c r="F35" s="716"/>
      <c r="G35" s="24">
        <f t="shared" si="14"/>
        <v>0.04</v>
      </c>
      <c r="H35" s="716"/>
      <c r="I35" s="24">
        <f t="shared" si="15"/>
        <v>0.04</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0.04</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0.04</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0.04</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0.04</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0.04</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0.04</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0.04</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0.04</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0.04</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0.04</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0.04</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0.04</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0.04</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0.04</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0.04</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0.04</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0.04</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0.04</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0.04</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0.04</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0.04</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0.04</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0.04</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0.04</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0.04</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0.04</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0.04</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0.04</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0.04</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0.04</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0.04</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0.04</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0.04</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0.04</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0.04</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0.04</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0.04</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0.04</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0.04</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0.04</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0.04</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0.04</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0.04</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0.04</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0.04</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0.04</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0.04</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0.04</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0.04</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0.04</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0.04</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0.04</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0.04</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0.04</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0.04</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0.04</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0.04</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0.04</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0.04</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0.04</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0.04</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0.04</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0.04</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0.04</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0.04</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0.04</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0.04</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0.04</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0.04</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0.04</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0.04</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0.04</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0.04</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0.04</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0.04</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0.04</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0.04</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0.04</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0.04</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0.04</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0.04</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0.04</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0.04</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0.04</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0.04</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0.04</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0.04</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0.04</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0.04</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0.04</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0.04</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0.04</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0.04</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0.04</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0.04</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0.04</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0.04</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0.04</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0.04</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0.04</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0.04</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0.04</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0.04</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0.04</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0.04</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0.04</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0.04</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0.04</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0.04</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0.04</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0.04</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0.04</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0.04</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0.04</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0.04</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0.04</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0.04</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0.04</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0.04</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0.04</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0.04</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0.04</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0.04</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0.04</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0.04</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0.04</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0.04</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0.04</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0.04</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0.04</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0.04</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0.04</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0.04</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0.04</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0.04</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0.04</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0.04</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0.04</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0.04</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0.04</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0.04</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0.04</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0.04</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0.04</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0.04</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0.04</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0.04</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0.04</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0.04</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0.04</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0.04</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0.04</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0.04</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0.04</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0.04</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0.04</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0.04</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0.04</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0.04</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0.04</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0.04</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0.04</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0.04</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0.04</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0.04</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0.04</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0.04</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0.04</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0.04</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0.04</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0.04</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0.04</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0.04</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0.04</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0.04</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0.04</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0.04</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0.04</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0.04</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0.04</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0.04</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0.04</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0.04</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0.04</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0.04</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0.04</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0.04</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0.04</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0.04</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0.04</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0.04</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0.04</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0.04</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0.04</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0.04</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0.04</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0.04</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0.04</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0.04</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0.04</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0.04</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0.04</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0.04</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0.04</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0.04</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0.04</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0.04</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0.04</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0.04</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0.04</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0.04</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0.04</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0.04</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0.04</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0.04</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0.04</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0.04</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0.04</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0.04</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0.04</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0.04</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0.04</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0.04</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0.04</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0.04</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0.04</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0.04</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0.04</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0.04</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0.04</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0.04</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0.04</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0.04</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0.04</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0.04</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0.04</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0.04</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0.04</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0.04</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0.04</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0.04</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0.04</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0.04</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0.04</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0.04</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0.04</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0.04</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0.04</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0.04</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0.04</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0.04</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0.04</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0.04</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0.04</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0.04</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0.04</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0.04</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0.04</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0.04</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0.04</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0.04</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0.04</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0.04</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0.04</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0.04</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0.04</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0.04</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0.04</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0.04</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0.04</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0.04</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0.04</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0.04</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0.04</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0.04</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0.04</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0.04</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0.04</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0.04</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0.04</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0.04</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0.04</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0.04</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0.04</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0.04</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0.04</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0.04</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0.04</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0.04</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0.04</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0.04</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0.04</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0.04</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0.04</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0.04</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0.04</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0.04</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0.04</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0.04</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0.04</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0.04</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0.04</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0.04</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0.04</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0.04</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0.04</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0.04</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0.04</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0.04</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0.04</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0.04</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0.04</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0.04</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0.04</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0.04</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0.04</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0.04</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0.04</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0.04</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0.04</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0.04</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0.04</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0.04</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0.04</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0.04</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0.04</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0.04</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0.04</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0.04</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0.04</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0.04</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0.04</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0.04</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0.04</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0.04</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0.04</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0.04</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0.04</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0.04</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0.04</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0.04</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0.04</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0.04</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0.04</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0.04</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0.04</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0.04</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0.04</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0.04</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0.04</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0.04</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0.04</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0.04</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0.04</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0.04</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0.04</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0.04</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0.04</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0.04</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0.04</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0.04</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0.04</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0.04</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0.04</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0.04</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0.04</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0.04</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0.04</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0.04</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0.04</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0.04</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0.04</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0.04</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0.04</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0.04</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0.04</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0.04</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0.04</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0.04</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0.04</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0.04</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0.04</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0.04</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0.04</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0.04</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0.04</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0.04</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0.04</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0.04</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0.04</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0.04</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0.04</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0.04</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0.04</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0.04</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0.04</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0.04</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0.04</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0.04</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0.04</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0.04</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0.04</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0.04</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0.04</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0.04</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0.04</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0.04</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0.04</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0.04</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0.04</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0.04</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0.04</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0.04</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0.04</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0.04</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0.04</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0.04</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0.04</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0.04</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0.04</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0.04</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0.04</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0.04</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0.04</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0.04</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0.04</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0.04</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0.04</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0.04</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0.04</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0.04</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0.04</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0.04</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0.04</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0.04</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0.04</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0.04</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0.04</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0.04</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0.04</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0.04</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0.04</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0.04</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0.04</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0.04</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0.04</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0.04</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0.04</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0.04</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0.04</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0.04</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0.04</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0.04</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0.04</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0.04</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0.04</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0.04</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0.04</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0.04</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0.04</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0.04</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0.04</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0.04</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0.04</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0.04</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0.04</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0.04</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0.04</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0.04</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0.04</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0.04</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0.04</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0.04</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0.04</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0.04</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0.04</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0.04</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0.04</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0.04</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0.04</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0.04</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0.04</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0.04</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0.04</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0.04</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0.04</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0.04</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0.04</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0.04</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workbookViewId="0">
      <selection activeCell="C19" sqref="C19"/>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14" t="s">
        <v>3383</v>
      </c>
      <c r="C1" s="242"/>
      <c r="D1" s="242"/>
      <c r="E1" s="242"/>
      <c r="F1" s="242"/>
      <c r="G1" s="1360" t="e">
        <f>MATCH(B1,'数据-取费表'!A6:A16,0)+5</f>
        <v>#N/A</v>
      </c>
    </row>
    <row r="2" spans="1:9" s="244" customFormat="1" ht="18" customHeight="1">
      <c r="A2" s="245" t="s">
        <v>2310</v>
      </c>
      <c r="B2" s="246" t="e">
        <f ca="1">IF(D2="——",C52,C52-E2)</f>
        <v>#N/A</v>
      </c>
      <c r="C2" s="243" t="s">
        <v>2311</v>
      </c>
      <c r="D2" s="2517" t="s">
        <v>70</v>
      </c>
      <c r="E2" s="1420" t="e">
        <f ca="1">SUMIF(INDIRECT("'"&amp;G2&amp;"'"&amp;"!A:A"),"承租人权益价值",INDIRECT("'"&amp;G2&amp;"'"&amp;"!c:c"))</f>
        <v>#REF!</v>
      </c>
      <c r="F2" s="2518" t="s">
        <v>2311</v>
      </c>
      <c r="G2" s="2519"/>
    </row>
    <row r="3" spans="1:9" s="244" customFormat="1" ht="18" customHeight="1" thickBot="1">
      <c r="A3" s="247" t="s">
        <v>2312</v>
      </c>
      <c r="B3" s="248" t="e">
        <f ca="1">ROUND(B2*10000/(IF(B1="",'数据-汇总表'!E3,INDIRECT("'数据-取费表'!k"&amp;$G$1))),0)</f>
        <v>#N/A</v>
      </c>
      <c r="C3" s="243" t="s">
        <v>2313</v>
      </c>
      <c r="D3" s="243"/>
      <c r="E3" s="243"/>
      <c r="F3" s="243"/>
      <c r="G3" s="243"/>
    </row>
    <row r="4" spans="1:9" s="252" customFormat="1" ht="16.2">
      <c r="A4" s="249" t="s">
        <v>2314</v>
      </c>
      <c r="B4" s="250"/>
      <c r="C4" s="250"/>
      <c r="D4" s="250"/>
      <c r="E4" s="250"/>
      <c r="F4" s="250"/>
      <c r="G4" s="251"/>
    </row>
    <row r="5" spans="1:9" s="258" customFormat="1" ht="13.5" customHeight="1">
      <c r="A5" s="299" t="s">
        <v>2315</v>
      </c>
      <c r="B5" s="254" t="s">
        <v>2316</v>
      </c>
      <c r="C5" s="255" t="e">
        <f ca="1">C6+C7+C8</f>
        <v>#N/A</v>
      </c>
      <c r="D5" s="255" t="s">
        <v>2317</v>
      </c>
      <c r="E5" s="256" t="s">
        <v>2318</v>
      </c>
      <c r="F5" s="256" t="s">
        <v>2319</v>
      </c>
      <c r="G5" s="257"/>
    </row>
    <row r="6" spans="1:9" s="258" customFormat="1" ht="13.5" customHeight="1">
      <c r="A6" s="938" t="s">
        <v>2320</v>
      </c>
      <c r="B6" s="259" t="s">
        <v>2321</v>
      </c>
      <c r="C6" s="260">
        <f>ROUND('土地比较法-住宅、综合'!B56*'数据-汇总表'!F20/10000,0)</f>
        <v>0</v>
      </c>
      <c r="D6" s="261"/>
      <c r="E6" s="262"/>
      <c r="F6" s="262"/>
      <c r="G6" s="263"/>
    </row>
    <row r="7" spans="1:9" s="258" customFormat="1" ht="13.5" customHeight="1">
      <c r="A7" s="938" t="s">
        <v>2322</v>
      </c>
      <c r="B7" s="259" t="s">
        <v>2323</v>
      </c>
      <c r="C7" s="264">
        <f>ROUND(C6*F7,0)</f>
        <v>0</v>
      </c>
      <c r="D7" s="264"/>
      <c r="E7" s="262"/>
      <c r="F7" s="265">
        <f>IF(项目基本情况!B8="出让",0,'数据-取费表'!B48+'数据-取费表'!B49)</f>
        <v>3.0499999999999999E-2</v>
      </c>
      <c r="G7" s="263"/>
    </row>
    <row r="8" spans="1:9" s="267" customFormat="1">
      <c r="A8" s="938" t="s">
        <v>2324</v>
      </c>
      <c r="B8" s="259" t="s">
        <v>2325</v>
      </c>
      <c r="C8" s="264" t="e">
        <f ca="1">IF(G8="已包含在土地购买价格中","0",IF(B1="",'数据-取费表'!B29,IF(G9="全部缴纳",C9+C10,H9)))</f>
        <v>#N/A</v>
      </c>
      <c r="D8" s="266"/>
      <c r="E8" s="264"/>
      <c r="F8" s="265"/>
      <c r="G8" s="2520" t="s">
        <v>3343</v>
      </c>
    </row>
    <row r="9" spans="1:9" s="258" customFormat="1" ht="13.5" customHeight="1">
      <c r="A9" s="939" t="s">
        <v>800</v>
      </c>
      <c r="B9" s="268" t="s">
        <v>2326</v>
      </c>
      <c r="C9" s="269" t="e">
        <f ca="1">ROUND(D9*E9/10000,0)</f>
        <v>#N/A</v>
      </c>
      <c r="D9" s="1021" t="e">
        <f ca="1">IF(B1="",'数据-汇总表'!E5,IF(INDIRECT("'数据-取费表'!c"&amp;$G$1)="住宅",INDIRECT("'数据-取费表'!k"&amp;$G$1),0))</f>
        <v>#N/A</v>
      </c>
      <c r="E9" s="269">
        <f>'数据-取费表'!B27</f>
        <v>220</v>
      </c>
      <c r="F9" s="265"/>
      <c r="G9" s="2521" t="s">
        <v>3344</v>
      </c>
      <c r="H9" s="1370"/>
      <c r="I9" s="2522" t="s">
        <v>2327</v>
      </c>
    </row>
    <row r="10" spans="1:9" s="258" customFormat="1" ht="13.5" customHeight="1">
      <c r="A10" s="939" t="s">
        <v>801</v>
      </c>
      <c r="B10" s="268" t="s">
        <v>2328</v>
      </c>
      <c r="C10" s="269" t="e">
        <f ca="1">ROUND(D10*E10/10000,0)</f>
        <v>#N/A</v>
      </c>
      <c r="D10" s="1021" t="e">
        <f ca="1">IF(B1="",'数据-汇总表'!E6,IF(INDIRECT("'数据-取费表'!c"&amp;$G$1)="住宅",INDIRECT("'数据-取费表'!s"&amp;$G$1),INDIRECT("'数据-取费表'!k"&amp;$G$1)+INDIRECT("'数据-取费表'!s"&amp;$G$1)))</f>
        <v>#N/A</v>
      </c>
      <c r="E10" s="269">
        <f>'数据-取费表'!B28</f>
        <v>220</v>
      </c>
      <c r="F10" s="265"/>
      <c r="G10" s="270"/>
    </row>
    <row r="11" spans="1:9" s="258" customFormat="1" ht="13.5" hidden="1" customHeight="1">
      <c r="A11" s="271" t="s">
        <v>7</v>
      </c>
      <c r="B11" s="259" t="s">
        <v>2329</v>
      </c>
      <c r="C11" s="255"/>
      <c r="D11" s="1023"/>
      <c r="E11" s="262"/>
      <c r="F11" s="262"/>
      <c r="G11" s="263"/>
    </row>
    <row r="12" spans="1:9" s="258" customFormat="1" ht="13.5" hidden="1" customHeight="1">
      <c r="A12" s="271" t="s">
        <v>8</v>
      </c>
      <c r="B12" s="259" t="s">
        <v>2330</v>
      </c>
      <c r="C12" s="255">
        <v>0</v>
      </c>
      <c r="D12" s="1023"/>
      <c r="E12" s="272"/>
      <c r="F12" s="265">
        <v>3.0499999999999999E-2</v>
      </c>
      <c r="G12" s="263"/>
    </row>
    <row r="13" spans="1:9" s="258" customFormat="1" ht="13.5" hidden="1" customHeight="1">
      <c r="A13" s="271" t="s">
        <v>9</v>
      </c>
      <c r="B13" s="259" t="s">
        <v>2331</v>
      </c>
      <c r="C13" s="255"/>
      <c r="D13" s="1023"/>
      <c r="E13" s="262"/>
      <c r="F13" s="262"/>
      <c r="G13" s="263"/>
    </row>
    <row r="14" spans="1:9" s="258" customFormat="1" ht="13.5" hidden="1" customHeight="1">
      <c r="A14" s="271" t="s">
        <v>10</v>
      </c>
      <c r="B14" s="259" t="s">
        <v>2332</v>
      </c>
      <c r="C14" s="255"/>
      <c r="D14" s="1023"/>
      <c r="E14" s="262"/>
      <c r="F14" s="262"/>
      <c r="G14" s="263" t="s">
        <v>2333</v>
      </c>
    </row>
    <row r="15" spans="1:9" s="258" customFormat="1" ht="13.5" hidden="1" customHeight="1">
      <c r="A15" s="271" t="s">
        <v>11</v>
      </c>
      <c r="B15" s="259" t="s">
        <v>2334</v>
      </c>
      <c r="C15" s="264"/>
      <c r="D15" s="1023"/>
      <c r="E15" s="262"/>
      <c r="F15" s="262"/>
      <c r="G15" s="263" t="s">
        <v>2335</v>
      </c>
    </row>
    <row r="16" spans="1:9" s="258" customFormat="1" ht="13.5" hidden="1" customHeight="1">
      <c r="A16" s="271" t="s">
        <v>12</v>
      </c>
      <c r="B16" s="259" t="s">
        <v>2332</v>
      </c>
      <c r="C16" s="264"/>
      <c r="D16" s="1023"/>
      <c r="E16" s="262"/>
      <c r="F16" s="262"/>
      <c r="G16" s="263"/>
    </row>
    <row r="17" spans="1:7" s="258" customFormat="1" ht="13.5" hidden="1" customHeight="1">
      <c r="A17" s="271" t="s">
        <v>13</v>
      </c>
      <c r="B17" s="259" t="s">
        <v>2336</v>
      </c>
      <c r="C17" s="273"/>
      <c r="D17" s="1024"/>
      <c r="E17" s="273"/>
      <c r="F17" s="273"/>
      <c r="G17" s="263" t="s">
        <v>2335</v>
      </c>
    </row>
    <row r="18" spans="1:7" s="258" customFormat="1" ht="13.5" hidden="1" customHeight="1">
      <c r="A18" s="271" t="s">
        <v>14</v>
      </c>
      <c r="B18" s="259" t="s">
        <v>2337</v>
      </c>
      <c r="C18" s="264">
        <v>0</v>
      </c>
      <c r="D18" s="1023"/>
      <c r="E18" s="262"/>
      <c r="F18" s="265">
        <v>3.0499999999999999E-2</v>
      </c>
      <c r="G18" s="263" t="s">
        <v>2338</v>
      </c>
    </row>
    <row r="19" spans="1:7" s="267" customFormat="1" ht="13.5" customHeight="1">
      <c r="A19" s="299" t="s">
        <v>2339</v>
      </c>
      <c r="B19" s="254" t="s">
        <v>2340</v>
      </c>
      <c r="C19" s="255" t="str">
        <f>IF(G19="已包含在土地取得成本中","0",ROUND(D19*E19/10000,0))</f>
        <v>0</v>
      </c>
      <c r="D19" s="1025" t="e">
        <f ca="1">D9+D10</f>
        <v>#N/A</v>
      </c>
      <c r="E19" s="255">
        <f>'数据-取费表'!B31</f>
        <v>200</v>
      </c>
      <c r="F19" s="275"/>
      <c r="G19" s="2520" t="s">
        <v>3345</v>
      </c>
    </row>
    <row r="20" spans="1:7" s="258" customFormat="1" ht="13.5" customHeight="1">
      <c r="A20" s="299" t="s">
        <v>2341</v>
      </c>
      <c r="B20" s="254" t="s">
        <v>2342</v>
      </c>
      <c r="C20" s="276" t="e">
        <f ca="1">ROUND((C5+C19)*F20,0)</f>
        <v>#N/A</v>
      </c>
      <c r="D20" s="276"/>
      <c r="E20" s="276"/>
      <c r="F20" s="277">
        <f>'数据-取费表'!B37</f>
        <v>0.02</v>
      </c>
      <c r="G20" s="278" t="s">
        <v>2343</v>
      </c>
    </row>
    <row r="21" spans="1:7" s="258" customFormat="1" ht="13.5" customHeight="1">
      <c r="A21" s="299" t="s">
        <v>2344</v>
      </c>
      <c r="B21" s="254" t="s">
        <v>2345</v>
      </c>
      <c r="C21" s="279">
        <f>F21</f>
        <v>0.02</v>
      </c>
      <c r="D21" s="280" t="s">
        <v>2346</v>
      </c>
      <c r="E21" s="276"/>
      <c r="F21" s="277">
        <f>'数据-取费表'!B38</f>
        <v>0.02</v>
      </c>
      <c r="G21" s="278" t="s">
        <v>2347</v>
      </c>
    </row>
    <row r="22" spans="1:7" s="258" customFormat="1" ht="13.5" customHeight="1">
      <c r="A22" s="299" t="s">
        <v>2348</v>
      </c>
      <c r="B22" s="254" t="s">
        <v>2349</v>
      </c>
      <c r="C22" s="1335" t="e">
        <f ca="1">ROUND(SUM(C23:C25),0)</f>
        <v>#N/A</v>
      </c>
      <c r="D22" s="279">
        <f ca="1">C26</f>
        <v>1.4E-3</v>
      </c>
      <c r="E22" s="280" t="s">
        <v>2346</v>
      </c>
      <c r="F22" s="281">
        <f ca="1">'数据-取费表'!B40</f>
        <v>4.7500000000000001E-2</v>
      </c>
      <c r="G22" s="278" t="str">
        <f>IF('数据-取费表'!B22&lt;=1,"单利计息","复利计息")</f>
        <v>复利计息</v>
      </c>
    </row>
    <row r="23" spans="1:7" s="258" customFormat="1" ht="13.5" customHeight="1">
      <c r="A23" s="940" t="s">
        <v>2350</v>
      </c>
      <c r="B23" s="259" t="s">
        <v>2351</v>
      </c>
      <c r="C23" s="1336" t="e">
        <f ca="1">ROUND(IF('数据-取费表'!B22&lt;=1,C5*F22*'数据-取费表'!B23,C5*(POWER((1+F22),'数据-取费表'!B23)-1)),0)</f>
        <v>#N/A</v>
      </c>
      <c r="D23" s="282"/>
      <c r="E23" s="282"/>
      <c r="F23" s="283"/>
      <c r="G23" s="284" t="s">
        <v>2352</v>
      </c>
    </row>
    <row r="24" spans="1:7" s="258" customFormat="1" ht="13.5" customHeight="1">
      <c r="A24" s="940" t="s">
        <v>2353</v>
      </c>
      <c r="B24" s="259" t="s">
        <v>2354</v>
      </c>
      <c r="C24" s="1336">
        <f ca="1">ROUND(IF('数据-取费表'!B22&lt;=1,C19*F22*('数据-取费表'!B19/2+'数据-取费表'!B21),C19*(POWER((1+F22),('数据-取费表'!B19/2+'数据-取费表'!B21))-1)),0)</f>
        <v>0</v>
      </c>
      <c r="D24" s="282"/>
      <c r="E24" s="282"/>
      <c r="F24" s="283"/>
      <c r="G24" s="284" t="s">
        <v>2355</v>
      </c>
    </row>
    <row r="25" spans="1:7" s="258" customFormat="1" ht="24">
      <c r="A25" s="940" t="s">
        <v>2356</v>
      </c>
      <c r="B25" s="259" t="s">
        <v>2357</v>
      </c>
      <c r="C25" s="1336" t="e">
        <f ca="1">ROUND(IF('数据-取费表'!B22&lt;=1,C20*F22*'数据-取费表'!B23/2,C20*(POWER((1+F22),'数据-取费表'!B23/2)-1)),0)</f>
        <v>#N/A</v>
      </c>
      <c r="D25" s="282"/>
      <c r="E25" s="285"/>
      <c r="F25" s="283"/>
      <c r="G25" s="286" t="s">
        <v>2358</v>
      </c>
    </row>
    <row r="26" spans="1:7" s="258" customFormat="1">
      <c r="A26" s="940" t="s">
        <v>795</v>
      </c>
      <c r="B26" s="259" t="s">
        <v>2359</v>
      </c>
      <c r="C26" s="282">
        <f ca="1">ROUND(IF('数据-取费表'!B22&lt;=1,F21*F22*'数据-取费表'!B23/2,F21*(POWER((1+F22),'数据-取费表'!B23/2)-1)),4)</f>
        <v>1.4E-3</v>
      </c>
      <c r="D26" s="282"/>
      <c r="E26" s="285"/>
      <c r="F26" s="283"/>
      <c r="G26" s="287"/>
    </row>
    <row r="27" spans="1:7" s="258" customFormat="1" ht="26.4">
      <c r="A27" s="299" t="s">
        <v>2360</v>
      </c>
      <c r="B27" s="288" t="s">
        <v>2361</v>
      </c>
      <c r="C27" s="289" t="e">
        <f ca="1">C28</f>
        <v>#N/A</v>
      </c>
      <c r="D27" s="279" t="e">
        <f ca="1">C29</f>
        <v>#N/A</v>
      </c>
      <c r="E27" s="280" t="s">
        <v>2362</v>
      </c>
      <c r="F27" s="290" t="e">
        <f ca="1">IF(B1="",'数据-取费表'!Q16,INDIRECT("'数据-取费表'!q"&amp;$G$1))</f>
        <v>#N/A</v>
      </c>
      <c r="G27" s="291" t="s">
        <v>2363</v>
      </c>
    </row>
    <row r="28" spans="1:7" s="258" customFormat="1" ht="13.5" customHeight="1">
      <c r="A28" s="940" t="s">
        <v>791</v>
      </c>
      <c r="B28" s="292" t="s">
        <v>2364</v>
      </c>
      <c r="C28" s="293" t="e">
        <f ca="1">ROUND((C5+C19+C20)*F27*'数据-取费表'!B21/'数据-取费表'!B20,0)</f>
        <v>#N/A</v>
      </c>
      <c r="D28" s="279"/>
      <c r="E28" s="280"/>
      <c r="F28" s="290"/>
      <c r="G28" s="291"/>
    </row>
    <row r="29" spans="1:7" s="258" customFormat="1" ht="13.5" customHeight="1">
      <c r="A29" s="940" t="s">
        <v>792</v>
      </c>
      <c r="B29" s="292" t="s">
        <v>2365</v>
      </c>
      <c r="C29" s="282" t="e">
        <f ca="1">ROUND(C21*F27*'数据-取费表'!B21/'数据-取费表'!B20,4)</f>
        <v>#N/A</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t="e">
        <f ca="1">ROUND((C5+C19+C20+C22+C27)/(1-C21-D22-D27-C30),0)</f>
        <v>#N/A</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t="e">
        <f ca="1">SUM(C34:C38)</f>
        <v>#N/A</v>
      </c>
      <c r="D33" s="276"/>
      <c r="E33" s="256"/>
      <c r="F33" s="285"/>
      <c r="G33" s="278"/>
    </row>
    <row r="34" spans="1:7" s="302" customFormat="1" ht="13.5" customHeight="1">
      <c r="A34" s="940" t="s">
        <v>791</v>
      </c>
      <c r="B34" s="259" t="s">
        <v>2373</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2374</v>
      </c>
    </row>
    <row r="35" spans="1:7" ht="13.5" customHeight="1">
      <c r="A35" s="940" t="s">
        <v>796</v>
      </c>
      <c r="B35" s="259" t="s">
        <v>2375</v>
      </c>
      <c r="C35" s="264" t="e">
        <f ca="1">ROUND(C34*F35,0)</f>
        <v>#N/A</v>
      </c>
      <c r="D35" s="264"/>
      <c r="E35" s="264"/>
      <c r="F35" s="303">
        <f>'数据-取费表'!B33</f>
        <v>0.05</v>
      </c>
      <c r="G35" s="263" t="s">
        <v>2376</v>
      </c>
    </row>
    <row r="36" spans="1:7" ht="24">
      <c r="A36" s="940" t="s">
        <v>797</v>
      </c>
      <c r="B36" s="259" t="s">
        <v>2377</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2378</v>
      </c>
    </row>
    <row r="37" spans="1:7" s="302" customFormat="1" ht="13.5" customHeight="1">
      <c r="A37" s="940" t="s">
        <v>798</v>
      </c>
      <c r="B37" s="259" t="s">
        <v>2379</v>
      </c>
      <c r="C37" s="293" t="e">
        <f ca="1">ROUND(E37*D37*F34/10000,0)</f>
        <v>#N/A</v>
      </c>
      <c r="D37" s="261" t="e">
        <f ca="1">D19</f>
        <v>#N/A</v>
      </c>
      <c r="E37" s="293">
        <f>'数据-取费表'!B35</f>
        <v>200</v>
      </c>
      <c r="F37" s="303"/>
      <c r="G37" s="305" t="s">
        <v>2380</v>
      </c>
    </row>
    <row r="38" spans="1:7" ht="13.5" customHeight="1">
      <c r="A38" s="940" t="s">
        <v>799</v>
      </c>
      <c r="B38" s="259" t="s">
        <v>2381</v>
      </c>
      <c r="C38" s="264" t="e">
        <f ca="1">ROUND(C34*F38,0)</f>
        <v>#N/A</v>
      </c>
      <c r="D38" s="264"/>
      <c r="E38" s="264"/>
      <c r="F38" s="303">
        <f>'数据-取费表'!B36</f>
        <v>1.4999999999999999E-2</v>
      </c>
      <c r="G38" s="263" t="s">
        <v>2376</v>
      </c>
    </row>
    <row r="39" spans="1:7" s="258" customFormat="1" ht="13.5" customHeight="1">
      <c r="A39" s="299" t="s">
        <v>2382</v>
      </c>
      <c r="B39" s="254" t="s">
        <v>2383</v>
      </c>
      <c r="C39" s="276" t="e">
        <f ca="1">ROUND(C33*F20,0)</f>
        <v>#N/A</v>
      </c>
      <c r="D39" s="276"/>
      <c r="E39" s="276"/>
      <c r="F39" s="277"/>
      <c r="G39" s="278" t="s">
        <v>2384</v>
      </c>
    </row>
    <row r="40" spans="1:7" s="258" customFormat="1" ht="13.5" customHeight="1">
      <c r="A40" s="299" t="s">
        <v>2385</v>
      </c>
      <c r="B40" s="254" t="s">
        <v>2386</v>
      </c>
      <c r="C40" s="1707">
        <f>F21</f>
        <v>0.02</v>
      </c>
      <c r="D40" s="280" t="s">
        <v>2387</v>
      </c>
      <c r="E40" s="276"/>
      <c r="F40" s="277"/>
      <c r="G40" s="278" t="s">
        <v>2388</v>
      </c>
    </row>
    <row r="41" spans="1:7" s="258" customFormat="1" ht="13.5" customHeight="1">
      <c r="A41" s="299" t="s">
        <v>2389</v>
      </c>
      <c r="B41" s="254" t="s">
        <v>2390</v>
      </c>
      <c r="C41" s="276" t="e">
        <f ca="1">ROUND(SUM(C42:C43),0)</f>
        <v>#N/A</v>
      </c>
      <c r="D41" s="279">
        <f ca="1">C44</f>
        <v>1.4E-3</v>
      </c>
      <c r="E41" s="280" t="s">
        <v>2387</v>
      </c>
      <c r="F41" s="281"/>
      <c r="G41" s="278" t="str">
        <f>IF('数据-取费表'!B22&lt;=1,"单利计息","复利计息")</f>
        <v>复利计息</v>
      </c>
    </row>
    <row r="42" spans="1:7" ht="13.5" customHeight="1">
      <c r="A42" s="940" t="s">
        <v>791</v>
      </c>
      <c r="B42" s="259" t="s">
        <v>2391</v>
      </c>
      <c r="C42" s="282" t="e">
        <f ca="1">ROUND(IF('数据-取费表'!B22&lt;=1,C33*F22*'数据-取费表'!B21/2,C33*(POWER((1+F22),'数据-取费表'!B21/2)-1)),0)</f>
        <v>#N/A</v>
      </c>
      <c r="D42" s="282"/>
      <c r="E42" s="282"/>
      <c r="F42" s="283"/>
      <c r="G42" s="3639" t="s">
        <v>2392</v>
      </c>
    </row>
    <row r="43" spans="1:7" ht="13.5" customHeight="1">
      <c r="A43" s="940" t="s">
        <v>792</v>
      </c>
      <c r="B43" s="259" t="s">
        <v>2393</v>
      </c>
      <c r="C43" s="282" t="e">
        <f ca="1">ROUND(IF('数据-取费表'!B22&lt;=1,C39*F22*'数据-取费表'!B21/2,C39*(POWER((1+F22),'数据-取费表'!B21/2)-1)),0)</f>
        <v>#N/A</v>
      </c>
      <c r="D43" s="282"/>
      <c r="E43" s="282"/>
      <c r="F43" s="283"/>
      <c r="G43" s="3640"/>
    </row>
    <row r="44" spans="1:7" ht="13.5" customHeight="1">
      <c r="A44" s="940" t="s">
        <v>793</v>
      </c>
      <c r="B44" s="259" t="s">
        <v>2394</v>
      </c>
      <c r="C44" s="282">
        <f ca="1">ROUND(IF('数据-取费表'!B22&lt;=1,C40*F22*'数据-取费表'!B21/2,C40*(POWER((1+F22),'数据-取费表'!B21/2)-1)),4)</f>
        <v>1.4E-3</v>
      </c>
      <c r="D44" s="282"/>
      <c r="E44" s="282"/>
      <c r="F44" s="283"/>
      <c r="G44" s="3641"/>
    </row>
    <row r="45" spans="1:7" s="258" customFormat="1" ht="13.5" customHeight="1">
      <c r="A45" s="299" t="s">
        <v>2395</v>
      </c>
      <c r="B45" s="288" t="s">
        <v>2361</v>
      </c>
      <c r="C45" s="289" t="e">
        <f ca="1">C46</f>
        <v>#N/A</v>
      </c>
      <c r="D45" s="279" t="e">
        <f ca="1">C47</f>
        <v>#N/A</v>
      </c>
      <c r="E45" s="280" t="s">
        <v>2387</v>
      </c>
      <c r="F45" s="290"/>
      <c r="G45" s="291" t="s">
        <v>2396</v>
      </c>
    </row>
    <row r="46" spans="1:7" s="258" customFormat="1" ht="13.5" customHeight="1">
      <c r="A46" s="940" t="s">
        <v>791</v>
      </c>
      <c r="B46" s="292" t="s">
        <v>2397</v>
      </c>
      <c r="C46" s="293" t="e">
        <f ca="1">ROUND((C33+C39)*F27,0)</f>
        <v>#N/A</v>
      </c>
      <c r="D46" s="307"/>
      <c r="E46" s="280"/>
      <c r="F46" s="290"/>
      <c r="G46" s="291"/>
    </row>
    <row r="47" spans="1:7" s="258" customFormat="1" ht="13.5" customHeight="1">
      <c r="A47" s="940" t="s">
        <v>792</v>
      </c>
      <c r="B47" s="292" t="s">
        <v>2398</v>
      </c>
      <c r="C47" s="282" t="e">
        <f ca="1">ROUND(C40*F27,4)</f>
        <v>#N/A</v>
      </c>
      <c r="D47" s="307"/>
      <c r="E47" s="280"/>
      <c r="F47" s="290"/>
      <c r="G47" s="291"/>
    </row>
    <row r="48" spans="1:7" s="258" customFormat="1" ht="13.5" customHeight="1">
      <c r="A48" s="299" t="s">
        <v>2360</v>
      </c>
      <c r="B48" s="254" t="s">
        <v>2399</v>
      </c>
      <c r="C48" s="1707">
        <f>ROUND(F30/(1+'数据-取费表'!C42),4)</f>
        <v>5.33E-2</v>
      </c>
      <c r="D48" s="280" t="s">
        <v>2387</v>
      </c>
      <c r="E48" s="276"/>
      <c r="F48" s="281"/>
      <c r="G48" s="278" t="s">
        <v>2400</v>
      </c>
    </row>
    <row r="49" spans="1:7" ht="16.5" customHeight="1">
      <c r="A49" s="299" t="s">
        <v>2366</v>
      </c>
      <c r="B49" s="254" t="s">
        <v>2401</v>
      </c>
      <c r="C49" s="276" t="e">
        <f ca="1">ROUND((C33+C39+C41+C45)/(1-C40-D41-D45-C48),0)</f>
        <v>#N/A</v>
      </c>
      <c r="D49" s="276"/>
      <c r="E49" s="276"/>
      <c r="F49" s="308"/>
      <c r="G49" s="278" t="s">
        <v>2402</v>
      </c>
    </row>
    <row r="50" spans="1:7" s="302" customFormat="1" ht="24">
      <c r="A50" s="299" t="s">
        <v>2403</v>
      </c>
      <c r="B50" s="254" t="s">
        <v>2404</v>
      </c>
      <c r="C50" s="276"/>
      <c r="D50" s="276"/>
      <c r="E50" s="276"/>
      <c r="F50" s="308">
        <f>IF('数据-取费表'!B24=0,'数据-取费表'!N16,1)</f>
        <v>0.95</v>
      </c>
      <c r="G50" s="291" t="s">
        <v>2405</v>
      </c>
    </row>
    <row r="51" spans="1:7" ht="16.5" customHeight="1">
      <c r="A51" s="299" t="s">
        <v>2406</v>
      </c>
      <c r="B51" s="254" t="s">
        <v>2407</v>
      </c>
      <c r="C51" s="276" t="e">
        <f ca="1">ROUND(C49*F50,0)</f>
        <v>#N/A</v>
      </c>
      <c r="D51" s="276"/>
      <c r="E51" s="276"/>
      <c r="F51" s="308"/>
      <c r="G51" s="278" t="s">
        <v>2408</v>
      </c>
    </row>
    <row r="52" spans="1:7" s="252" customFormat="1" ht="16.8" thickBot="1">
      <c r="A52" s="309" t="s">
        <v>2409</v>
      </c>
      <c r="B52" s="310"/>
      <c r="C52" s="311" t="e">
        <f ca="1">C31+C51</f>
        <v>#N/A</v>
      </c>
      <c r="D52" s="310"/>
      <c r="E52" s="310"/>
      <c r="F52" s="310"/>
      <c r="G52" s="312"/>
    </row>
    <row r="55" spans="1:7" ht="15">
      <c r="B55" s="314" t="s">
        <v>2410</v>
      </c>
      <c r="C55" s="315"/>
    </row>
    <row r="56" spans="1:7">
      <c r="B56" s="317" t="s">
        <v>1497</v>
      </c>
      <c r="C56" s="319" t="e">
        <f ca="1">1-C57</f>
        <v>#N/A</v>
      </c>
    </row>
    <row r="57" spans="1:7">
      <c r="B57" s="317" t="s">
        <v>1498</v>
      </c>
      <c r="C57" s="318"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xr:uid="{00000000-0002-0000-1900-000000000000}">
      <formula1>"需扣减承租人权益,——"</formula1>
    </dataValidation>
    <dataValidation type="list" allowBlank="1" showInputMessage="1" showErrorMessage="1" sqref="G2" xr:uid="{00000000-0002-0000-1900-000001000000}">
      <formula1>估价方法</formula1>
    </dataValidation>
    <dataValidation type="list" allowBlank="1" showInputMessage="1" showErrorMessage="1" sqref="G9" xr:uid="{00000000-0002-0000-1900-000002000000}">
      <formula1>"部分缴纳,全部缴纳"</formula1>
    </dataValidation>
    <dataValidation type="list" allowBlank="1" showInputMessage="1" showErrorMessage="1" sqref="B1" xr:uid="{00000000-0002-0000-1900-000003000000}">
      <formula1>项目类型</formula1>
    </dataValidation>
    <dataValidation type="list" allowBlank="1" showInputMessage="1" showErrorMessage="1" sqref="G19" xr:uid="{00000000-0002-0000-1900-000004000000}">
      <formula1>"已包含在土地取得成本中,未包含在土地取得成本中"</formula1>
    </dataValidation>
    <dataValidation type="list" allowBlank="1" showInputMessage="1" showErrorMessage="1" sqref="G8" xr:uid="{00000000-0002-0000-19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zoomScale="85" zoomScaleNormal="85" zoomScaleSheetLayoutView="90" workbookViewId="0">
      <selection activeCell="I44" sqref="I44"/>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1362</v>
      </c>
      <c r="D1" s="1798" t="s">
        <v>70</v>
      </c>
      <c r="E1" s="1799" t="s">
        <v>1371</v>
      </c>
      <c r="F1" s="1264">
        <f ca="1">J53</f>
        <v>28.16</v>
      </c>
      <c r="G1" s="1814">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f ca="1">C40+J29+L46</f>
        <v>45688</v>
      </c>
      <c r="C2" s="1823" t="s">
        <v>1500</v>
      </c>
      <c r="D2" s="1823"/>
      <c r="E2" s="1824"/>
      <c r="F2" s="1825"/>
      <c r="G2" s="1826"/>
      <c r="H2" s="1818"/>
      <c r="I2" s="1818"/>
      <c r="J2" s="1818"/>
      <c r="K2" s="1819"/>
      <c r="L2" s="1818"/>
      <c r="M2" s="1818"/>
    </row>
    <row r="3" spans="1:37" ht="18" customHeight="1" thickBot="1">
      <c r="A3" s="1827" t="s">
        <v>1501</v>
      </c>
      <c r="B3" s="1828">
        <f ca="1">IF(ISERROR(B2*10000/F43),0,ROUND(B2*10000/F43,0))</f>
        <v>45900</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f ca="1">C6+C10+C12</f>
        <v>2993</v>
      </c>
      <c r="D5" s="1800" t="s">
        <v>1386</v>
      </c>
      <c r="E5" s="1274"/>
      <c r="F5" s="1275"/>
      <c r="G5" s="1829"/>
      <c r="H5" s="344">
        <v>1</v>
      </c>
      <c r="I5" s="345" t="s">
        <v>1385</v>
      </c>
      <c r="J5" s="1273">
        <f ca="1">J6+J10+J12</f>
        <v>0</v>
      </c>
      <c r="K5" s="1800" t="s">
        <v>1386</v>
      </c>
      <c r="L5" s="1274"/>
      <c r="M5" s="1275"/>
    </row>
    <row r="6" spans="1:37" ht="18" customHeight="1">
      <c r="A6" s="1272" t="s">
        <v>1032</v>
      </c>
      <c r="B6" s="3693" t="s">
        <v>1387</v>
      </c>
      <c r="C6" s="1277">
        <f ca="1">ROUND(F6*F8*F7*(1-F9)/10000,0)</f>
        <v>2989</v>
      </c>
      <c r="D6" s="164" t="s">
        <v>2999</v>
      </c>
      <c r="E6" s="347" t="s">
        <v>1389</v>
      </c>
      <c r="F6" s="348">
        <f ca="1">INDIRECT("'数据-取费表'!u"&amp;$G$1)</f>
        <v>8.66</v>
      </c>
      <c r="G6" s="1829"/>
      <c r="H6" s="1272" t="s">
        <v>1032</v>
      </c>
      <c r="I6" s="3693" t="s">
        <v>1387</v>
      </c>
      <c r="J6" s="346">
        <f ca="1">ROUND(M6*M8*M7*(1-M9)/10000,0)</f>
        <v>0</v>
      </c>
      <c r="K6" s="164" t="s">
        <v>2998</v>
      </c>
      <c r="L6" s="347" t="s">
        <v>1389</v>
      </c>
      <c r="M6" s="348">
        <f ca="1">INDIRECT("'数据-取费表'!z"&amp;$G$1)</f>
        <v>0</v>
      </c>
    </row>
    <row r="7" spans="1:37" ht="18" customHeight="1">
      <c r="A7" s="1276"/>
      <c r="B7" s="3694"/>
      <c r="C7" s="1278"/>
      <c r="D7" s="352"/>
      <c r="E7" s="2939" t="s">
        <v>1390</v>
      </c>
      <c r="F7" s="348">
        <f ca="1">IF(INDIRECT("'数据-取费表'!ah"&amp;$G$1)="",INDIRECT("'数据-取费表'!k"&amp;$G$1),INDIRECT("'数据-取费表'!ah"&amp;$G$1))</f>
        <v>9953.84</v>
      </c>
      <c r="G7" s="1829"/>
      <c r="H7" s="349"/>
      <c r="I7" s="3694"/>
      <c r="J7" s="351"/>
      <c r="K7" s="352"/>
      <c r="L7" s="347" t="s">
        <v>1390</v>
      </c>
      <c r="M7" s="348">
        <f ca="1">F7</f>
        <v>9953.84</v>
      </c>
    </row>
    <row r="8" spans="1:37" ht="18" customHeight="1">
      <c r="A8" s="349"/>
      <c r="B8" s="3694"/>
      <c r="C8" s="351"/>
      <c r="D8" s="352"/>
      <c r="E8" s="347" t="s">
        <v>1391</v>
      </c>
      <c r="F8" s="348">
        <f ca="1">INDIRECT("'数据-取费表'!ai"&amp;$G$1)</f>
        <v>365</v>
      </c>
      <c r="G8" s="1829"/>
      <c r="H8" s="349"/>
      <c r="I8" s="3694"/>
      <c r="J8" s="351"/>
      <c r="K8" s="352"/>
      <c r="L8" s="347" t="s">
        <v>1391</v>
      </c>
      <c r="M8" s="348">
        <f ca="1">INDIRECT("'数据-取费表'!ai"&amp;$G$1)</f>
        <v>365</v>
      </c>
    </row>
    <row r="9" spans="1:37" ht="18" customHeight="1">
      <c r="A9" s="349"/>
      <c r="B9" s="3695"/>
      <c r="C9" s="351"/>
      <c r="D9" s="352"/>
      <c r="E9" s="347" t="s">
        <v>1392</v>
      </c>
      <c r="F9" s="357">
        <f ca="1">INDIRECT("'数据-取费表'!w"&amp;$G$1)</f>
        <v>0.05</v>
      </c>
      <c r="G9" s="1829"/>
      <c r="H9" s="349"/>
      <c r="I9" s="3695"/>
      <c r="J9" s="351"/>
      <c r="K9" s="352"/>
      <c r="L9" s="358" t="s">
        <v>1392</v>
      </c>
      <c r="M9" s="359">
        <f ca="1">INDIRECT("'数据-取费表'!ab"&amp;$G$1)</f>
        <v>0</v>
      </c>
    </row>
    <row r="10" spans="1:37" ht="18" customHeight="1">
      <c r="A10" s="1272" t="s">
        <v>1036</v>
      </c>
      <c r="B10" s="1801" t="s">
        <v>1393</v>
      </c>
      <c r="C10" s="361">
        <f ca="1">ROUND(IF(F10="押一",C6/12*F11,IF(F10="押二",C6/12*2*F11,IF(F10="押三",C6/12*3*F11,C11*F11))),0)</f>
        <v>4</v>
      </c>
      <c r="D10" s="1802" t="s">
        <v>3007</v>
      </c>
      <c r="E10" s="358" t="s">
        <v>1394</v>
      </c>
      <c r="F10" s="1347" t="s">
        <v>3039</v>
      </c>
      <c r="G10" s="1829"/>
      <c r="H10" s="1272" t="s">
        <v>1036</v>
      </c>
      <c r="I10" s="1801" t="s">
        <v>1393</v>
      </c>
      <c r="J10" s="346">
        <f ca="1">ROUND(IF(M10="押一",J6/12*M11,IF(M10="押二",J6/12*2*M11,IF(M10="押三",J6/12*3*M11,J11*M11))),0)</f>
        <v>0</v>
      </c>
      <c r="K10" s="1802" t="s">
        <v>3007</v>
      </c>
      <c r="L10" s="358" t="s">
        <v>1394</v>
      </c>
      <c r="M10" s="1347" t="s">
        <v>3039</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f ca="1">ROUND(C29*F13,0)</f>
        <v>7185</v>
      </c>
      <c r="D13" s="1312" t="s">
        <v>1399</v>
      </c>
      <c r="E13" s="1312" t="s">
        <v>1400</v>
      </c>
      <c r="F13" s="1313">
        <f ca="1">INDIRECT("'数据-取费表'!y"&amp;$G$1)</f>
        <v>0.95</v>
      </c>
      <c r="G13" s="1829"/>
      <c r="H13" s="1310">
        <v>2</v>
      </c>
      <c r="I13" s="1311" t="s">
        <v>1398</v>
      </c>
      <c r="J13" s="1271">
        <f ca="1">ROUND(J14*J15,0)</f>
        <v>0</v>
      </c>
      <c r="K13" s="1318" t="s">
        <v>1399</v>
      </c>
      <c r="L13" s="1830"/>
      <c r="M13" s="1831"/>
    </row>
    <row r="14" spans="1:37" ht="18" customHeight="1">
      <c r="A14" s="1182" t="s">
        <v>1031</v>
      </c>
      <c r="B14" s="347" t="s">
        <v>1401</v>
      </c>
      <c r="C14" s="363">
        <f ca="1">INDIRECT("'数据-取费表'!m"&amp;$G$1)+INDIRECT("'数据-取费表'!t"&amp;$G$1)</f>
        <v>4479</v>
      </c>
      <c r="D14" s="2927" t="s">
        <v>1402</v>
      </c>
      <c r="E14" s="2922"/>
      <c r="F14" s="364"/>
      <c r="G14" s="1829"/>
      <c r="H14" s="1182" t="s">
        <v>1032</v>
      </c>
      <c r="I14" s="347" t="s">
        <v>1403</v>
      </c>
      <c r="J14" s="24">
        <f ca="1">C29</f>
        <v>7563</v>
      </c>
      <c r="K14" s="2938"/>
      <c r="L14" s="968"/>
      <c r="M14" s="969"/>
    </row>
    <row r="15" spans="1:37" s="1836" customFormat="1" ht="18" customHeight="1" thickBot="1">
      <c r="A15" s="1182" t="s">
        <v>1033</v>
      </c>
      <c r="B15" s="347" t="s">
        <v>1404</v>
      </c>
      <c r="C15" s="24">
        <f ca="1">ROUND(C14*F15,0)</f>
        <v>224</v>
      </c>
      <c r="D15" s="365" t="s">
        <v>1405</v>
      </c>
      <c r="E15" s="365" t="s">
        <v>1406</v>
      </c>
      <c r="F15" s="366">
        <f>'数据-取费表'!B33</f>
        <v>0.05</v>
      </c>
      <c r="G15" s="1832"/>
      <c r="H15" s="1320" t="s">
        <v>1036</v>
      </c>
      <c r="I15" s="1321" t="s">
        <v>1400</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f ca="1">ROUND(INDIRECT("'数据-取费表'!m"&amp;$G$1)*F16,0)</f>
        <v>0</v>
      </c>
      <c r="D16" s="347" t="s">
        <v>1405</v>
      </c>
      <c r="E16" s="347" t="s">
        <v>1406</v>
      </c>
      <c r="F16" s="367">
        <f ca="1">IF(INDIRECT("'数据-取费表'!c"&amp;$G$1)="住宅",'数据-取费表'!B34,0)</f>
        <v>0</v>
      </c>
      <c r="G16" s="1829"/>
      <c r="H16" s="1310" t="s">
        <v>1027</v>
      </c>
      <c r="I16" s="1311" t="s">
        <v>1408</v>
      </c>
      <c r="J16" s="355">
        <f ca="1">ROUND(J17+J22+J23+J24,0)</f>
        <v>117</v>
      </c>
      <c r="K16" s="1318" t="s">
        <v>1409</v>
      </c>
      <c r="L16" s="2929"/>
      <c r="M16" s="1275"/>
    </row>
    <row r="17" spans="1:37" s="1836" customFormat="1" ht="18" customHeight="1">
      <c r="A17" s="1182" t="s">
        <v>1374</v>
      </c>
      <c r="B17" s="347" t="s">
        <v>1410</v>
      </c>
      <c r="C17" s="24">
        <f ca="1">ROUND(F17*(F43+INDIRECT("'数据-取费表'!S"&amp;$G$1))/10000,0)</f>
        <v>199</v>
      </c>
      <c r="D17" s="347" t="s">
        <v>1411</v>
      </c>
      <c r="E17" s="347" t="s">
        <v>1412</v>
      </c>
      <c r="F17" s="26">
        <f>'数据-取费表'!B35</f>
        <v>200</v>
      </c>
      <c r="G17" s="1832"/>
      <c r="H17" s="1182" t="s">
        <v>1032</v>
      </c>
      <c r="I17" s="347" t="s">
        <v>1413</v>
      </c>
      <c r="J17" s="24">
        <f ca="1">ROUND(IF(项目基本情况!B11="自然人",J6*M17/(1+'数据-取费表'!C42),J18+J19+J20),1)</f>
        <v>3.6</v>
      </c>
      <c r="K17" s="2927" t="s">
        <v>1414</v>
      </c>
      <c r="L17" s="2925"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f ca="1">ROUND(C14*F18,0)</f>
        <v>67</v>
      </c>
      <c r="D18" s="347" t="s">
        <v>1405</v>
      </c>
      <c r="E18" s="347" t="s">
        <v>1406</v>
      </c>
      <c r="F18" s="367">
        <f>'数据-取费表'!B36</f>
        <v>1.4999999999999999E-2</v>
      </c>
      <c r="G18" s="1832"/>
      <c r="H18" s="1182" t="s">
        <v>1031</v>
      </c>
      <c r="I18" s="347" t="s">
        <v>1417</v>
      </c>
      <c r="J18" s="24">
        <f ca="1">ROUND(J6*M18/(1+'数据-取费表'!C42),2)</f>
        <v>0</v>
      </c>
      <c r="K18" s="2925"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f ca="1">SUM(C14:C18)</f>
        <v>4969</v>
      </c>
      <c r="D19" s="140" t="s">
        <v>1420</v>
      </c>
      <c r="E19" s="2936"/>
      <c r="F19" s="26"/>
      <c r="G19" s="1829"/>
      <c r="H19" s="1182" t="s">
        <v>1033</v>
      </c>
      <c r="I19" s="347" t="s">
        <v>1421</v>
      </c>
      <c r="J19" s="24">
        <f ca="1">IF(K19="按租金收入计税",ROUND(J6*M19/(1+'数据-取费表'!C42),2),ROUND(C29*M19*0.7,2))</f>
        <v>0</v>
      </c>
      <c r="K19" s="1806" t="s">
        <v>3050</v>
      </c>
      <c r="L19" s="347" t="s">
        <v>1406</v>
      </c>
      <c r="M19" s="367">
        <f>IF(K19="按租金收入计税",'数据-取费表'!B51,'数据-取费表'!B50)</f>
        <v>0.12</v>
      </c>
    </row>
    <row r="20" spans="1:37" s="1836" customFormat="1" ht="18" customHeight="1">
      <c r="A20" s="1182" t="s">
        <v>1036</v>
      </c>
      <c r="B20" s="347" t="s">
        <v>1423</v>
      </c>
      <c r="C20" s="24">
        <f ca="1">ROUND(C19*F20,0)</f>
        <v>99</v>
      </c>
      <c r="D20" s="369" t="s">
        <v>1424</v>
      </c>
      <c r="E20" s="347" t="s">
        <v>1406</v>
      </c>
      <c r="F20" s="367">
        <f>'数据-取费表'!B37</f>
        <v>0.02</v>
      </c>
      <c r="G20" s="1832"/>
      <c r="H20" s="1182" t="s">
        <v>1373</v>
      </c>
      <c r="I20" s="164" t="s">
        <v>1425</v>
      </c>
      <c r="J20" s="25">
        <f ca="1">ROUND(M20*M21/10000,2)</f>
        <v>3.61</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18</v>
      </c>
      <c r="D21" s="369" t="s">
        <v>1429</v>
      </c>
      <c r="E21" s="347" t="s">
        <v>1430</v>
      </c>
      <c r="F21" s="367">
        <f>'数据-取费表'!B38</f>
        <v>0.02</v>
      </c>
      <c r="G21" s="1832"/>
      <c r="H21" s="372"/>
      <c r="I21" s="356"/>
      <c r="J21" s="29"/>
      <c r="K21" s="373"/>
      <c r="L21" s="347" t="s">
        <v>1431</v>
      </c>
      <c r="M21" s="348">
        <f ca="1">INDIRECT("'数据-取费表'!r"&amp;$G$1)</f>
        <v>1203.57</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2936"/>
      <c r="F22" s="26"/>
      <c r="G22" s="1829"/>
      <c r="H22" s="1182" t="s">
        <v>1036</v>
      </c>
      <c r="I22" s="347" t="s">
        <v>1433</v>
      </c>
      <c r="J22" s="24">
        <f ca="1">ROUND(J14*M22,1)</f>
        <v>113.4</v>
      </c>
      <c r="K22" s="2925" t="s">
        <v>1434</v>
      </c>
      <c r="L22" s="347" t="s">
        <v>1406</v>
      </c>
      <c r="M22" s="374">
        <f ca="1">INDIRECT("'数据-取费表'!Ak"&amp;$G$1)</f>
        <v>1.4999999999999999E-2</v>
      </c>
    </row>
    <row r="23" spans="1:37" s="1836" customFormat="1" ht="18" customHeight="1">
      <c r="A23" s="1182" t="s">
        <v>1031</v>
      </c>
      <c r="B23" s="347" t="s">
        <v>1435</v>
      </c>
      <c r="C23" s="24">
        <f ca="1">IF('数据-取费表'!B22&lt;=1,ROUND(C19*F24*F23/2,0)+ROUND(C20*F24*F23/2,0),ROUND(C19*(POWER((1+F24),F23/2)-1),0)+ROUND(C20*(POWER((1+F24),F23/2)-1),0))</f>
        <v>365</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f ca="1">ROUND(J13*M23,1)</f>
        <v>0</v>
      </c>
      <c r="K23" s="2925" t="s">
        <v>1438</v>
      </c>
      <c r="L23" s="347" t="s">
        <v>1406</v>
      </c>
      <c r="M23" s="376">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1033</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1377</v>
      </c>
      <c r="I24" s="1321" t="s">
        <v>1423</v>
      </c>
      <c r="J24" s="1322">
        <f ca="1">ROUND(J5*M24,1)</f>
        <v>0</v>
      </c>
      <c r="K24" s="1323" t="s">
        <v>1443</v>
      </c>
      <c r="L24" s="1321" t="s">
        <v>1406</v>
      </c>
      <c r="M24" s="1317">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2936"/>
      <c r="F25" s="26"/>
      <c r="G25" s="1829"/>
      <c r="H25" s="1310" t="s">
        <v>1028</v>
      </c>
      <c r="I25" s="1325" t="s">
        <v>1447</v>
      </c>
      <c r="J25" s="355">
        <f ca="1">J5-J16</f>
        <v>-117</v>
      </c>
      <c r="K25" s="1326" t="s">
        <v>1448</v>
      </c>
      <c r="L25" s="1327"/>
      <c r="M25" s="1328"/>
    </row>
    <row r="26" spans="1:37">
      <c r="A26" s="1182" t="s">
        <v>1031</v>
      </c>
      <c r="B26" s="347" t="s">
        <v>1449</v>
      </c>
      <c r="C26" s="24">
        <f ca="1">ROUND((C19+C20)*F26,0)</f>
        <v>1520</v>
      </c>
      <c r="D26" s="369" t="s">
        <v>1450</v>
      </c>
      <c r="E26" s="358" t="s">
        <v>1451</v>
      </c>
      <c r="F26" s="357">
        <f ca="1">INDIRECT("'数据-取费表'!q"&amp;$G$1)</f>
        <v>0.3</v>
      </c>
      <c r="G26" s="1829"/>
      <c r="H26" s="344" t="s">
        <v>1029</v>
      </c>
      <c r="I26" s="345" t="s">
        <v>1452</v>
      </c>
      <c r="J26" s="346">
        <f ca="1">IF(J5&lt;&gt;0,ROUND(J25*(1-((1+M28)/(1+M26))^M27)/(M26-M28),0),0)</f>
        <v>0</v>
      </c>
      <c r="K26" s="370" t="s">
        <v>1453</v>
      </c>
      <c r="L26" s="347" t="s">
        <v>1454</v>
      </c>
      <c r="M26" s="357">
        <f ca="1">INDIRECT("'数据-取费表'!I"&amp;$G$1)</f>
        <v>0.06</v>
      </c>
    </row>
    <row r="27" spans="1:37" ht="18" customHeight="1">
      <c r="A27" s="1182" t="s">
        <v>1033</v>
      </c>
      <c r="B27" s="347" t="s">
        <v>1455</v>
      </c>
      <c r="C27" s="24">
        <f ca="1">ROUND(F21*F26,4)</f>
        <v>6.0000000000000001E-3</v>
      </c>
      <c r="D27" s="369" t="s">
        <v>1456</v>
      </c>
      <c r="E27" s="365"/>
      <c r="F27" s="366"/>
      <c r="G27" s="1829"/>
      <c r="H27" s="349"/>
      <c r="I27" s="350"/>
      <c r="J27" s="351"/>
      <c r="K27" s="378" t="s">
        <v>1457</v>
      </c>
      <c r="L27" s="347" t="s">
        <v>1458</v>
      </c>
      <c r="M27" s="379">
        <f ca="1">INDIRECT("'数据-取费表'!ag"&amp;$G$1)</f>
        <v>0</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f ca="1">ROUND((C19+C20+C23+C26)/(1-F21-C24-C27-C28),0)</f>
        <v>7563</v>
      </c>
      <c r="D29" s="1323"/>
      <c r="E29" s="1321"/>
      <c r="F29" s="1324"/>
      <c r="G29" s="1832"/>
      <c r="H29" s="380" t="s">
        <v>1030</v>
      </c>
      <c r="I29" s="381" t="s">
        <v>1463</v>
      </c>
      <c r="J29" s="382">
        <f ca="1">ROUND(J26/(1+F40)^F41,0)</f>
        <v>0</v>
      </c>
      <c r="K29" s="383" t="s">
        <v>1464</v>
      </c>
      <c r="L29" s="384"/>
      <c r="M29" s="385">
        <f ca="1">INDIRECT("'数据-取费表'!k"&amp;$G$1)</f>
        <v>9953.84</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f ca="1">ROUND(C31+C36+C37+C38,0)</f>
        <v>659</v>
      </c>
      <c r="D30" s="1318" t="s">
        <v>1409</v>
      </c>
      <c r="E30" s="2929"/>
      <c r="F30" s="1275"/>
      <c r="G30" s="1829"/>
      <c r="H30" s="741"/>
      <c r="I30" s="742"/>
      <c r="J30" s="743"/>
      <c r="K30" s="744"/>
      <c r="L30" s="745"/>
      <c r="M30" s="746"/>
    </row>
    <row r="31" spans="1:37" ht="18" customHeight="1">
      <c r="A31" s="1182" t="s">
        <v>1032</v>
      </c>
      <c r="B31" s="347" t="s">
        <v>1413</v>
      </c>
      <c r="C31" s="24">
        <f ca="1">ROUND(IF(项目基本情况!B11="自然人",C6*F31/(1+'数据-取费表'!C42),C32+C33+C34),1)</f>
        <v>504.6</v>
      </c>
      <c r="D31" s="2927" t="s">
        <v>1414</v>
      </c>
      <c r="E31" s="2925"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f ca="1">IF(项目基本情况!B11="自然人","——",ROUND(C6*F32/(1+'数据-取费表'!C42),2))</f>
        <v>159.41</v>
      </c>
      <c r="D32" s="2925" t="s">
        <v>1418</v>
      </c>
      <c r="E32" s="347" t="s">
        <v>1406</v>
      </c>
      <c r="F32" s="377">
        <f>'数据-取费表'!B41</f>
        <v>5.6000000000000001E-2</v>
      </c>
      <c r="G32" s="1829"/>
      <c r="H32" s="741"/>
      <c r="I32" s="742"/>
      <c r="J32" s="743"/>
      <c r="K32" s="744"/>
      <c r="L32" s="745"/>
      <c r="M32" s="746"/>
    </row>
    <row r="33" spans="1:18" ht="18" customHeight="1">
      <c r="A33" s="1182" t="s">
        <v>1033</v>
      </c>
      <c r="B33" s="347" t="s">
        <v>1421</v>
      </c>
      <c r="C33" s="24">
        <f ca="1">IF(项目基本情况!B11="自然人","——",IF(D33="按租金收入计税",ROUND(C6*F33/(1+'数据-取费表'!C42),2),IF(D33="按房产原值计税",ROUND(C29*F33*0.7,2),INDIRECT("'数据-取费表'!Aj"&amp;$G$1))))</f>
        <v>341.6</v>
      </c>
      <c r="D33" s="1806" t="s">
        <v>3050</v>
      </c>
      <c r="E33" s="347" t="s">
        <v>1406</v>
      </c>
      <c r="F33" s="367">
        <f>IF(D33="按票据","——",IF(D33="按租金收入计税",'数据-取费表'!B51,'数据-取费表'!B50))</f>
        <v>0.12</v>
      </c>
      <c r="G33" s="1829"/>
      <c r="H33" s="1837"/>
      <c r="I33" s="1838"/>
      <c r="J33" s="1839"/>
      <c r="K33" s="1840"/>
      <c r="L33" s="1837"/>
      <c r="M33" s="1837"/>
    </row>
    <row r="34" spans="1:18" ht="18" customHeight="1">
      <c r="A34" s="1272" t="s">
        <v>1373</v>
      </c>
      <c r="B34" s="164" t="s">
        <v>1425</v>
      </c>
      <c r="C34" s="25">
        <f ca="1">IF(项目基本情况!B11="自然人","——",ROUND(F34*F35/10000,2))</f>
        <v>3.61</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f ca="1">INDIRECT("'数据-取费表'!r"&amp;$G$1)</f>
        <v>1203.57</v>
      </c>
      <c r="G35" s="1829"/>
      <c r="H35" s="741"/>
      <c r="I35" s="1838"/>
      <c r="J35" s="1839"/>
      <c r="K35" s="1840"/>
      <c r="L35" s="1837"/>
      <c r="M35" s="1837"/>
    </row>
    <row r="36" spans="1:18" ht="18" customHeight="1">
      <c r="A36" s="1333" t="s">
        <v>1036</v>
      </c>
      <c r="B36" s="347" t="s">
        <v>1433</v>
      </c>
      <c r="C36" s="24">
        <f ca="1">ROUND(C29*F36,1)</f>
        <v>113.4</v>
      </c>
      <c r="D36" s="2925" t="s">
        <v>1466</v>
      </c>
      <c r="E36" s="347" t="s">
        <v>1406</v>
      </c>
      <c r="F36" s="374">
        <f ca="1">INDIRECT("'数据-取费表'!Ak"&amp;$G$1)</f>
        <v>1.4999999999999999E-2</v>
      </c>
      <c r="G36" s="1829"/>
      <c r="H36" s="1837"/>
      <c r="I36" s="1838"/>
      <c r="J36" s="1839"/>
      <c r="K36" s="747"/>
      <c r="L36" s="1837"/>
      <c r="M36" s="1837"/>
    </row>
    <row r="37" spans="1:18" ht="18" customHeight="1">
      <c r="A37" s="1182" t="s">
        <v>1072</v>
      </c>
      <c r="B37" s="347" t="s">
        <v>1437</v>
      </c>
      <c r="C37" s="24">
        <f ca="1">ROUND(C13*F37,1)</f>
        <v>10.8</v>
      </c>
      <c r="D37" s="2925" t="s">
        <v>1438</v>
      </c>
      <c r="E37" s="347" t="s">
        <v>1406</v>
      </c>
      <c r="F37" s="376">
        <f ca="1">INDIRECT("'数据-取费表'!Al"&amp;$G$1)</f>
        <v>1.5E-3</v>
      </c>
      <c r="G37" s="1829"/>
      <c r="H37" s="1837"/>
      <c r="I37" s="1838"/>
      <c r="J37" s="1839"/>
      <c r="K37" s="747"/>
      <c r="L37" s="1837"/>
      <c r="M37" s="1837"/>
    </row>
    <row r="38" spans="1:18" ht="18" customHeight="1" thickBot="1">
      <c r="A38" s="1320" t="s">
        <v>1377</v>
      </c>
      <c r="B38" s="1321" t="s">
        <v>1423</v>
      </c>
      <c r="C38" s="1322">
        <f ca="1">ROUND(C5*F38,1)</f>
        <v>29.9</v>
      </c>
      <c r="D38" s="1323" t="s">
        <v>1443</v>
      </c>
      <c r="E38" s="1321" t="s">
        <v>1406</v>
      </c>
      <c r="F38" s="1317">
        <f ca="1">INDIRECT("'数据-取费表'!Am"&amp;$G$1)</f>
        <v>0.01</v>
      </c>
      <c r="G38" s="1829"/>
      <c r="H38" s="1837"/>
      <c r="I38" s="1838"/>
      <c r="J38" s="1839"/>
      <c r="K38" s="1843"/>
      <c r="L38" s="1837"/>
      <c r="M38" s="1837"/>
    </row>
    <row r="39" spans="1:18" ht="24.6" customHeight="1" thickTop="1">
      <c r="A39" s="1310" t="s">
        <v>1028</v>
      </c>
      <c r="B39" s="1325" t="s">
        <v>1447</v>
      </c>
      <c r="C39" s="355">
        <f ca="1">C5-C30</f>
        <v>2334</v>
      </c>
      <c r="D39" s="1326" t="s">
        <v>1448</v>
      </c>
      <c r="E39" s="1327"/>
      <c r="F39" s="1328"/>
      <c r="G39" s="1829"/>
      <c r="H39" s="1837"/>
      <c r="I39" s="1838"/>
      <c r="J39" s="1839"/>
      <c r="K39" s="1843"/>
      <c r="L39" s="1837"/>
      <c r="M39" s="1837"/>
    </row>
    <row r="40" spans="1:18" ht="18" customHeight="1">
      <c r="A40" s="344" t="s">
        <v>1029</v>
      </c>
      <c r="B40" s="345" t="s">
        <v>1469</v>
      </c>
      <c r="C40" s="346">
        <f ca="1">ROUND(C39*(1-((1+F42)/(1+F40))^F41)/(F40-F42),0)</f>
        <v>45688</v>
      </c>
      <c r="D40" s="370" t="s">
        <v>1453</v>
      </c>
      <c r="E40" s="347" t="s">
        <v>1454</v>
      </c>
      <c r="F40" s="357">
        <f ca="1">INDIRECT("'数据-取费表'!I"&amp;$G$1)</f>
        <v>0.06</v>
      </c>
      <c r="G40" s="1829"/>
      <c r="H40" s="1817"/>
      <c r="I40" s="1838"/>
      <c r="J40" s="1839"/>
      <c r="K40" s="1843"/>
      <c r="L40" s="1817"/>
      <c r="M40" s="1817"/>
    </row>
    <row r="41" spans="1:18" ht="18" customHeight="1">
      <c r="A41" s="349"/>
      <c r="B41" s="350"/>
      <c r="C41" s="351"/>
      <c r="D41" s="378" t="s">
        <v>1470</v>
      </c>
      <c r="E41" s="347" t="s">
        <v>1458</v>
      </c>
      <c r="F41" s="379">
        <f ca="1">IF(INDIRECT("'数据-取费表'!af"&amp;$G$1)=0,INDIRECT("'数据-取费表'!ae"&amp;$G$1),INDIRECT("'数据-取费表'!af"&amp;$G$1))</f>
        <v>28.16</v>
      </c>
      <c r="G41" s="1829"/>
      <c r="H41" s="728"/>
      <c r="I41" s="1838"/>
      <c r="J41" s="1839"/>
      <c r="K41" s="747"/>
      <c r="L41" s="728"/>
      <c r="M41" s="728"/>
    </row>
    <row r="42" spans="1:18" ht="18" customHeight="1">
      <c r="A42" s="353"/>
      <c r="B42" s="354"/>
      <c r="C42" s="355"/>
      <c r="D42" s="373"/>
      <c r="E42" s="347" t="s">
        <v>1461</v>
      </c>
      <c r="F42" s="357">
        <f ca="1">INDIRECT("'数据-取费表'!v"&amp;$G$1)</f>
        <v>3.5000000000000003E-2</v>
      </c>
      <c r="G42" s="1829"/>
      <c r="H42" s="728"/>
      <c r="I42" s="1838"/>
      <c r="J42" s="1839"/>
      <c r="K42" s="747"/>
      <c r="L42" s="728"/>
      <c r="M42" s="728"/>
    </row>
    <row r="43" spans="1:18" ht="18" customHeight="1" thickBot="1">
      <c r="A43" s="380" t="s">
        <v>1030</v>
      </c>
      <c r="B43" s="381" t="s">
        <v>1471</v>
      </c>
      <c r="C43" s="382">
        <f ca="1">ROUND(C40*10000/F43,0)</f>
        <v>45900</v>
      </c>
      <c r="D43" s="383" t="s">
        <v>1472</v>
      </c>
      <c r="E43" s="384" t="s">
        <v>1473</v>
      </c>
      <c r="F43" s="385">
        <f ca="1">INDIRECT("'数据-取费表'!k"&amp;$G$1)</f>
        <v>9953.84</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f ca="1">C68-C40</f>
        <v>-55940</v>
      </c>
      <c r="D46" s="1850" t="str">
        <f>C2</f>
        <v>万元</v>
      </c>
      <c r="E46" s="1844"/>
      <c r="F46" s="1844"/>
      <c r="I46" s="1851" t="s">
        <v>1505</v>
      </c>
      <c r="J46" s="1852"/>
      <c r="K46" s="1853"/>
      <c r="L46" s="1854" t="str">
        <f ca="1">IF(M47="住宅",0,IF(L48&gt;J51,L60,J60))</f>
        <v>0</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f ca="1">INDIRECT("'数据-取费表'!d"&amp;$G$1)</f>
        <v>40</v>
      </c>
      <c r="M47" s="1816" t="str">
        <f>IF(ISNUMBER(FIND("住宅",C1)),"住宅","非住宅")</f>
        <v>非住宅</v>
      </c>
      <c r="O47" s="1862" t="s">
        <v>1037</v>
      </c>
      <c r="P47" s="1863" t="s">
        <v>1512</v>
      </c>
      <c r="Q47" s="1864">
        <f ca="1">C40+J29</f>
        <v>45688</v>
      </c>
      <c r="R47" s="1864" t="s">
        <v>1513</v>
      </c>
    </row>
    <row r="48" spans="1:18" s="1820" customFormat="1" ht="40.200000000000003" thickBot="1">
      <c r="A48" s="1341" t="s">
        <v>1125</v>
      </c>
      <c r="B48" s="345" t="s">
        <v>1385</v>
      </c>
      <c r="C48" s="2935">
        <f ca="1">C49+C53+C55</f>
        <v>0</v>
      </c>
      <c r="D48" s="1343"/>
      <c r="E48" s="1344"/>
      <c r="F48" s="1162"/>
      <c r="G48" s="787"/>
      <c r="H48" s="788"/>
      <c r="I48" s="1865" t="s">
        <v>1514</v>
      </c>
      <c r="J48" s="1866" t="s">
        <v>3035</v>
      </c>
      <c r="K48" s="1867" t="s">
        <v>1515</v>
      </c>
      <c r="L48" s="1868">
        <f ca="1">INDIRECT("'数据-取费表'!f"&amp;$G$1)</f>
        <v>28.16</v>
      </c>
      <c r="O48" s="1862" t="s">
        <v>1038</v>
      </c>
      <c r="P48" s="1863" t="s">
        <v>1516</v>
      </c>
      <c r="Q48" s="1864" t="str">
        <f ca="1">J60</f>
        <v>0</v>
      </c>
      <c r="R48" s="1864" t="s">
        <v>1517</v>
      </c>
    </row>
    <row r="49" spans="1:18" s="1820" customFormat="1" ht="13.8" thickBot="1">
      <c r="A49" s="1175" t="s">
        <v>1126</v>
      </c>
      <c r="B49" s="1807" t="s">
        <v>1474</v>
      </c>
      <c r="C49" s="1345">
        <f ca="1">ROUND(F49*F51*F50*(1-F52)/10000,0)</f>
        <v>0</v>
      </c>
      <c r="D49" s="1257" t="s">
        <v>2998</v>
      </c>
      <c r="E49" s="1808" t="s">
        <v>1475</v>
      </c>
      <c r="F49" s="1262"/>
      <c r="G49" s="1869"/>
      <c r="H49" s="788"/>
      <c r="I49" s="1865" t="s">
        <v>1518</v>
      </c>
      <c r="J49" s="1870">
        <v>1997</v>
      </c>
      <c r="K49" s="1867" t="s">
        <v>1519</v>
      </c>
      <c r="L49" s="1871"/>
      <c r="O49" s="1872" t="s">
        <v>1039</v>
      </c>
      <c r="P49" s="1863" t="s">
        <v>1520</v>
      </c>
      <c r="Q49" s="1864">
        <f ca="1">C29</f>
        <v>7563</v>
      </c>
      <c r="R49" s="1864" t="s">
        <v>1513</v>
      </c>
    </row>
    <row r="50" spans="1:18" s="1820" customFormat="1" ht="13.8" thickBot="1">
      <c r="A50" s="1176"/>
      <c r="B50" s="1179"/>
      <c r="C50" s="1349"/>
      <c r="D50" s="1153"/>
      <c r="E50" s="1258" t="s">
        <v>1390</v>
      </c>
      <c r="F50" s="1259">
        <f ca="1">F7</f>
        <v>9953.84</v>
      </c>
      <c r="H50" s="788"/>
      <c r="I50" s="1865" t="s">
        <v>1521</v>
      </c>
      <c r="J50" s="1873">
        <f>SUMPRODUCT((I63:I65=J47)*(J62:L62=J48)*(J63:L65))</f>
        <v>60</v>
      </c>
      <c r="K50" s="1867" t="s">
        <v>1522</v>
      </c>
      <c r="L50" s="1871"/>
      <c r="M50" s="1874"/>
      <c r="O50" s="1872" t="s">
        <v>1040</v>
      </c>
      <c r="P50" s="1863" t="s">
        <v>1523</v>
      </c>
      <c r="Q50" s="1875" t="e">
        <f ca="1">J58</f>
        <v>#VALUE!</v>
      </c>
      <c r="R50" s="1864"/>
    </row>
    <row r="51" spans="1:18" s="1820" customFormat="1" ht="13.8" thickBot="1">
      <c r="A51" s="1177"/>
      <c r="B51" s="1179"/>
      <c r="C51" s="1180"/>
      <c r="D51" s="1153"/>
      <c r="E51" s="1181" t="s">
        <v>1391</v>
      </c>
      <c r="F51" s="348">
        <f ca="1">F8</f>
        <v>365</v>
      </c>
      <c r="I51" s="1876" t="s">
        <v>1524</v>
      </c>
      <c r="J51" s="1877">
        <f>IF(J49="",J50,J49+J50-YEAR('数据-取费表'!B2))</f>
        <v>37</v>
      </c>
      <c r="K51" s="1878" t="s">
        <v>1525</v>
      </c>
      <c r="L51" s="1879">
        <f ca="1">ROUND(-PV(INDIRECT("'数据-取费表'!h"&amp;$G$1),L48,(C39-C13*C76),0),0)</f>
        <v>24395</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f ca="1">J53</f>
        <v>28.16</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f ca="1">IF(M47="住宅",IF(D1="——",MAX(J51,L48),MAX(J51,L48-'数据-取费表'!B24)),IF(D1="——",MIN(J51,L48),MIN(J51,L48-'数据-取费表'!B24)))</f>
        <v>28.16</v>
      </c>
      <c r="K53" s="3696" t="s">
        <v>1532</v>
      </c>
      <c r="L53" s="3697"/>
      <c r="O53" s="1862" t="s">
        <v>1043</v>
      </c>
      <c r="P53" s="1863" t="s">
        <v>1533</v>
      </c>
      <c r="Q53" s="1864">
        <f ca="1">Q47+Q48</f>
        <v>45688</v>
      </c>
      <c r="R53" s="1864" t="s">
        <v>1044</v>
      </c>
    </row>
    <row r="54" spans="1:18" s="1820" customFormat="1" ht="24.6" thickBot="1">
      <c r="A54" s="1386"/>
      <c r="B54" s="1803" t="s">
        <v>1372</v>
      </c>
      <c r="C54" s="1159"/>
      <c r="D54" s="1802"/>
      <c r="E54" s="2931"/>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1534</v>
      </c>
      <c r="P54" s="1817"/>
      <c r="Q54" s="1817"/>
      <c r="R54" s="1817"/>
    </row>
    <row r="55" spans="1:18" s="1820" customFormat="1" ht="13.8" thickBot="1">
      <c r="A55" s="1314" t="s">
        <v>1072</v>
      </c>
      <c r="B55" s="1805" t="s">
        <v>1397</v>
      </c>
      <c r="C55" s="1315"/>
      <c r="D55" s="1802"/>
      <c r="E55" s="2931"/>
      <c r="F55" s="1884"/>
      <c r="I55" s="1887" t="s">
        <v>1535</v>
      </c>
      <c r="J55" s="1888" t="e">
        <f ca="1">ROUND(IF(J47="钢混",J57/J50,1-(1-2%)*(J50-J57)/J50),3)</f>
        <v>#VALUE!</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f ca="1">C13</f>
        <v>7185</v>
      </c>
      <c r="D56" s="1891"/>
      <c r="E56" s="1892"/>
      <c r="F56" s="1884"/>
      <c r="I56" s="1893" t="s">
        <v>1538</v>
      </c>
      <c r="J56" s="1894" t="s">
        <v>3033</v>
      </c>
      <c r="K56" s="1865" t="s">
        <v>1539</v>
      </c>
      <c r="L56" s="1868" t="str">
        <f ca="1">IF(L48&lt;J51,"——",L48-J53)</f>
        <v>——</v>
      </c>
      <c r="O56" s="1862" t="s">
        <v>1037</v>
      </c>
      <c r="P56" s="1863" t="s">
        <v>1512</v>
      </c>
      <c r="Q56" s="1864">
        <f ca="1">C40+J29</f>
        <v>45688</v>
      </c>
      <c r="R56" s="1864" t="s">
        <v>1513</v>
      </c>
    </row>
    <row r="57" spans="1:18" s="1820" customFormat="1" ht="24.6" thickBot="1">
      <c r="A57" s="1895"/>
      <c r="B57" s="1150" t="s">
        <v>1462</v>
      </c>
      <c r="C57" s="282">
        <f ca="1">C29</f>
        <v>7563</v>
      </c>
      <c r="D57" s="1896"/>
      <c r="E57" s="1897"/>
      <c r="F57" s="1898"/>
      <c r="I57" s="1899" t="s">
        <v>1540</v>
      </c>
      <c r="J57" s="1900" t="str">
        <f ca="1">IF(OR(M47="住宅",J51&lt;L48,J56="是"),"——",J51-L48)</f>
        <v>——</v>
      </c>
      <c r="K57" s="1865" t="s">
        <v>1541</v>
      </c>
      <c r="L57" s="1868" t="str">
        <f ca="1">IF(L48&lt;J51,"——",IF(L55="比较法",L49,IF(L55="基准地价",L50,L51)))</f>
        <v>——</v>
      </c>
      <c r="O57" s="1862" t="s">
        <v>1038</v>
      </c>
      <c r="P57" s="1863" t="s">
        <v>1542</v>
      </c>
      <c r="Q57" s="1864">
        <f ca="1">L60</f>
        <v>0</v>
      </c>
      <c r="R57" s="1864" t="s">
        <v>1543</v>
      </c>
    </row>
    <row r="58" spans="1:18" s="1820" customFormat="1" ht="24.6" thickBot="1">
      <c r="A58" s="360" t="s">
        <v>1027</v>
      </c>
      <c r="B58" s="1158" t="s">
        <v>1408</v>
      </c>
      <c r="C58" s="361">
        <f ca="1">ROUND(C59+C64+C65+C66,0)</f>
        <v>763</v>
      </c>
      <c r="D58" s="1160" t="s">
        <v>1409</v>
      </c>
      <c r="E58" s="1161"/>
      <c r="F58" s="1162"/>
      <c r="I58" s="1899" t="s">
        <v>1544</v>
      </c>
      <c r="J58" s="1901" t="e">
        <f ca="1">IF(J55&lt;0.4,0.4,J55)</f>
        <v>#VALUE!</v>
      </c>
      <c r="K58" s="1878" t="s">
        <v>1545</v>
      </c>
      <c r="L58" s="1868" t="e">
        <f ca="1">ROUND(POWER(1+L52,L47-L48)*(POWER(1+L52,L48)-1)/(POWER(1+L52,L47)-1),4)</f>
        <v>#DIV/0!</v>
      </c>
      <c r="O58" s="1872" t="s">
        <v>1039</v>
      </c>
      <c r="P58" s="1863" t="s">
        <v>1546</v>
      </c>
      <c r="Q58" s="1864">
        <f>IF(L55="比较法",L49,IF(L55="基准地价",L50,0))</f>
        <v>0</v>
      </c>
      <c r="R58" s="1864" t="s">
        <v>1513</v>
      </c>
    </row>
    <row r="59" spans="1:18" s="1820" customFormat="1" ht="24.6" thickBot="1">
      <c r="A59" s="1182" t="s">
        <v>1032</v>
      </c>
      <c r="B59" s="1150" t="s">
        <v>1413</v>
      </c>
      <c r="C59" s="24">
        <f ca="1">ROUND(IF(项目基本情况!B11="自然人",C48*F59,C60+C61+C62),1)</f>
        <v>638.9</v>
      </c>
      <c r="D59" s="1163" t="s">
        <v>1414</v>
      </c>
      <c r="E59" s="1164" t="s">
        <v>1415</v>
      </c>
      <c r="F59" s="368" t="str">
        <f ca="1">IF(项目基本情况!B11="企业","",IF(INDIRECT("'数据-取费表'!c"&amp;$G$1)="住宅",5%,IF(F49*F50*F51/12/(1+'数据-取费表'!C42)&gt;20000,12%,7%)))</f>
        <v/>
      </c>
      <c r="I59" s="1899" t="s">
        <v>1547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1548</v>
      </c>
      <c r="Q59" s="1875">
        <f>L52</f>
        <v>0</v>
      </c>
      <c r="R59" s="1864"/>
    </row>
    <row r="60" spans="1:18" s="1820" customFormat="1" ht="16.2" thickBot="1">
      <c r="A60" s="1182" t="s">
        <v>1031</v>
      </c>
      <c r="B60" s="1150" t="s">
        <v>1417</v>
      </c>
      <c r="C60" s="24">
        <f ca="1">IF(项目基本情况!B11="自然人","——",ROUND(C48*F60/(1+'数据-取费表'!C42),2))</f>
        <v>0</v>
      </c>
      <c r="D60" s="1164" t="s">
        <v>1418</v>
      </c>
      <c r="E60" s="1150" t="s">
        <v>1406</v>
      </c>
      <c r="F60" s="377">
        <f t="shared" ref="F60:F66" si="0">F32</f>
        <v>5.6000000000000001E-2</v>
      </c>
      <c r="I60" s="1902" t="s">
        <v>1549</v>
      </c>
      <c r="J60" s="1903" t="str">
        <f ca="1">IF(OR(M47="住宅",J51&lt;L48,J56="是"),"0",ROUND(J59/(1+J52)^J53,0))</f>
        <v>0</v>
      </c>
      <c r="K60" s="1904" t="s">
        <v>1550</v>
      </c>
      <c r="L60" s="1903">
        <f ca="1">IF(OR(M47="住宅",L48&lt;J51),0,ROUND(L57*(L58/L59-1),0))</f>
        <v>0</v>
      </c>
      <c r="O60" s="1872" t="s">
        <v>1041</v>
      </c>
      <c r="P60" s="1863" t="s">
        <v>1551</v>
      </c>
      <c r="Q60" s="1864" t="e">
        <f ca="1">L58</f>
        <v>#DIV/0!</v>
      </c>
      <c r="R60" s="1864" t="s">
        <v>1552</v>
      </c>
    </row>
    <row r="61" spans="1:18" s="1820" customFormat="1" ht="13.8" thickBot="1">
      <c r="A61" s="1182" t="s">
        <v>1476</v>
      </c>
      <c r="B61" s="1150" t="s">
        <v>1421</v>
      </c>
      <c r="C61" s="24">
        <f ca="1">IF(项目基本情况!B11="自然人","——",IF(D61="按租金收入计税",ROUND(C48*F61,2),IF(D61="按房产原值计税",ROUND(C57*F61*0.7,2),INDIRECT("'数据-取费表'!Aj"&amp;$G$1))))</f>
        <v>635.29</v>
      </c>
      <c r="D61" s="1806" t="s">
        <v>1422</v>
      </c>
      <c r="E61" s="1150" t="s">
        <v>1406</v>
      </c>
      <c r="F61" s="367">
        <f t="shared" si="0"/>
        <v>0.12</v>
      </c>
      <c r="I61" s="1905"/>
      <c r="J61" s="1905"/>
      <c r="K61" s="1905"/>
      <c r="L61" s="1905"/>
      <c r="O61" s="1872" t="s">
        <v>1042</v>
      </c>
      <c r="P61" s="1863" t="str">
        <f>K59</f>
        <v>建筑物剩余耐用年限下的土地年期修正系数Kn</v>
      </c>
      <c r="Q61" s="1864" t="e">
        <f ca="1">L59</f>
        <v>#DIV/0!</v>
      </c>
      <c r="R61" s="1864" t="s">
        <v>1553</v>
      </c>
    </row>
    <row r="62" spans="1:18" s="1820" customFormat="1" ht="13.8" thickBot="1">
      <c r="A62" s="1182" t="s">
        <v>1479</v>
      </c>
      <c r="B62" s="1149" t="s">
        <v>1425</v>
      </c>
      <c r="C62" s="25">
        <f ca="1">IF(项目基本情况!B11="自然人","——",ROUND(F62*F63/10000,2))</f>
        <v>3.61</v>
      </c>
      <c r="D62" s="1165" t="s">
        <v>1426</v>
      </c>
      <c r="E62" s="1150" t="s">
        <v>1427</v>
      </c>
      <c r="F62" s="371">
        <f t="shared" si="0"/>
        <v>30</v>
      </c>
      <c r="I62" s="1906" t="s">
        <v>1554</v>
      </c>
      <c r="J62" s="1907" t="s">
        <v>1555</v>
      </c>
      <c r="K62" s="1907" t="s">
        <v>1556</v>
      </c>
      <c r="L62" s="1907" t="s">
        <v>1557</v>
      </c>
      <c r="M62" s="1908" t="s">
        <v>1558</v>
      </c>
      <c r="O62" s="1862" t="s">
        <v>1043</v>
      </c>
      <c r="P62" s="1863" t="s">
        <v>1533</v>
      </c>
      <c r="Q62" s="1864">
        <f ca="1">Q56+Q57</f>
        <v>45688</v>
      </c>
      <c r="R62" s="1864" t="s">
        <v>1044</v>
      </c>
    </row>
    <row r="63" spans="1:18" s="1820" customFormat="1" ht="13.8" thickBot="1">
      <c r="A63" s="372"/>
      <c r="B63" s="1156"/>
      <c r="C63" s="29"/>
      <c r="D63" s="1166"/>
      <c r="E63" s="1150" t="s">
        <v>1431</v>
      </c>
      <c r="F63" s="348">
        <f t="shared" ca="1" si="0"/>
        <v>1203.57</v>
      </c>
      <c r="I63" s="1906" t="s">
        <v>1560</v>
      </c>
      <c r="J63" s="1907">
        <v>70</v>
      </c>
      <c r="K63" s="1907">
        <v>50</v>
      </c>
      <c r="L63" s="1907">
        <v>80</v>
      </c>
      <c r="M63" s="1909">
        <v>0.02</v>
      </c>
      <c r="O63" s="1847" t="s">
        <v>1561</v>
      </c>
      <c r="P63" s="1817"/>
      <c r="Q63" s="1817"/>
      <c r="R63" s="1817"/>
    </row>
    <row r="64" spans="1:18" s="1820" customFormat="1" ht="13.8" thickBot="1">
      <c r="A64" s="1182" t="s">
        <v>1484</v>
      </c>
      <c r="B64" s="1150" t="s">
        <v>1433</v>
      </c>
      <c r="C64" s="24">
        <f ca="1">ROUND(C57*F64,1)</f>
        <v>113.4</v>
      </c>
      <c r="D64" s="1164" t="s">
        <v>1466</v>
      </c>
      <c r="E64" s="1150" t="s">
        <v>1406</v>
      </c>
      <c r="F64" s="374">
        <f t="shared" ca="1" si="0"/>
        <v>1.4999999999999999E-2</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f ca="1">ROUND(C56*F65,1)</f>
        <v>10.8</v>
      </c>
      <c r="D65" s="1164" t="s">
        <v>1438</v>
      </c>
      <c r="E65" s="1150" t="s">
        <v>1406</v>
      </c>
      <c r="F65" s="376">
        <f t="shared" ca="1" si="0"/>
        <v>1.5E-3</v>
      </c>
      <c r="I65" s="1906" t="s">
        <v>1563</v>
      </c>
      <c r="J65" s="1907">
        <v>40</v>
      </c>
      <c r="K65" s="1907">
        <v>30</v>
      </c>
      <c r="L65" s="1907">
        <v>50</v>
      </c>
      <c r="M65" s="1909">
        <v>0.02</v>
      </c>
      <c r="O65" s="1862" t="s">
        <v>1037</v>
      </c>
      <c r="P65" s="1863" t="s">
        <v>1512</v>
      </c>
      <c r="Q65" s="1864">
        <f ca="1">C40+J29</f>
        <v>45688</v>
      </c>
      <c r="R65" s="1864" t="s">
        <v>1513</v>
      </c>
    </row>
    <row r="66" spans="1:18" s="1820" customFormat="1" ht="16.2" thickBot="1">
      <c r="A66" s="1182" t="s">
        <v>1488</v>
      </c>
      <c r="B66" s="1150" t="s">
        <v>1423</v>
      </c>
      <c r="C66" s="24">
        <f ca="1">ROUND(C48*F66,1)</f>
        <v>0</v>
      </c>
      <c r="D66" s="1164" t="s">
        <v>1443</v>
      </c>
      <c r="E66" s="1150" t="s">
        <v>1406</v>
      </c>
      <c r="F66" s="357">
        <f t="shared" ca="1" si="0"/>
        <v>0.01</v>
      </c>
      <c r="O66" s="1862" t="s">
        <v>1038</v>
      </c>
      <c r="P66" s="1863" t="s">
        <v>1542</v>
      </c>
      <c r="Q66" s="1864">
        <f ca="1">L60</f>
        <v>0</v>
      </c>
      <c r="R66" s="1864" t="s">
        <v>1565</v>
      </c>
    </row>
    <row r="67" spans="1:18" s="1820" customFormat="1" ht="24.6" thickBot="1">
      <c r="A67" s="1157" t="s">
        <v>1028</v>
      </c>
      <c r="B67" s="1167" t="s">
        <v>1447</v>
      </c>
      <c r="C67" s="361">
        <f ca="1">C48-C58</f>
        <v>-763</v>
      </c>
      <c r="D67" s="1163" t="s">
        <v>1448</v>
      </c>
      <c r="E67" s="1168"/>
      <c r="F67" s="1169"/>
      <c r="O67" s="1872" t="s">
        <v>1039</v>
      </c>
      <c r="P67" s="1863" t="s">
        <v>1546</v>
      </c>
      <c r="Q67" s="1910">
        <f ca="1">L51</f>
        <v>24395</v>
      </c>
      <c r="R67" s="1864" t="s">
        <v>1566</v>
      </c>
    </row>
    <row r="68" spans="1:18" s="1820" customFormat="1" ht="16.2" thickBot="1">
      <c r="A68" s="1147" t="s">
        <v>1029</v>
      </c>
      <c r="B68" s="1148" t="s">
        <v>1469</v>
      </c>
      <c r="C68" s="346">
        <f ca="1">ROUND(C67*(1-((1+F70)/(1+F68))^F69)/(F68-F70),0)</f>
        <v>-10252</v>
      </c>
      <c r="D68" s="1165" t="s">
        <v>1453</v>
      </c>
      <c r="E68" s="1150" t="s">
        <v>1454</v>
      </c>
      <c r="F68" s="357">
        <f ca="1">F40</f>
        <v>0.06</v>
      </c>
      <c r="O68" s="1872" t="s">
        <v>1040</v>
      </c>
      <c r="P68" s="1911" t="s">
        <v>1567</v>
      </c>
      <c r="Q68" s="1864">
        <f ca="1">ROUND(Q69-Q70*Q71,0)</f>
        <v>1723</v>
      </c>
      <c r="R68" s="1864" t="s">
        <v>1048</v>
      </c>
    </row>
    <row r="69" spans="1:18" s="1820" customFormat="1" ht="13.8" thickBot="1">
      <c r="A69" s="1151"/>
      <c r="B69" s="1152"/>
      <c r="C69" s="351"/>
      <c r="D69" s="1170" t="s">
        <v>1457</v>
      </c>
      <c r="E69" s="1150" t="s">
        <v>1458</v>
      </c>
      <c r="F69" s="379">
        <f ca="1">F41</f>
        <v>28.16</v>
      </c>
      <c r="O69" s="1872" t="s">
        <v>1045</v>
      </c>
      <c r="P69" s="1911" t="s">
        <v>1568</v>
      </c>
      <c r="Q69" s="1864">
        <f ca="1">C39</f>
        <v>2334</v>
      </c>
      <c r="R69" s="1864" t="s">
        <v>1513</v>
      </c>
    </row>
    <row r="70" spans="1:18" s="1820" customFormat="1" ht="13.8" thickBot="1">
      <c r="A70" s="1154"/>
      <c r="B70" s="1155"/>
      <c r="C70" s="355"/>
      <c r="D70" s="1166"/>
      <c r="E70" s="1150" t="s">
        <v>1461</v>
      </c>
      <c r="F70" s="1256"/>
      <c r="O70" s="1872" t="s">
        <v>1046</v>
      </c>
      <c r="P70" s="1911" t="s">
        <v>1569</v>
      </c>
      <c r="Q70" s="1864">
        <f ca="1">C13</f>
        <v>7185</v>
      </c>
      <c r="R70" s="1864" t="s">
        <v>1513</v>
      </c>
    </row>
    <row r="71" spans="1:18" s="1820" customFormat="1" ht="13.8" thickBot="1">
      <c r="A71" s="1171" t="s">
        <v>1030</v>
      </c>
      <c r="B71" s="1172" t="s">
        <v>1471</v>
      </c>
      <c r="C71" s="382">
        <f ca="1">ROUND(C68*10000/F71,0)</f>
        <v>-10300</v>
      </c>
      <c r="D71" s="1173" t="s">
        <v>1472</v>
      </c>
      <c r="E71" s="1174" t="s">
        <v>1473</v>
      </c>
      <c r="F71" s="385">
        <f ca="1">F43</f>
        <v>9953.84</v>
      </c>
      <c r="O71" s="1872" t="s">
        <v>1047</v>
      </c>
      <c r="P71" s="1911" t="s">
        <v>1570</v>
      </c>
      <c r="Q71" s="1875">
        <f ca="1">C76</f>
        <v>8.5000000000000006E-2</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#DIV/0!</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#DIV/0!</v>
      </c>
      <c r="R74" s="1864" t="s">
        <v>1553</v>
      </c>
    </row>
    <row r="75" spans="1:18" ht="13.8" thickBot="1">
      <c r="A75" s="1820"/>
      <c r="B75" s="386" t="s">
        <v>1490</v>
      </c>
      <c r="C75" s="387">
        <f ca="1">ROUND(C13*C76,0)</f>
        <v>611</v>
      </c>
      <c r="D75" s="1820"/>
      <c r="E75" s="1820"/>
      <c r="F75" s="1820"/>
      <c r="K75" s="1846"/>
      <c r="L75" s="1820"/>
      <c r="O75" s="1862" t="s">
        <v>1043</v>
      </c>
      <c r="P75" s="1863" t="s">
        <v>1533</v>
      </c>
      <c r="Q75" s="1864">
        <f ca="1">Q65+Q66</f>
        <v>45688</v>
      </c>
      <c r="R75" s="1864" t="s">
        <v>1044</v>
      </c>
    </row>
    <row r="76" spans="1:18">
      <c r="B76" s="388" t="s">
        <v>1491</v>
      </c>
      <c r="C76" s="389">
        <f ca="1">INDIRECT("'数据-取费表'!j"&amp;$G$1)</f>
        <v>8.5000000000000006E-2</v>
      </c>
      <c r="I76" s="1820"/>
      <c r="J76" s="1820"/>
      <c r="K76" s="1846"/>
      <c r="L76" s="1820"/>
    </row>
    <row r="77" spans="1:18">
      <c r="B77" s="390" t="s">
        <v>1492</v>
      </c>
      <c r="C77" s="391"/>
      <c r="I77" s="1820"/>
      <c r="J77" s="1820"/>
      <c r="K77" s="1846"/>
      <c r="L77" s="1820"/>
    </row>
    <row r="78" spans="1:18">
      <c r="B78" s="314" t="s">
        <v>1493</v>
      </c>
      <c r="C78" s="392"/>
    </row>
    <row r="79" spans="1:18">
      <c r="B79" s="386" t="s">
        <v>1494</v>
      </c>
      <c r="C79" s="318">
        <f ca="1">1-C80</f>
        <v>0.73799999999999999</v>
      </c>
    </row>
    <row r="80" spans="1:18">
      <c r="B80" s="386" t="s">
        <v>1495</v>
      </c>
      <c r="C80" s="318">
        <f ca="1">ROUND(C75/C39,3)</f>
        <v>0.26200000000000001</v>
      </c>
    </row>
    <row r="81" spans="2:3">
      <c r="B81" s="314" t="s">
        <v>1496</v>
      </c>
      <c r="C81" s="282"/>
    </row>
    <row r="82" spans="2:3">
      <c r="B82" s="317" t="s">
        <v>1497</v>
      </c>
      <c r="C82" s="319">
        <f ca="1">1-C83</f>
        <v>0.84299999999999997</v>
      </c>
    </row>
    <row r="83" spans="2:3">
      <c r="B83" s="317" t="s">
        <v>1498</v>
      </c>
      <c r="C83" s="318">
        <f ca="1">ROUND(C13/C40,3)</f>
        <v>0.157</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22" zoomScale="85" zoomScaleNormal="85" zoomScaleSheetLayoutView="90" workbookViewId="0">
      <selection activeCell="C19" sqref="C19"/>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3383</v>
      </c>
      <c r="D1" s="1798" t="s">
        <v>70</v>
      </c>
      <c r="E1" s="1799" t="s">
        <v>1371</v>
      </c>
      <c r="F1" s="1264" t="e">
        <f ca="1">J53</f>
        <v>#N/A</v>
      </c>
      <c r="G1" s="1814"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t="e">
        <f ca="1">C40+J29+L46</f>
        <v>#N/A</v>
      </c>
      <c r="C2" s="1823" t="s">
        <v>1500</v>
      </c>
      <c r="D2" s="1823"/>
      <c r="E2" s="1824"/>
      <c r="F2" s="1825"/>
      <c r="G2" s="1826"/>
      <c r="H2" s="1818"/>
      <c r="I2" s="1818"/>
      <c r="J2" s="1818"/>
      <c r="K2" s="1819"/>
      <c r="L2" s="1818"/>
      <c r="M2" s="1818"/>
    </row>
    <row r="3" spans="1:37" ht="18" customHeight="1" thickBot="1">
      <c r="A3" s="1827" t="s">
        <v>1501</v>
      </c>
      <c r="B3" s="1828">
        <f ca="1">IF(ISERROR(B2*10000/F43),0,ROUND(B2*10000/F43,0))</f>
        <v>0</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t="e">
        <f ca="1">C6+C10+C12</f>
        <v>#N/A</v>
      </c>
      <c r="D5" s="1800" t="s">
        <v>1386</v>
      </c>
      <c r="E5" s="1274"/>
      <c r="F5" s="1275"/>
      <c r="G5" s="1829"/>
      <c r="H5" s="344">
        <v>1</v>
      </c>
      <c r="I5" s="345" t="s">
        <v>1385</v>
      </c>
      <c r="J5" s="1273" t="e">
        <f ca="1">J6+J10+J12</f>
        <v>#N/A</v>
      </c>
      <c r="K5" s="1800" t="s">
        <v>1386</v>
      </c>
      <c r="L5" s="1274"/>
      <c r="M5" s="1275"/>
    </row>
    <row r="6" spans="1:37" ht="18" customHeight="1">
      <c r="A6" s="1272" t="s">
        <v>1032</v>
      </c>
      <c r="B6" s="3693" t="s">
        <v>1387</v>
      </c>
      <c r="C6" s="1277" t="e">
        <f ca="1">ROUND(F6*F8*F7*(1-F9)/10000,0)</f>
        <v>#N/A</v>
      </c>
      <c r="D6" s="164" t="s">
        <v>2999</v>
      </c>
      <c r="E6" s="347" t="s">
        <v>1389</v>
      </c>
      <c r="F6" s="348" t="e">
        <f ca="1">INDIRECT("'数据-取费表'!u"&amp;$G$1)</f>
        <v>#N/A</v>
      </c>
      <c r="G6" s="1829"/>
      <c r="H6" s="1272" t="s">
        <v>1032</v>
      </c>
      <c r="I6" s="3693" t="s">
        <v>1387</v>
      </c>
      <c r="J6" s="346" t="e">
        <f ca="1">ROUND(M6*M8*M7*(1-M9)/10000,0)</f>
        <v>#N/A</v>
      </c>
      <c r="K6" s="164" t="s">
        <v>2998</v>
      </c>
      <c r="L6" s="347" t="s">
        <v>1389</v>
      </c>
      <c r="M6" s="348" t="e">
        <f ca="1">INDIRECT("'数据-取费表'!z"&amp;$G$1)</f>
        <v>#N/A</v>
      </c>
    </row>
    <row r="7" spans="1:37" ht="18" customHeight="1">
      <c r="A7" s="1276"/>
      <c r="B7" s="3694"/>
      <c r="C7" s="1278"/>
      <c r="D7" s="352"/>
      <c r="E7" s="3388" t="s">
        <v>1390</v>
      </c>
      <c r="F7" s="348" t="e">
        <f ca="1">IF(INDIRECT("'数据-取费表'!ah"&amp;$G$1)="",INDIRECT("'数据-取费表'!k"&amp;$G$1),INDIRECT("'数据-取费表'!ah"&amp;$G$1))</f>
        <v>#N/A</v>
      </c>
      <c r="G7" s="1829"/>
      <c r="H7" s="349"/>
      <c r="I7" s="3694"/>
      <c r="J7" s="351"/>
      <c r="K7" s="352"/>
      <c r="L7" s="347" t="s">
        <v>1390</v>
      </c>
      <c r="M7" s="348" t="e">
        <f ca="1">F7</f>
        <v>#N/A</v>
      </c>
    </row>
    <row r="8" spans="1:37" ht="18" customHeight="1">
      <c r="A8" s="349"/>
      <c r="B8" s="3694"/>
      <c r="C8" s="351"/>
      <c r="D8" s="352"/>
      <c r="E8" s="347" t="s">
        <v>1391</v>
      </c>
      <c r="F8" s="348" t="e">
        <f ca="1">INDIRECT("'数据-取费表'!ai"&amp;$G$1)</f>
        <v>#N/A</v>
      </c>
      <c r="G8" s="1829"/>
      <c r="H8" s="349"/>
      <c r="I8" s="3694"/>
      <c r="J8" s="351"/>
      <c r="K8" s="352"/>
      <c r="L8" s="347" t="s">
        <v>1391</v>
      </c>
      <c r="M8" s="348" t="e">
        <f ca="1">INDIRECT("'数据-取费表'!ai"&amp;$G$1)</f>
        <v>#N/A</v>
      </c>
    </row>
    <row r="9" spans="1:37" ht="18" customHeight="1">
      <c r="A9" s="349"/>
      <c r="B9" s="3695"/>
      <c r="C9" s="351"/>
      <c r="D9" s="352"/>
      <c r="E9" s="347" t="s">
        <v>1392</v>
      </c>
      <c r="F9" s="357" t="e">
        <f ca="1">INDIRECT("'数据-取费表'!w"&amp;$G$1)</f>
        <v>#N/A</v>
      </c>
      <c r="G9" s="1829"/>
      <c r="H9" s="349"/>
      <c r="I9" s="3695"/>
      <c r="J9" s="351"/>
      <c r="K9" s="352"/>
      <c r="L9" s="358" t="s">
        <v>1392</v>
      </c>
      <c r="M9" s="359" t="e">
        <f ca="1">INDIRECT("'数据-取费表'!ab"&amp;$G$1)</f>
        <v>#N/A</v>
      </c>
    </row>
    <row r="10" spans="1:37" ht="18" customHeight="1">
      <c r="A10" s="1272" t="s">
        <v>1036</v>
      </c>
      <c r="B10" s="1801" t="s">
        <v>1393</v>
      </c>
      <c r="C10" s="361" t="e">
        <f ca="1">ROUND(IF(F10="押一",C6/12*F11,IF(F10="押二",C6/12*2*F11,IF(F10="押三",C6/12*3*F11,C11*F11))),0)</f>
        <v>#N/A</v>
      </c>
      <c r="D10" s="1802" t="s">
        <v>3007</v>
      </c>
      <c r="E10" s="358" t="s">
        <v>1394</v>
      </c>
      <c r="F10" s="1347" t="s">
        <v>3039</v>
      </c>
      <c r="G10" s="1829"/>
      <c r="H10" s="1272" t="s">
        <v>1036</v>
      </c>
      <c r="I10" s="1801" t="s">
        <v>1393</v>
      </c>
      <c r="J10" s="346" t="e">
        <f ca="1">ROUND(IF(M10="押一",J6/12*M11,IF(M10="押二",J6/12*2*M11,IF(M10="押三",J6/12*3*M11,J11*M11))),0)</f>
        <v>#N/A</v>
      </c>
      <c r="K10" s="1802" t="s">
        <v>3007</v>
      </c>
      <c r="L10" s="358" t="s">
        <v>1394</v>
      </c>
      <c r="M10" s="1347" t="s">
        <v>3039</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t="e">
        <f ca="1">ROUND(C29*F13,0)</f>
        <v>#N/A</v>
      </c>
      <c r="D13" s="1312" t="s">
        <v>1399</v>
      </c>
      <c r="E13" s="1312" t="s">
        <v>1400</v>
      </c>
      <c r="F13" s="1313" t="e">
        <f ca="1">INDIRECT("'数据-取费表'!y"&amp;$G$1)</f>
        <v>#N/A</v>
      </c>
      <c r="G13" s="1829"/>
      <c r="H13" s="1310">
        <v>2</v>
      </c>
      <c r="I13" s="1311" t="s">
        <v>1398</v>
      </c>
      <c r="J13" s="1271" t="e">
        <f ca="1">ROUND(J14*J15,0)</f>
        <v>#N/A</v>
      </c>
      <c r="K13" s="1318" t="s">
        <v>1399</v>
      </c>
      <c r="L13" s="1830"/>
      <c r="M13" s="1831"/>
    </row>
    <row r="14" spans="1:37" ht="18" customHeight="1">
      <c r="A14" s="1182" t="s">
        <v>1031</v>
      </c>
      <c r="B14" s="347" t="s">
        <v>1401</v>
      </c>
      <c r="C14" s="363" t="e">
        <f ca="1">INDIRECT("'数据-取费表'!m"&amp;$G$1)+INDIRECT("'数据-取费表'!t"&amp;$G$1)</f>
        <v>#N/A</v>
      </c>
      <c r="D14" s="3381" t="s">
        <v>1402</v>
      </c>
      <c r="E14" s="3379"/>
      <c r="F14" s="364"/>
      <c r="G14" s="1829"/>
      <c r="H14" s="1182" t="s">
        <v>1032</v>
      </c>
      <c r="I14" s="347" t="s">
        <v>1403</v>
      </c>
      <c r="J14" s="24" t="e">
        <f ca="1">C29</f>
        <v>#N/A</v>
      </c>
      <c r="K14" s="3387"/>
      <c r="L14" s="968"/>
      <c r="M14" s="969"/>
    </row>
    <row r="15" spans="1:37" s="1836" customFormat="1" ht="18" customHeight="1" thickBot="1">
      <c r="A15" s="1182" t="s">
        <v>1033</v>
      </c>
      <c r="B15" s="347" t="s">
        <v>1404</v>
      </c>
      <c r="C15" s="24" t="e">
        <f ca="1">ROUND(C14*F15,0)</f>
        <v>#N/A</v>
      </c>
      <c r="D15" s="365" t="s">
        <v>1405</v>
      </c>
      <c r="E15" s="365" t="s">
        <v>1406</v>
      </c>
      <c r="F15" s="366">
        <f>'数据-取费表'!B33</f>
        <v>0.05</v>
      </c>
      <c r="G15" s="1832"/>
      <c r="H15" s="1320" t="s">
        <v>1036</v>
      </c>
      <c r="I15" s="1321" t="s">
        <v>1400</v>
      </c>
      <c r="J15" s="1330" t="e">
        <f ca="1">INDIRECT("'数据-取费表'!ad"&amp;$G$1)</f>
        <v>#N/A</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t="e">
        <f ca="1">ROUND(INDIRECT("'数据-取费表'!m"&amp;$G$1)*F16,0)</f>
        <v>#N/A</v>
      </c>
      <c r="D16" s="347" t="s">
        <v>1405</v>
      </c>
      <c r="E16" s="347" t="s">
        <v>1406</v>
      </c>
      <c r="F16" s="367" t="e">
        <f ca="1">IF(INDIRECT("'数据-取费表'!c"&amp;$G$1)="住宅",'数据-取费表'!B34,0)</f>
        <v>#N/A</v>
      </c>
      <c r="G16" s="1829"/>
      <c r="H16" s="1310" t="s">
        <v>1027</v>
      </c>
      <c r="I16" s="1311" t="s">
        <v>1408</v>
      </c>
      <c r="J16" s="355" t="e">
        <f ca="1">ROUND(J17+J22+J23+J24,0)</f>
        <v>#N/A</v>
      </c>
      <c r="K16" s="1318" t="s">
        <v>1409</v>
      </c>
      <c r="L16" s="3383"/>
      <c r="M16" s="1275"/>
    </row>
    <row r="17" spans="1:37" s="1836" customFormat="1" ht="18" customHeight="1">
      <c r="A17" s="1182" t="s">
        <v>1374</v>
      </c>
      <c r="B17" s="347" t="s">
        <v>1410</v>
      </c>
      <c r="C17" s="24" t="e">
        <f ca="1">ROUND(F17*(F43+INDIRECT("'数据-取费表'!S"&amp;$G$1))/10000,0)</f>
        <v>#N/A</v>
      </c>
      <c r="D17" s="347" t="s">
        <v>1411</v>
      </c>
      <c r="E17" s="347" t="s">
        <v>1412</v>
      </c>
      <c r="F17" s="26">
        <f>'数据-取费表'!B35</f>
        <v>200</v>
      </c>
      <c r="G17" s="1832"/>
      <c r="H17" s="1182" t="s">
        <v>1032</v>
      </c>
      <c r="I17" s="347" t="s">
        <v>1413</v>
      </c>
      <c r="J17" s="24" t="e">
        <f ca="1">ROUND(IF(项目基本情况!B11="自然人",J6*M17/(1+'数据-取费表'!C42),J18+J19+J20),1)</f>
        <v>#N/A</v>
      </c>
      <c r="K17" s="3381" t="s">
        <v>1414</v>
      </c>
      <c r="L17" s="3380"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t="e">
        <f ca="1">ROUND(C14*F18,0)</f>
        <v>#N/A</v>
      </c>
      <c r="D18" s="347" t="s">
        <v>1405</v>
      </c>
      <c r="E18" s="347" t="s">
        <v>1406</v>
      </c>
      <c r="F18" s="367">
        <f>'数据-取费表'!B36</f>
        <v>1.4999999999999999E-2</v>
      </c>
      <c r="G18" s="1832"/>
      <c r="H18" s="1182" t="s">
        <v>1031</v>
      </c>
      <c r="I18" s="347" t="s">
        <v>1417</v>
      </c>
      <c r="J18" s="24" t="e">
        <f ca="1">ROUND(J6*M18/(1+'数据-取费表'!C42),2)</f>
        <v>#N/A</v>
      </c>
      <c r="K18" s="3380"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t="e">
        <f ca="1">SUM(C14:C18)</f>
        <v>#N/A</v>
      </c>
      <c r="D19" s="140" t="s">
        <v>1420</v>
      </c>
      <c r="E19" s="3386"/>
      <c r="F19" s="26"/>
      <c r="G19" s="1829"/>
      <c r="H19" s="1182" t="s">
        <v>1033</v>
      </c>
      <c r="I19" s="347" t="s">
        <v>1421</v>
      </c>
      <c r="J19" s="24" t="e">
        <f ca="1">IF(K19="按租金收入计税",ROUND(J6*M19/(1+'数据-取费表'!C42),2),ROUND(C29*M19*0.7,2))</f>
        <v>#N/A</v>
      </c>
      <c r="K19" s="1806" t="s">
        <v>3050</v>
      </c>
      <c r="L19" s="347" t="s">
        <v>1406</v>
      </c>
      <c r="M19" s="367">
        <f>IF(K19="按租金收入计税",'数据-取费表'!B51,'数据-取费表'!B50)</f>
        <v>0.12</v>
      </c>
    </row>
    <row r="20" spans="1:37" s="1836" customFormat="1" ht="18" customHeight="1">
      <c r="A20" s="1182" t="s">
        <v>1036</v>
      </c>
      <c r="B20" s="347" t="s">
        <v>1423</v>
      </c>
      <c r="C20" s="24" t="e">
        <f ca="1">ROUND(C19*F20,0)</f>
        <v>#N/A</v>
      </c>
      <c r="D20" s="369" t="s">
        <v>1424</v>
      </c>
      <c r="E20" s="347" t="s">
        <v>1406</v>
      </c>
      <c r="F20" s="367">
        <f>'数据-取费表'!B37</f>
        <v>0.02</v>
      </c>
      <c r="G20" s="1832"/>
      <c r="H20" s="1182" t="s">
        <v>1373</v>
      </c>
      <c r="I20" s="164" t="s">
        <v>1425</v>
      </c>
      <c r="J20" s="25" t="e">
        <f ca="1">ROUND(M20*M21/10000,2)</f>
        <v>#N/A</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18</v>
      </c>
      <c r="D21" s="369" t="s">
        <v>1429</v>
      </c>
      <c r="E21" s="347" t="s">
        <v>1430</v>
      </c>
      <c r="F21" s="367">
        <f>'数据-取费表'!B38</f>
        <v>0.02</v>
      </c>
      <c r="G21" s="1832"/>
      <c r="H21" s="372"/>
      <c r="I21" s="356"/>
      <c r="J21" s="29"/>
      <c r="K21" s="373"/>
      <c r="L21" s="347" t="s">
        <v>1431</v>
      </c>
      <c r="M21" s="348" t="e">
        <f ca="1">INDIRECT("'数据-取费表'!r"&amp;$G$1)</f>
        <v>#N/A</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3386"/>
      <c r="F22" s="26"/>
      <c r="G22" s="1829"/>
      <c r="H22" s="1182" t="s">
        <v>1036</v>
      </c>
      <c r="I22" s="347" t="s">
        <v>1433</v>
      </c>
      <c r="J22" s="24" t="e">
        <f ca="1">ROUND(J14*M22,1)</f>
        <v>#N/A</v>
      </c>
      <c r="K22" s="3380" t="s">
        <v>1434</v>
      </c>
      <c r="L22" s="347" t="s">
        <v>1406</v>
      </c>
      <c r="M22" s="374" t="e">
        <f ca="1">INDIRECT("'数据-取费表'!Ak"&amp;$G$1)</f>
        <v>#N/A</v>
      </c>
    </row>
    <row r="23" spans="1:37" s="1836" customFormat="1" ht="18" customHeight="1">
      <c r="A23" s="1182" t="s">
        <v>1031</v>
      </c>
      <c r="B23" s="347" t="s">
        <v>1435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t="e">
        <f ca="1">ROUND(J13*M23,1)</f>
        <v>#N/A</v>
      </c>
      <c r="K23" s="3380" t="s">
        <v>1438</v>
      </c>
      <c r="L23" s="347" t="s">
        <v>1406</v>
      </c>
      <c r="M23" s="376" t="e">
        <f ca="1">INDIRECT("'数据-取费表'!Al"&amp;$G$1)</f>
        <v>#N/A</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1033</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1376</v>
      </c>
      <c r="I24" s="1321" t="s">
        <v>1423</v>
      </c>
      <c r="J24" s="1322" t="e">
        <f ca="1">ROUND(J5*M24,1)</f>
        <v>#N/A</v>
      </c>
      <c r="K24" s="1323" t="s">
        <v>1443</v>
      </c>
      <c r="L24" s="1321" t="s">
        <v>1406</v>
      </c>
      <c r="M24" s="1317" t="e">
        <f ca="1">INDIRECT("'数据-取费表'!Am"&amp;$G$1)</f>
        <v>#N/A</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3386"/>
      <c r="F25" s="26"/>
      <c r="G25" s="1829"/>
      <c r="H25" s="1310" t="s">
        <v>1028</v>
      </c>
      <c r="I25" s="1325" t="s">
        <v>1447</v>
      </c>
      <c r="J25" s="355" t="e">
        <f ca="1">J5-J16</f>
        <v>#N/A</v>
      </c>
      <c r="K25" s="1326" t="s">
        <v>1448</v>
      </c>
      <c r="L25" s="1327"/>
      <c r="M25" s="1328"/>
    </row>
    <row r="26" spans="1:37">
      <c r="A26" s="1182" t="s">
        <v>1031</v>
      </c>
      <c r="B26" s="347" t="s">
        <v>1449</v>
      </c>
      <c r="C26" s="24" t="e">
        <f ca="1">ROUND((C19+C20)*F26,0)</f>
        <v>#N/A</v>
      </c>
      <c r="D26" s="369" t="s">
        <v>1450</v>
      </c>
      <c r="E26" s="358" t="s">
        <v>1451</v>
      </c>
      <c r="F26" s="357" t="e">
        <f ca="1">INDIRECT("'数据-取费表'!q"&amp;$G$1)</f>
        <v>#N/A</v>
      </c>
      <c r="G26" s="1829"/>
      <c r="H26" s="344" t="s">
        <v>1029</v>
      </c>
      <c r="I26" s="345" t="s">
        <v>1452</v>
      </c>
      <c r="J26" s="346" t="e">
        <f ca="1">IF(J5&lt;&gt;0,ROUND(J25*(1-((1+M28)/(1+M26))^M27)/(M26-M28),0),0)</f>
        <v>#N/A</v>
      </c>
      <c r="K26" s="370" t="s">
        <v>1453</v>
      </c>
      <c r="L26" s="347" t="s">
        <v>1454</v>
      </c>
      <c r="M26" s="357" t="e">
        <f ca="1">INDIRECT("'数据-取费表'!I"&amp;$G$1)</f>
        <v>#N/A</v>
      </c>
    </row>
    <row r="27" spans="1:37" ht="18" customHeight="1">
      <c r="A27" s="1182" t="s">
        <v>1033</v>
      </c>
      <c r="B27" s="347" t="s">
        <v>1455</v>
      </c>
      <c r="C27" s="24" t="e">
        <f ca="1">ROUND(F21*F26,4)</f>
        <v>#N/A</v>
      </c>
      <c r="D27" s="369" t="s">
        <v>1456</v>
      </c>
      <c r="E27" s="365"/>
      <c r="F27" s="366"/>
      <c r="G27" s="1829"/>
      <c r="H27" s="349"/>
      <c r="I27" s="350"/>
      <c r="J27" s="351"/>
      <c r="K27" s="378" t="s">
        <v>1457</v>
      </c>
      <c r="L27" s="347" t="s">
        <v>1458</v>
      </c>
      <c r="M27" s="379" t="e">
        <f ca="1">INDIRECT("'数据-取费表'!ag"&amp;$G$1)</f>
        <v>#N/A</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t="e">
        <f ca="1">INDIRECT("'数据-取费表'!aa"&amp;$G$1)</f>
        <v>#N/A</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t="e">
        <f ca="1">ROUND((C19+C20+C23+C26)/(1-F21-C24-C27-C28),0)</f>
        <v>#N/A</v>
      </c>
      <c r="D29" s="1323"/>
      <c r="E29" s="1321"/>
      <c r="F29" s="1324"/>
      <c r="G29" s="1832"/>
      <c r="H29" s="380" t="s">
        <v>1030</v>
      </c>
      <c r="I29" s="381" t="s">
        <v>1463</v>
      </c>
      <c r="J29" s="382" t="e">
        <f ca="1">ROUND(J26/(1+F40)^F41,0)</f>
        <v>#N/A</v>
      </c>
      <c r="K29" s="383" t="s">
        <v>1464</v>
      </c>
      <c r="L29" s="384"/>
      <c r="M29" s="385" t="e">
        <f ca="1">INDIRECT("'数据-取费表'!k"&amp;$G$1)</f>
        <v>#N/A</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t="e">
        <f ca="1">ROUND(C31+C36+C37+C38,0)</f>
        <v>#N/A</v>
      </c>
      <c r="D30" s="1318" t="s">
        <v>1409</v>
      </c>
      <c r="E30" s="3383"/>
      <c r="F30" s="1275"/>
      <c r="G30" s="1829"/>
      <c r="H30" s="741"/>
      <c r="I30" s="742"/>
      <c r="J30" s="743"/>
      <c r="K30" s="744"/>
      <c r="L30" s="745"/>
      <c r="M30" s="746"/>
    </row>
    <row r="31" spans="1:37" ht="18" customHeight="1">
      <c r="A31" s="1182" t="s">
        <v>1032</v>
      </c>
      <c r="B31" s="347" t="s">
        <v>1413</v>
      </c>
      <c r="C31" s="24" t="e">
        <f ca="1">ROUND(IF(项目基本情况!B11="自然人",C6*F31/(1+'数据-取费表'!C42),C32+C33+C34),1)</f>
        <v>#N/A</v>
      </c>
      <c r="D31" s="3381" t="s">
        <v>1414</v>
      </c>
      <c r="E31" s="3380"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t="e">
        <f ca="1">IF(项目基本情况!B11="自然人","——",ROUND(C6*F32/(1+'数据-取费表'!C42),2))</f>
        <v>#N/A</v>
      </c>
      <c r="D32" s="3380" t="s">
        <v>1418</v>
      </c>
      <c r="E32" s="347" t="s">
        <v>1406</v>
      </c>
      <c r="F32" s="377">
        <f>'数据-取费表'!B41</f>
        <v>5.6000000000000001E-2</v>
      </c>
      <c r="G32" s="1829"/>
      <c r="H32" s="741"/>
      <c r="I32" s="742"/>
      <c r="J32" s="743"/>
      <c r="K32" s="744"/>
      <c r="L32" s="745"/>
      <c r="M32" s="746"/>
    </row>
    <row r="33" spans="1:18" ht="18" customHeight="1">
      <c r="A33" s="1182" t="s">
        <v>1033</v>
      </c>
      <c r="B33" s="347" t="s">
        <v>1421</v>
      </c>
      <c r="C33" s="24" t="e">
        <f ca="1">IF(项目基本情况!B11="自然人","——",IF(D33="按租金收入计税",ROUND(C6*F33/(1+'数据-取费表'!C42),2),IF(D33="按房产原值计税",ROUND(C29*F33*0.7,2),INDIRECT("'数据-取费表'!Aj"&amp;$G$1))))</f>
        <v>#N/A</v>
      </c>
      <c r="D33" s="1806" t="s">
        <v>3050</v>
      </c>
      <c r="E33" s="347" t="s">
        <v>1406</v>
      </c>
      <c r="F33" s="367">
        <f>IF(D33="按票据","——",IF(D33="按租金收入计税",'数据-取费表'!B51,'数据-取费表'!B50))</f>
        <v>0.12</v>
      </c>
      <c r="G33" s="1829"/>
      <c r="H33" s="1837"/>
      <c r="I33" s="1838"/>
      <c r="J33" s="1839"/>
      <c r="K33" s="1840"/>
      <c r="L33" s="1837"/>
      <c r="M33" s="1837"/>
    </row>
    <row r="34" spans="1:18" ht="18" customHeight="1">
      <c r="A34" s="1272" t="s">
        <v>1373</v>
      </c>
      <c r="B34" s="164" t="s">
        <v>1425</v>
      </c>
      <c r="C34" s="25" t="e">
        <f ca="1">IF(项目基本情况!B11="自然人","——",ROUND(F34*F35/10000,2))</f>
        <v>#N/A</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t="e">
        <f ca="1">INDIRECT("'数据-取费表'!r"&amp;$G$1)</f>
        <v>#N/A</v>
      </c>
      <c r="G35" s="1829"/>
      <c r="H35" s="741"/>
      <c r="I35" s="1838"/>
      <c r="J35" s="1839"/>
      <c r="K35" s="1840"/>
      <c r="L35" s="1837"/>
      <c r="M35" s="1837"/>
    </row>
    <row r="36" spans="1:18" ht="18" customHeight="1">
      <c r="A36" s="1333" t="s">
        <v>1036</v>
      </c>
      <c r="B36" s="347" t="s">
        <v>1433</v>
      </c>
      <c r="C36" s="24" t="e">
        <f ca="1">ROUND(C29*F36,1)</f>
        <v>#N/A</v>
      </c>
      <c r="D36" s="3380" t="s">
        <v>1466</v>
      </c>
      <c r="E36" s="347" t="s">
        <v>1406</v>
      </c>
      <c r="F36" s="374" t="e">
        <f ca="1">INDIRECT("'数据-取费表'!Ak"&amp;$G$1)</f>
        <v>#N/A</v>
      </c>
      <c r="G36" s="1829"/>
      <c r="H36" s="1837"/>
      <c r="I36" s="1838"/>
      <c r="J36" s="1839"/>
      <c r="K36" s="747"/>
      <c r="L36" s="1837"/>
      <c r="M36" s="1837"/>
    </row>
    <row r="37" spans="1:18" ht="18" customHeight="1">
      <c r="A37" s="1182" t="s">
        <v>1072</v>
      </c>
      <c r="B37" s="347" t="s">
        <v>1437</v>
      </c>
      <c r="C37" s="24" t="e">
        <f ca="1">ROUND(C13*F37,1)</f>
        <v>#N/A</v>
      </c>
      <c r="D37" s="3380" t="s">
        <v>1438</v>
      </c>
      <c r="E37" s="347" t="s">
        <v>1406</v>
      </c>
      <c r="F37" s="376" t="e">
        <f ca="1">INDIRECT("'数据-取费表'!Al"&amp;$G$1)</f>
        <v>#N/A</v>
      </c>
      <c r="G37" s="1829"/>
      <c r="H37" s="1837"/>
      <c r="I37" s="1838"/>
      <c r="J37" s="1839"/>
      <c r="K37" s="747"/>
      <c r="L37" s="1837"/>
      <c r="M37" s="1837"/>
    </row>
    <row r="38" spans="1:18" ht="18" customHeight="1" thickBot="1">
      <c r="A38" s="1320" t="s">
        <v>1376</v>
      </c>
      <c r="B38" s="1321" t="s">
        <v>1423</v>
      </c>
      <c r="C38" s="1322" t="e">
        <f ca="1">ROUND(C5*F38,1)</f>
        <v>#N/A</v>
      </c>
      <c r="D38" s="1323" t="s">
        <v>1443</v>
      </c>
      <c r="E38" s="1321" t="s">
        <v>1406</v>
      </c>
      <c r="F38" s="1317" t="e">
        <f ca="1">INDIRECT("'数据-取费表'!Am"&amp;$G$1)</f>
        <v>#N/A</v>
      </c>
      <c r="G38" s="1829"/>
      <c r="H38" s="1837"/>
      <c r="I38" s="1838"/>
      <c r="J38" s="1839"/>
      <c r="K38" s="1843"/>
      <c r="L38" s="1837"/>
      <c r="M38" s="1837"/>
    </row>
    <row r="39" spans="1:18" ht="24.6" customHeight="1" thickTop="1">
      <c r="A39" s="1310" t="s">
        <v>1028</v>
      </c>
      <c r="B39" s="1325" t="s">
        <v>1447</v>
      </c>
      <c r="C39" s="355" t="e">
        <f ca="1">C5-C30</f>
        <v>#N/A</v>
      </c>
      <c r="D39" s="1326" t="s">
        <v>1448</v>
      </c>
      <c r="E39" s="1327"/>
      <c r="F39" s="1328"/>
      <c r="G39" s="1829"/>
      <c r="H39" s="1837"/>
      <c r="I39" s="1838"/>
      <c r="J39" s="1839"/>
      <c r="K39" s="1843"/>
      <c r="L39" s="1837"/>
      <c r="M39" s="1837"/>
    </row>
    <row r="40" spans="1:18" ht="18" customHeight="1">
      <c r="A40" s="344" t="s">
        <v>1029</v>
      </c>
      <c r="B40" s="345" t="s">
        <v>1469</v>
      </c>
      <c r="C40" s="346" t="e">
        <f ca="1">ROUND(C39*(1-((1+F42)/(1+F40))^F41)/(F40-F42),0)</f>
        <v>#N/A</v>
      </c>
      <c r="D40" s="370" t="s">
        <v>1453</v>
      </c>
      <c r="E40" s="347" t="s">
        <v>1454</v>
      </c>
      <c r="F40" s="357" t="e">
        <f ca="1">INDIRECT("'数据-取费表'!I"&amp;$G$1)</f>
        <v>#N/A</v>
      </c>
      <c r="G40" s="1829"/>
      <c r="H40" s="1817"/>
      <c r="I40" s="1838"/>
      <c r="J40" s="1839"/>
      <c r="K40" s="1843"/>
      <c r="L40" s="1817"/>
      <c r="M40" s="1817"/>
    </row>
    <row r="41" spans="1:18" ht="18" customHeight="1">
      <c r="A41" s="349"/>
      <c r="B41" s="350"/>
      <c r="C41" s="351"/>
      <c r="D41" s="378" t="s">
        <v>1470</v>
      </c>
      <c r="E41" s="347" t="s">
        <v>1458</v>
      </c>
      <c r="F41" s="379" t="e">
        <f ca="1">IF(INDIRECT("'数据-取费表'!af"&amp;$G$1)=0,INDIRECT("'数据-取费表'!ae"&amp;$G$1),INDIRECT("'数据-取费表'!af"&amp;$G$1))</f>
        <v>#N/A</v>
      </c>
      <c r="G41" s="1829"/>
      <c r="H41" s="728"/>
      <c r="I41" s="1838"/>
      <c r="J41" s="1839"/>
      <c r="K41" s="747"/>
      <c r="L41" s="728"/>
      <c r="M41" s="728"/>
    </row>
    <row r="42" spans="1:18" ht="18" customHeight="1">
      <c r="A42" s="353"/>
      <c r="B42" s="354"/>
      <c r="C42" s="355"/>
      <c r="D42" s="373"/>
      <c r="E42" s="347" t="s">
        <v>1461</v>
      </c>
      <c r="F42" s="357" t="e">
        <f ca="1">INDIRECT("'数据-取费表'!v"&amp;$G$1)</f>
        <v>#N/A</v>
      </c>
      <c r="G42" s="1829"/>
      <c r="H42" s="728"/>
      <c r="I42" s="1838"/>
      <c r="J42" s="1839"/>
      <c r="K42" s="747"/>
      <c r="L42" s="728"/>
      <c r="M42" s="728"/>
    </row>
    <row r="43" spans="1:18" ht="18" customHeight="1" thickBot="1">
      <c r="A43" s="380" t="s">
        <v>1030</v>
      </c>
      <c r="B43" s="381" t="s">
        <v>1471</v>
      </c>
      <c r="C43" s="382" t="e">
        <f ca="1">ROUND(C40*10000/F43,0)</f>
        <v>#N/A</v>
      </c>
      <c r="D43" s="383" t="s">
        <v>1472</v>
      </c>
      <c r="E43" s="384" t="s">
        <v>1473</v>
      </c>
      <c r="F43" s="385" t="e">
        <f ca="1">INDIRECT("'数据-取费表'!k"&amp;$G$1)</f>
        <v>#N/A</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t="e">
        <f ca="1">C68-C40</f>
        <v>#N/A</v>
      </c>
      <c r="D46" s="1850" t="str">
        <f>C2</f>
        <v>万元</v>
      </c>
      <c r="E46" s="1844"/>
      <c r="F46" s="1844"/>
      <c r="I46" s="1851" t="s">
        <v>1505</v>
      </c>
      <c r="J46" s="1852"/>
      <c r="K46" s="1853"/>
      <c r="L46" s="1854" t="e">
        <f ca="1">IF(M47="住宅",0,IF(L48&gt;J51,L60,J60))</f>
        <v>#N/A</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t="e">
        <f ca="1">INDIRECT("'数据-取费表'!d"&amp;$G$1)</f>
        <v>#N/A</v>
      </c>
      <c r="M47" s="1816" t="str">
        <f>IF(ISNUMBER(FIND("住宅",C1)),"住宅","非住宅")</f>
        <v>非住宅</v>
      </c>
      <c r="O47" s="1862" t="s">
        <v>1037</v>
      </c>
      <c r="P47" s="1863" t="s">
        <v>1512</v>
      </c>
      <c r="Q47" s="1864" t="e">
        <f ca="1">C40+J29</f>
        <v>#N/A</v>
      </c>
      <c r="R47" s="1864" t="s">
        <v>1513</v>
      </c>
    </row>
    <row r="48" spans="1:18" s="1820" customFormat="1" ht="40.200000000000003" thickBot="1">
      <c r="A48" s="1341" t="s">
        <v>1125</v>
      </c>
      <c r="B48" s="345" t="s">
        <v>1385</v>
      </c>
      <c r="C48" s="3385" t="e">
        <f ca="1">C49+C53+C55</f>
        <v>#N/A</v>
      </c>
      <c r="D48" s="1343"/>
      <c r="E48" s="1344"/>
      <c r="F48" s="1162"/>
      <c r="G48" s="787"/>
      <c r="H48" s="788"/>
      <c r="I48" s="1865" t="s">
        <v>1514</v>
      </c>
      <c r="J48" s="1866" t="s">
        <v>3035</v>
      </c>
      <c r="K48" s="1867" t="s">
        <v>1515</v>
      </c>
      <c r="L48" s="1868" t="e">
        <f ca="1">INDIRECT("'数据-取费表'!f"&amp;$G$1)</f>
        <v>#N/A</v>
      </c>
      <c r="O48" s="1862" t="s">
        <v>1038</v>
      </c>
      <c r="P48" s="1863" t="s">
        <v>1516</v>
      </c>
      <c r="Q48" s="1864" t="e">
        <f ca="1">J60</f>
        <v>#N/A</v>
      </c>
      <c r="R48" s="1864" t="s">
        <v>1517</v>
      </c>
    </row>
    <row r="49" spans="1:18" s="1820" customFormat="1" ht="13.8" thickBot="1">
      <c r="A49" s="1175" t="s">
        <v>1126</v>
      </c>
      <c r="B49" s="1807" t="s">
        <v>1474</v>
      </c>
      <c r="C49" s="1345" t="e">
        <f ca="1">ROUND(F49*F51*F50*(1-F52)/10000,0)</f>
        <v>#N/A</v>
      </c>
      <c r="D49" s="1257" t="s">
        <v>2998</v>
      </c>
      <c r="E49" s="1808" t="s">
        <v>1475</v>
      </c>
      <c r="F49" s="1262"/>
      <c r="G49" s="1869"/>
      <c r="H49" s="788"/>
      <c r="I49" s="1865" t="s">
        <v>1518</v>
      </c>
      <c r="J49" s="1870">
        <v>1997</v>
      </c>
      <c r="K49" s="1867" t="s">
        <v>1519</v>
      </c>
      <c r="L49" s="1871"/>
      <c r="O49" s="1872" t="s">
        <v>1039</v>
      </c>
      <c r="P49" s="1863" t="s">
        <v>1520</v>
      </c>
      <c r="Q49" s="1864" t="e">
        <f ca="1">C29</f>
        <v>#N/A</v>
      </c>
      <c r="R49" s="1864" t="s">
        <v>1513</v>
      </c>
    </row>
    <row r="50" spans="1:18" s="1820" customFormat="1" ht="13.8" thickBot="1">
      <c r="A50" s="1176"/>
      <c r="B50" s="1179"/>
      <c r="C50" s="1349"/>
      <c r="D50" s="1153"/>
      <c r="E50" s="1258" t="s">
        <v>1390</v>
      </c>
      <c r="F50" s="1259" t="e">
        <f ca="1">F7</f>
        <v>#N/A</v>
      </c>
      <c r="H50" s="788"/>
      <c r="I50" s="1865" t="s">
        <v>1521</v>
      </c>
      <c r="J50" s="1873">
        <f>SUMPRODUCT((I63:I65=J47)*(J62:L62=J48)*(J63:L65))</f>
        <v>60</v>
      </c>
      <c r="K50" s="1867" t="s">
        <v>1522</v>
      </c>
      <c r="L50" s="1871"/>
      <c r="M50" s="1874"/>
      <c r="O50" s="1872" t="s">
        <v>1040</v>
      </c>
      <c r="P50" s="1863" t="s">
        <v>1523</v>
      </c>
      <c r="Q50" s="1875" t="e">
        <f ca="1">J58</f>
        <v>#N/A</v>
      </c>
      <c r="R50" s="1864"/>
    </row>
    <row r="51" spans="1:18" s="1820" customFormat="1" ht="13.8" thickBot="1">
      <c r="A51" s="1177"/>
      <c r="B51" s="1179"/>
      <c r="C51" s="1180"/>
      <c r="D51" s="1153"/>
      <c r="E51" s="1181" t="s">
        <v>1391</v>
      </c>
      <c r="F51" s="348" t="e">
        <f ca="1">F8</f>
        <v>#N/A</v>
      </c>
      <c r="I51" s="1876" t="s">
        <v>1524</v>
      </c>
      <c r="J51" s="1877">
        <f>IF(J49="",J50,J49+J50-YEAR('数据-取费表'!B2))</f>
        <v>37</v>
      </c>
      <c r="K51" s="1878" t="s">
        <v>1525</v>
      </c>
      <c r="L51" s="1879" t="e">
        <f ca="1">ROUND(-PV(INDIRECT("'数据-取费表'!h"&amp;$G$1),L48,(C39-C13*C76),0),0)</f>
        <v>#N/A</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t="e">
        <f ca="1">J53</f>
        <v>#N/A</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t="e">
        <f ca="1">IF(M47="住宅",IF(D1="——",MAX(J51,L48),MAX(J51,L48-'数据-取费表'!B24)),IF(D1="——",MIN(J51,L48),MIN(J51,L48-'数据-取费表'!B24)))</f>
        <v>#N/A</v>
      </c>
      <c r="K53" s="3696" t="s">
        <v>1532</v>
      </c>
      <c r="L53" s="3697"/>
      <c r="O53" s="1862" t="s">
        <v>1043</v>
      </c>
      <c r="P53" s="1863" t="s">
        <v>1533</v>
      </c>
      <c r="Q53" s="1864" t="e">
        <f ca="1">Q47+Q48</f>
        <v>#N/A</v>
      </c>
      <c r="R53" s="1864" t="s">
        <v>1044</v>
      </c>
    </row>
    <row r="54" spans="1:18" s="1820" customFormat="1" ht="24.6" thickBot="1">
      <c r="A54" s="1386"/>
      <c r="B54" s="1803" t="s">
        <v>1372</v>
      </c>
      <c r="C54" s="1159"/>
      <c r="D54" s="1802"/>
      <c r="E54" s="3384"/>
      <c r="F54" s="1884"/>
      <c r="I54" s="18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6"/>
      <c r="K54" s="1886"/>
      <c r="L54" s="1886"/>
      <c r="M54" s="1869"/>
      <c r="O54" s="1847" t="s">
        <v>1534</v>
      </c>
      <c r="P54" s="1817"/>
      <c r="Q54" s="1817"/>
      <c r="R54" s="1817"/>
    </row>
    <row r="55" spans="1:18" s="1820" customFormat="1" ht="13.8" thickBot="1">
      <c r="A55" s="1314" t="s">
        <v>1072</v>
      </c>
      <c r="B55" s="1805" t="s">
        <v>1397</v>
      </c>
      <c r="C55" s="1315"/>
      <c r="D55" s="1802"/>
      <c r="E55" s="3384"/>
      <c r="F55" s="1884"/>
      <c r="I55" s="1887" t="s">
        <v>1535</v>
      </c>
      <c r="J55" s="1888" t="e">
        <f ca="1">ROUND(IF(J47="钢混",J57/J50,1-(1-2%)*(J50-J57)/J50),3)</f>
        <v>#N/A</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t="e">
        <f ca="1">C13</f>
        <v>#N/A</v>
      </c>
      <c r="D56" s="1891"/>
      <c r="E56" s="1892"/>
      <c r="F56" s="1884"/>
      <c r="I56" s="1893" t="s">
        <v>1538</v>
      </c>
      <c r="J56" s="1894" t="s">
        <v>3033</v>
      </c>
      <c r="K56" s="1865" t="s">
        <v>1539</v>
      </c>
      <c r="L56" s="1868" t="e">
        <f ca="1">IF(L48&lt;J51,"——",L48-J53)</f>
        <v>#N/A</v>
      </c>
      <c r="O56" s="1862" t="s">
        <v>1037</v>
      </c>
      <c r="P56" s="1863" t="s">
        <v>1512</v>
      </c>
      <c r="Q56" s="1864" t="e">
        <f ca="1">C40+J29</f>
        <v>#N/A</v>
      </c>
      <c r="R56" s="1864" t="s">
        <v>1513</v>
      </c>
    </row>
    <row r="57" spans="1:18" s="1820" customFormat="1" ht="24.6" thickBot="1">
      <c r="A57" s="1895"/>
      <c r="B57" s="1150" t="s">
        <v>1462</v>
      </c>
      <c r="C57" s="282" t="e">
        <f ca="1">C29</f>
        <v>#N/A</v>
      </c>
      <c r="D57" s="1896"/>
      <c r="E57" s="1897"/>
      <c r="F57" s="1898"/>
      <c r="I57" s="1899" t="s">
        <v>1540</v>
      </c>
      <c r="J57" s="1900" t="e">
        <f ca="1">IF(OR(M47="住宅",J51&lt;L48,J56="是"),"——",J51-L48)</f>
        <v>#N/A</v>
      </c>
      <c r="K57" s="1865" t="s">
        <v>1541</v>
      </c>
      <c r="L57" s="1868" t="e">
        <f ca="1">IF(L48&lt;J51,"——",IF(L55="比较法",L49,IF(L55="基准地价",L50,L51)))</f>
        <v>#N/A</v>
      </c>
      <c r="O57" s="1862" t="s">
        <v>1038</v>
      </c>
      <c r="P57" s="1863" t="s">
        <v>1542</v>
      </c>
      <c r="Q57" s="1864" t="e">
        <f ca="1">L60</f>
        <v>#N/A</v>
      </c>
      <c r="R57" s="1864" t="s">
        <v>1543</v>
      </c>
    </row>
    <row r="58" spans="1:18" s="1820" customFormat="1" ht="24.6" thickBot="1">
      <c r="A58" s="360" t="s">
        <v>1027</v>
      </c>
      <c r="B58" s="1158" t="s">
        <v>1408</v>
      </c>
      <c r="C58" s="361" t="e">
        <f ca="1">ROUND(C59+C64+C65+C66,0)</f>
        <v>#N/A</v>
      </c>
      <c r="D58" s="1160" t="s">
        <v>1409</v>
      </c>
      <c r="E58" s="1161"/>
      <c r="F58" s="1162"/>
      <c r="I58" s="1899" t="s">
        <v>1544</v>
      </c>
      <c r="J58" s="1901" t="e">
        <f ca="1">IF(J55&lt;0.4,0.4,J55)</f>
        <v>#N/A</v>
      </c>
      <c r="K58" s="1878" t="s">
        <v>1545</v>
      </c>
      <c r="L58" s="1868" t="e">
        <f ca="1">ROUND(POWER(1+L52,L47-L48)*(POWER(1+L52,L48)-1)/(POWER(1+L52,L47)-1),4)</f>
        <v>#N/A</v>
      </c>
      <c r="O58" s="1872" t="s">
        <v>1039</v>
      </c>
      <c r="P58" s="1863" t="s">
        <v>1546</v>
      </c>
      <c r="Q58" s="1864">
        <f>IF(L55="比较法",L49,IF(L55="基准地价",L50,0))</f>
        <v>0</v>
      </c>
      <c r="R58" s="1864" t="s">
        <v>1513</v>
      </c>
    </row>
    <row r="59" spans="1:18" s="1820" customFormat="1" ht="24.6" thickBot="1">
      <c r="A59" s="1182" t="s">
        <v>1032</v>
      </c>
      <c r="B59" s="1150" t="s">
        <v>1413</v>
      </c>
      <c r="C59" s="24" t="e">
        <f ca="1">ROUND(IF(项目基本情况!B11="自然人",C48*F59,C60+C61+C62),1)</f>
        <v>#N/A</v>
      </c>
      <c r="D59" s="1163" t="s">
        <v>1414</v>
      </c>
      <c r="E59" s="1164" t="s">
        <v>1415</v>
      </c>
      <c r="F59" s="368" t="str">
        <f ca="1">IF(项目基本情况!B11="企业","",IF(INDIRECT("'数据-取费表'!c"&amp;$G$1)="住宅",5%,IF(F49*F50*F51/12/(1+'数据-取费表'!C42)&gt;20000,12%,7%)))</f>
        <v/>
      </c>
      <c r="I59" s="1899" t="s">
        <v>1547</v>
      </c>
      <c r="J59" s="1900" t="e">
        <f ca="1">IF(OR(M47="住宅",J51&lt;L48,J56="是"),"——",ROUND(C29*J58,0))</f>
        <v>#N/A</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#N/A</v>
      </c>
      <c r="M59" s="1816" t="e">
        <f ca="1">ROUND(POWER(1+L52,L47-(J51+'数据-取费表'!B24))*(POWER(1+L52,(J51+'数据-取费表'!B24))-1)/(POWER(1+L52,L47)-1),4)</f>
        <v>#N/A</v>
      </c>
      <c r="N59" s="1816" t="e">
        <f ca="1">ROUND(POWER(1+L52,L47-(J51+'数据-取费表'!B20))*(POWER(1+L52,(J51+'数据-取费表'!B20))-1)/(POWER(1+L52,L47)-1),4)</f>
        <v>#N/A</v>
      </c>
      <c r="O59" s="1872" t="s">
        <v>1040</v>
      </c>
      <c r="P59" s="1863" t="s">
        <v>1548</v>
      </c>
      <c r="Q59" s="1875">
        <f>L52</f>
        <v>0</v>
      </c>
      <c r="R59" s="1864"/>
    </row>
    <row r="60" spans="1:18" s="1820" customFormat="1" ht="16.2" thickBot="1">
      <c r="A60" s="1182" t="s">
        <v>1031</v>
      </c>
      <c r="B60" s="1150" t="s">
        <v>1417</v>
      </c>
      <c r="C60" s="24" t="e">
        <f ca="1">IF(项目基本情况!B11="自然人","——",ROUND(C48*F60/(1+'数据-取费表'!C42),2))</f>
        <v>#N/A</v>
      </c>
      <c r="D60" s="1164" t="s">
        <v>1418</v>
      </c>
      <c r="E60" s="1150" t="s">
        <v>1406</v>
      </c>
      <c r="F60" s="377">
        <f t="shared" ref="F60:F66" si="0">F32</f>
        <v>5.6000000000000001E-2</v>
      </c>
      <c r="I60" s="1902" t="s">
        <v>1549</v>
      </c>
      <c r="J60" s="1903" t="e">
        <f ca="1">IF(OR(M47="住宅",J51&lt;L48,J56="是"),"0",ROUND(J59/(1+J52)^J53,0))</f>
        <v>#N/A</v>
      </c>
      <c r="K60" s="1904" t="s">
        <v>1550</v>
      </c>
      <c r="L60" s="1903" t="e">
        <f ca="1">IF(OR(M47="住宅",L48&lt;J51),0,ROUND(L57*(L58/L59-1),0))</f>
        <v>#N/A</v>
      </c>
      <c r="O60" s="1872" t="s">
        <v>1041</v>
      </c>
      <c r="P60" s="1863" t="s">
        <v>1551</v>
      </c>
      <c r="Q60" s="1864" t="e">
        <f ca="1">L58</f>
        <v>#N/A</v>
      </c>
      <c r="R60" s="1864" t="s">
        <v>1552</v>
      </c>
    </row>
    <row r="61" spans="1:18" s="1820" customFormat="1" ht="13.8" thickBot="1">
      <c r="A61" s="1182" t="s">
        <v>1476</v>
      </c>
      <c r="B61" s="1150" t="s">
        <v>1421</v>
      </c>
      <c r="C61" s="24" t="e">
        <f ca="1">IF(项目基本情况!B11="自然人","——",IF(D61="按租金收入计税",ROUND(C48*F61,2),IF(D61="按房产原值计税",ROUND(C57*F61*0.7,2),INDIRECT("'数据-取费表'!Aj"&amp;$G$1))))</f>
        <v>#N/A</v>
      </c>
      <c r="D61" s="1806" t="s">
        <v>1422</v>
      </c>
      <c r="E61" s="1150" t="s">
        <v>1406</v>
      </c>
      <c r="F61" s="367">
        <f t="shared" si="0"/>
        <v>0.12</v>
      </c>
      <c r="I61" s="1905"/>
      <c r="J61" s="1905"/>
      <c r="K61" s="1905"/>
      <c r="L61" s="1905"/>
      <c r="O61" s="1872" t="s">
        <v>1042</v>
      </c>
      <c r="P61" s="1863" t="str">
        <f>K59</f>
        <v>建筑物剩余耐用年限下的土地年期修正系数Kn</v>
      </c>
      <c r="Q61" s="1864" t="e">
        <f ca="1">L59</f>
        <v>#N/A</v>
      </c>
      <c r="R61" s="1864" t="s">
        <v>1553</v>
      </c>
    </row>
    <row r="62" spans="1:18" s="1820" customFormat="1" ht="13.8" thickBot="1">
      <c r="A62" s="1182" t="s">
        <v>1479</v>
      </c>
      <c r="B62" s="1149" t="s">
        <v>1425</v>
      </c>
      <c r="C62" s="25" t="e">
        <f ca="1">IF(项目基本情况!B11="自然人","——",ROUND(F62*F63/10000,2))</f>
        <v>#N/A</v>
      </c>
      <c r="D62" s="1165" t="s">
        <v>1426</v>
      </c>
      <c r="E62" s="1150" t="s">
        <v>1427</v>
      </c>
      <c r="F62" s="371">
        <f t="shared" si="0"/>
        <v>30</v>
      </c>
      <c r="I62" s="1906" t="s">
        <v>1554</v>
      </c>
      <c r="J62" s="1907" t="s">
        <v>1555</v>
      </c>
      <c r="K62" s="1907" t="s">
        <v>1556</v>
      </c>
      <c r="L62" s="1907" t="s">
        <v>1557</v>
      </c>
      <c r="M62" s="1908" t="s">
        <v>1558</v>
      </c>
      <c r="O62" s="1862" t="s">
        <v>1043</v>
      </c>
      <c r="P62" s="1863" t="s">
        <v>1533</v>
      </c>
      <c r="Q62" s="1864" t="e">
        <f ca="1">Q56+Q57</f>
        <v>#N/A</v>
      </c>
      <c r="R62" s="1864" t="s">
        <v>1044</v>
      </c>
    </row>
    <row r="63" spans="1:18" s="1820" customFormat="1" ht="13.8" thickBot="1">
      <c r="A63" s="372"/>
      <c r="B63" s="1156"/>
      <c r="C63" s="29"/>
      <c r="D63" s="1166"/>
      <c r="E63" s="1150" t="s">
        <v>1431</v>
      </c>
      <c r="F63" s="348" t="e">
        <f t="shared" ca="1" si="0"/>
        <v>#N/A</v>
      </c>
      <c r="I63" s="1906" t="s">
        <v>1560</v>
      </c>
      <c r="J63" s="1907">
        <v>70</v>
      </c>
      <c r="K63" s="1907">
        <v>50</v>
      </c>
      <c r="L63" s="1907">
        <v>80</v>
      </c>
      <c r="M63" s="1909">
        <v>0.02</v>
      </c>
      <c r="O63" s="1847" t="s">
        <v>1561</v>
      </c>
      <c r="P63" s="1817"/>
      <c r="Q63" s="1817"/>
      <c r="R63" s="1817"/>
    </row>
    <row r="64" spans="1:18" s="1820" customFormat="1" ht="13.8" thickBot="1">
      <c r="A64" s="1182" t="s">
        <v>1484</v>
      </c>
      <c r="B64" s="1150" t="s">
        <v>1433</v>
      </c>
      <c r="C64" s="24" t="e">
        <f ca="1">ROUND(C57*F64,1)</f>
        <v>#N/A</v>
      </c>
      <c r="D64" s="1164" t="s">
        <v>1466</v>
      </c>
      <c r="E64" s="1150" t="s">
        <v>1406</v>
      </c>
      <c r="F64" s="374" t="e">
        <f t="shared" ca="1" si="0"/>
        <v>#N/A</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t="e">
        <f ca="1">ROUND(C56*F65,1)</f>
        <v>#N/A</v>
      </c>
      <c r="D65" s="1164" t="s">
        <v>1438</v>
      </c>
      <c r="E65" s="1150" t="s">
        <v>1406</v>
      </c>
      <c r="F65" s="376" t="e">
        <f t="shared" ca="1" si="0"/>
        <v>#N/A</v>
      </c>
      <c r="I65" s="1906" t="s">
        <v>1563</v>
      </c>
      <c r="J65" s="1907">
        <v>40</v>
      </c>
      <c r="K65" s="1907">
        <v>30</v>
      </c>
      <c r="L65" s="1907">
        <v>50</v>
      </c>
      <c r="M65" s="1909">
        <v>0.02</v>
      </c>
      <c r="O65" s="1862" t="s">
        <v>1037</v>
      </c>
      <c r="P65" s="1863" t="s">
        <v>1512</v>
      </c>
      <c r="Q65" s="1864" t="e">
        <f ca="1">C40+J29</f>
        <v>#N/A</v>
      </c>
      <c r="R65" s="1864" t="s">
        <v>1513</v>
      </c>
    </row>
    <row r="66" spans="1:18" s="1820" customFormat="1" ht="16.2" thickBot="1">
      <c r="A66" s="1182" t="s">
        <v>1488</v>
      </c>
      <c r="B66" s="1150" t="s">
        <v>1423</v>
      </c>
      <c r="C66" s="24" t="e">
        <f ca="1">ROUND(C48*F66,1)</f>
        <v>#N/A</v>
      </c>
      <c r="D66" s="1164" t="s">
        <v>1443</v>
      </c>
      <c r="E66" s="1150" t="s">
        <v>1406</v>
      </c>
      <c r="F66" s="357" t="e">
        <f t="shared" ca="1" si="0"/>
        <v>#N/A</v>
      </c>
      <c r="O66" s="1862" t="s">
        <v>1038</v>
      </c>
      <c r="P66" s="1863" t="s">
        <v>1542</v>
      </c>
      <c r="Q66" s="1864" t="e">
        <f ca="1">L60</f>
        <v>#N/A</v>
      </c>
      <c r="R66" s="1864" t="s">
        <v>1565</v>
      </c>
    </row>
    <row r="67" spans="1:18" s="1820" customFormat="1" ht="24.6" thickBot="1">
      <c r="A67" s="1157" t="s">
        <v>1028</v>
      </c>
      <c r="B67" s="1167" t="s">
        <v>1447</v>
      </c>
      <c r="C67" s="361" t="e">
        <f ca="1">C48-C58</f>
        <v>#N/A</v>
      </c>
      <c r="D67" s="1163" t="s">
        <v>1448</v>
      </c>
      <c r="E67" s="1168"/>
      <c r="F67" s="1169"/>
      <c r="O67" s="1872" t="s">
        <v>1039</v>
      </c>
      <c r="P67" s="1863" t="s">
        <v>1546</v>
      </c>
      <c r="Q67" s="1910" t="e">
        <f ca="1">L51</f>
        <v>#N/A</v>
      </c>
      <c r="R67" s="1864" t="s">
        <v>1566</v>
      </c>
    </row>
    <row r="68" spans="1:18" s="1820" customFormat="1" ht="16.2" thickBot="1">
      <c r="A68" s="1147" t="s">
        <v>1029</v>
      </c>
      <c r="B68" s="1148" t="s">
        <v>1469</v>
      </c>
      <c r="C68" s="346" t="e">
        <f ca="1">ROUND(C67*(1-((1+F70)/(1+F68))^F69)/(F68-F70),0)</f>
        <v>#N/A</v>
      </c>
      <c r="D68" s="1165" t="s">
        <v>1453</v>
      </c>
      <c r="E68" s="1150" t="s">
        <v>1454</v>
      </c>
      <c r="F68" s="357" t="e">
        <f ca="1">F40</f>
        <v>#N/A</v>
      </c>
      <c r="O68" s="1872" t="s">
        <v>1040</v>
      </c>
      <c r="P68" s="1911" t="s">
        <v>1567</v>
      </c>
      <c r="Q68" s="1864" t="e">
        <f ca="1">ROUND(Q69-Q70*Q71,0)</f>
        <v>#N/A</v>
      </c>
      <c r="R68" s="1864" t="s">
        <v>1048</v>
      </c>
    </row>
    <row r="69" spans="1:18" s="1820" customFormat="1" ht="13.8" thickBot="1">
      <c r="A69" s="1151"/>
      <c r="B69" s="1152"/>
      <c r="C69" s="351"/>
      <c r="D69" s="1170" t="s">
        <v>1457</v>
      </c>
      <c r="E69" s="1150" t="s">
        <v>1458</v>
      </c>
      <c r="F69" s="379" t="e">
        <f ca="1">F41</f>
        <v>#N/A</v>
      </c>
      <c r="O69" s="1872" t="s">
        <v>1045</v>
      </c>
      <c r="P69" s="1911" t="s">
        <v>1568</v>
      </c>
      <c r="Q69" s="1864" t="e">
        <f ca="1">C39</f>
        <v>#N/A</v>
      </c>
      <c r="R69" s="1864" t="s">
        <v>1513</v>
      </c>
    </row>
    <row r="70" spans="1:18" s="1820" customFormat="1" ht="13.8" thickBot="1">
      <c r="A70" s="1154"/>
      <c r="B70" s="1155"/>
      <c r="C70" s="355"/>
      <c r="D70" s="1166"/>
      <c r="E70" s="1150" t="s">
        <v>1461</v>
      </c>
      <c r="F70" s="1256"/>
      <c r="O70" s="1872" t="s">
        <v>1046</v>
      </c>
      <c r="P70" s="1911" t="s">
        <v>1569</v>
      </c>
      <c r="Q70" s="1864" t="e">
        <f ca="1">C13</f>
        <v>#N/A</v>
      </c>
      <c r="R70" s="1864" t="s">
        <v>1513</v>
      </c>
    </row>
    <row r="71" spans="1:18" s="1820" customFormat="1" ht="13.8" thickBot="1">
      <c r="A71" s="1171" t="s">
        <v>1030</v>
      </c>
      <c r="B71" s="1172" t="s">
        <v>1471</v>
      </c>
      <c r="C71" s="382" t="e">
        <f ca="1">ROUND(C68*10000/F71,0)</f>
        <v>#N/A</v>
      </c>
      <c r="D71" s="1173" t="s">
        <v>1472</v>
      </c>
      <c r="E71" s="1174" t="s">
        <v>1473</v>
      </c>
      <c r="F71" s="385" t="e">
        <f ca="1">F43</f>
        <v>#N/A</v>
      </c>
      <c r="O71" s="1872" t="s">
        <v>1047</v>
      </c>
      <c r="P71" s="1911" t="s">
        <v>1570</v>
      </c>
      <c r="Q71" s="1875" t="e">
        <f ca="1">C76</f>
        <v>#N/A</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#N/A</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#N/A</v>
      </c>
      <c r="R74" s="1864" t="s">
        <v>1553</v>
      </c>
    </row>
    <row r="75" spans="1:18" ht="13.8" thickBot="1">
      <c r="A75" s="1820"/>
      <c r="B75" s="386" t="s">
        <v>1490</v>
      </c>
      <c r="C75" s="387" t="e">
        <f ca="1">ROUND(C13*C76,0)</f>
        <v>#N/A</v>
      </c>
      <c r="D75" s="1820"/>
      <c r="E75" s="1820"/>
      <c r="F75" s="1820"/>
      <c r="K75" s="1846"/>
      <c r="L75" s="1820"/>
      <c r="O75" s="1862" t="s">
        <v>1043</v>
      </c>
      <c r="P75" s="1863" t="s">
        <v>1533</v>
      </c>
      <c r="Q75" s="1864" t="e">
        <f ca="1">Q65+Q66</f>
        <v>#N/A</v>
      </c>
      <c r="R75" s="1864" t="s">
        <v>1044</v>
      </c>
    </row>
    <row r="76" spans="1:18">
      <c r="B76" s="388" t="s">
        <v>1491</v>
      </c>
      <c r="C76" s="389" t="e">
        <f ca="1">INDIRECT("'数据-取费表'!j"&amp;$G$1)</f>
        <v>#N/A</v>
      </c>
      <c r="I76" s="1820"/>
      <c r="J76" s="1820"/>
      <c r="K76" s="1846"/>
      <c r="L76" s="1820"/>
    </row>
    <row r="77" spans="1:18">
      <c r="B77" s="390" t="s">
        <v>1492</v>
      </c>
      <c r="C77" s="391"/>
      <c r="I77" s="1820"/>
      <c r="J77" s="1820"/>
      <c r="K77" s="1846"/>
      <c r="L77" s="1820"/>
    </row>
    <row r="78" spans="1:18">
      <c r="B78" s="314" t="s">
        <v>1493</v>
      </c>
      <c r="C78" s="392"/>
    </row>
    <row r="79" spans="1:18">
      <c r="B79" s="386" t="s">
        <v>1494</v>
      </c>
      <c r="C79" s="318" t="e">
        <f ca="1">1-C80</f>
        <v>#N/A</v>
      </c>
    </row>
    <row r="80" spans="1:18">
      <c r="B80" s="386" t="s">
        <v>1495</v>
      </c>
      <c r="C80" s="318" t="e">
        <f ca="1">ROUND(C75/C39,3)</f>
        <v>#N/A</v>
      </c>
    </row>
    <row r="81" spans="2:3">
      <c r="B81" s="314" t="s">
        <v>1496</v>
      </c>
      <c r="C81" s="282"/>
    </row>
    <row r="82" spans="2:3">
      <c r="B82" s="317" t="s">
        <v>1497</v>
      </c>
      <c r="C82" s="319" t="e">
        <f ca="1">1-C83</f>
        <v>#N/A</v>
      </c>
    </row>
    <row r="83" spans="2:3">
      <c r="B83" s="317" t="s">
        <v>1498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3"/>
  <sheetViews>
    <sheetView workbookViewId="0">
      <selection activeCell="C19" sqref="C19"/>
    </sheetView>
  </sheetViews>
  <sheetFormatPr defaultColWidth="9" defaultRowHeight="13.8"/>
  <cols>
    <col min="1" max="1" width="23.6640625" style="1922" customWidth="1"/>
    <col min="2" max="2" width="12" style="1922" customWidth="1"/>
    <col min="3" max="3" width="9" style="1922"/>
    <col min="4" max="4" width="14.109375" style="1922" customWidth="1"/>
    <col min="5" max="5" width="9" style="1922"/>
    <col min="6" max="6" width="12.88671875" style="1922" customWidth="1"/>
    <col min="7" max="16384" width="9" style="1922"/>
  </cols>
  <sheetData>
    <row r="1" spans="1:6" ht="21.6">
      <c r="A1" s="2531" t="s">
        <v>2509</v>
      </c>
      <c r="B1" s="2532"/>
      <c r="C1" s="2532"/>
      <c r="D1" s="2532"/>
      <c r="E1" s="2533"/>
    </row>
    <row r="2" spans="1:6" ht="15.6">
      <c r="A2" s="2534" t="s">
        <v>2310</v>
      </c>
      <c r="B2" s="2535">
        <f ca="1">SUMIF(B6:B13,"&lt;&gt;#ref!",B6:B13)</f>
        <v>45688</v>
      </c>
      <c r="C2" s="2536" t="s">
        <v>2502</v>
      </c>
      <c r="D2" s="2537" t="s">
        <v>2503</v>
      </c>
      <c r="E2" s="2538">
        <f>SUM(E6:E13)</f>
        <v>9962.36</v>
      </c>
    </row>
    <row r="3" spans="1:6" ht="15.6">
      <c r="A3" s="2534" t="s">
        <v>1379</v>
      </c>
      <c r="B3" s="2535">
        <f ca="1">ROUND(B2*10000/E2,0)</f>
        <v>45861</v>
      </c>
      <c r="C3" s="2536" t="s">
        <v>2510</v>
      </c>
      <c r="D3" s="2539"/>
      <c r="E3" s="2540"/>
    </row>
    <row r="4" spans="1:6" ht="15.6">
      <c r="A4" s="2541"/>
      <c r="B4" s="2539"/>
      <c r="C4" s="2539"/>
      <c r="D4" s="2539"/>
      <c r="E4" s="2540"/>
    </row>
    <row r="5" spans="1:6" ht="14.4">
      <c r="A5" s="2542" t="s">
        <v>2504</v>
      </c>
      <c r="B5" s="3698" t="s">
        <v>2505</v>
      </c>
      <c r="C5" s="3698"/>
      <c r="D5" s="2543"/>
      <c r="E5" s="2544" t="s">
        <v>2506</v>
      </c>
      <c r="F5" s="2545" t="s">
        <v>2507</v>
      </c>
    </row>
    <row r="6" spans="1:6" ht="14.4">
      <c r="A6" s="2546" t="str">
        <f>'数据-取费表'!AN6</f>
        <v>收益法商</v>
      </c>
      <c r="B6" s="2545">
        <f ca="1">IF(F6="是",'数据-取费表'!AO6,0)</f>
        <v>45688</v>
      </c>
      <c r="C6" s="2536" t="s">
        <v>2502</v>
      </c>
      <c r="D6" s="2539"/>
      <c r="E6" s="2547">
        <f>IF(OR(A6=0,F6="否"),0,'数据-取费表'!K6+'数据-取费表'!S6)</f>
        <v>9962.36</v>
      </c>
      <c r="F6" s="2548" t="s">
        <v>2508</v>
      </c>
    </row>
    <row r="7" spans="1:6" ht="14.4">
      <c r="A7" s="2546">
        <f>'数据-取费表'!AN7</f>
        <v>0</v>
      </c>
      <c r="B7" s="2545" t="e">
        <f ca="1">IF(F7="是",'数据-取费表'!AO7,0)</f>
        <v>#REF!</v>
      </c>
      <c r="C7" s="2536" t="s">
        <v>2502</v>
      </c>
      <c r="D7" s="2539"/>
      <c r="E7" s="2547">
        <f>IF(OR(A7=0,F7="否"),0,'数据-取费表'!K7+'数据-取费表'!S7)</f>
        <v>0</v>
      </c>
      <c r="F7" s="2548" t="s">
        <v>2508</v>
      </c>
    </row>
    <row r="8" spans="1:6" ht="14.4">
      <c r="A8" s="2546" t="str">
        <f>'数据-取费表'!AN8</f>
        <v>收益法办</v>
      </c>
      <c r="B8" s="2545">
        <f>IF(F8="是",'数据-取费表'!AO8,0)</f>
        <v>0</v>
      </c>
      <c r="C8" s="2536" t="s">
        <v>2502</v>
      </c>
      <c r="D8" s="2539"/>
      <c r="E8" s="2547">
        <f>IF(OR(A8=0,F8="否"),0,'数据-取费表'!K8+'数据-取费表'!S8)</f>
        <v>0</v>
      </c>
      <c r="F8" s="2548" t="s">
        <v>3085</v>
      </c>
    </row>
    <row r="9" spans="1:6" ht="14.4">
      <c r="A9" s="2546">
        <f>'数据-取费表'!AN9</f>
        <v>0</v>
      </c>
      <c r="B9" s="2545">
        <f>IF(F9="是",'数据-取费表'!AO9,0)</f>
        <v>0</v>
      </c>
      <c r="C9" s="2536" t="s">
        <v>2502</v>
      </c>
      <c r="D9" s="2539"/>
      <c r="E9" s="2547">
        <f>IF(OR(A9=0,F9="否"),0,'数据-取费表'!K9+'数据-取费表'!S9)</f>
        <v>0</v>
      </c>
      <c r="F9" s="2548" t="s">
        <v>3085</v>
      </c>
    </row>
    <row r="10" spans="1:6" ht="14.4">
      <c r="A10" s="2546" t="str">
        <f>'数据-取费表'!AN10</f>
        <v>收益法车库</v>
      </c>
      <c r="B10" s="2545">
        <f>IF(F10="是",'数据-取费表'!AO10,0)</f>
        <v>0</v>
      </c>
      <c r="C10" s="2536" t="s">
        <v>2502</v>
      </c>
      <c r="D10" s="2539"/>
      <c r="E10" s="2547">
        <f>IF(OR(A10=0,F10="否"),0,'数据-取费表'!K10+'数据-取费表'!S10)</f>
        <v>0</v>
      </c>
      <c r="F10" s="2548" t="s">
        <v>3085</v>
      </c>
    </row>
    <row r="11" spans="1:6" ht="14.4">
      <c r="A11" s="2546" t="str">
        <f>'数据-取费表'!AN11</f>
        <v>收益法酒店</v>
      </c>
      <c r="B11" s="2545">
        <f>IF(F11="是",'数据-取费表'!AO11,0)</f>
        <v>0</v>
      </c>
      <c r="C11" s="2536" t="s">
        <v>2502</v>
      </c>
      <c r="D11" s="2539"/>
      <c r="E11" s="2547">
        <f>IF(OR(A11=0,F11="否"),0,'数据-取费表'!K11+'数据-取费表'!S11)</f>
        <v>0</v>
      </c>
      <c r="F11" s="2548" t="s">
        <v>3085</v>
      </c>
    </row>
    <row r="12" spans="1:6" ht="14.4">
      <c r="A12" s="2546">
        <f>'数据-取费表'!AN12</f>
        <v>0</v>
      </c>
      <c r="B12" s="2545">
        <f>IF(F12="是",'数据-取费表'!AO12,0)</f>
        <v>0</v>
      </c>
      <c r="C12" s="2536" t="s">
        <v>2502</v>
      </c>
      <c r="D12" s="2539"/>
      <c r="E12" s="2547">
        <f>IF(OR(A12=0,F12="否"),0,'数据-取费表'!K12+'数据-取费表'!S12)</f>
        <v>0</v>
      </c>
      <c r="F12" s="2548" t="s">
        <v>3085</v>
      </c>
    </row>
    <row r="13" spans="1:6" ht="15" thickBot="1">
      <c r="A13" s="2549">
        <f>'数据-取费表'!AN13</f>
        <v>0</v>
      </c>
      <c r="B13" s="2545">
        <f>IF(F13="是",'数据-取费表'!AO13,0)</f>
        <v>0</v>
      </c>
      <c r="C13" s="2550" t="s">
        <v>2502</v>
      </c>
      <c r="D13" s="2551"/>
      <c r="E13" s="2547">
        <f>IF(OR(A13=0,F13="否"),0,'数据-取费表'!K13+'数据-取费表'!S13)</f>
        <v>0</v>
      </c>
      <c r="F13" s="2548" t="s">
        <v>3085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C00-000000000000}">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2" customWidth="1"/>
    <col min="2" max="16384" width="9" style="1922"/>
  </cols>
  <sheetData>
    <row r="1" spans="1:1" ht="22.8">
      <c r="A1" s="1921" t="s">
        <v>1595</v>
      </c>
    </row>
    <row r="2" spans="1:1">
      <c r="A2" s="1923"/>
    </row>
    <row r="3" spans="1:1" ht="17.399999999999999">
      <c r="A3" s="1924" t="str">
        <f>项目基本情况!B5&amp;"："</f>
        <v>：</v>
      </c>
    </row>
    <row r="4" spans="1:1" ht="34.799999999999997">
      <c r="A4" s="1925" t="str">
        <f>"受贵公司委托，我公司对"&amp;项目基本情况!S1&amp;"进行了预评估。"</f>
        <v>受贵公司委托，我公司对四川省成都市青羊区西御街3号、5号房地产市场价值进行了预评估。</v>
      </c>
    </row>
    <row r="5" spans="1:1" ht="17.399999999999999">
      <c r="A5" s="1926" t="s">
        <v>1596</v>
      </c>
    </row>
    <row r="6" spans="1:1" ht="17.399999999999999">
      <c r="A6" s="1927" t="s">
        <v>1597</v>
      </c>
    </row>
    <row r="7" spans="1:1" ht="52.2">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估价对象为四川省成都市青羊区西御街3号、5号房地产，为所有。根据《国有土地使用证》[]，估价对象（分摊）出让国有建设用地使用权面积为12224.89平方米，建筑面积为166451.09平方米。</v>
      </c>
    </row>
    <row r="8" spans="1:1" ht="54.6">
      <c r="A8" s="1928" t="s">
        <v>1598</v>
      </c>
    </row>
    <row r="9" spans="1:1" ht="17.399999999999999">
      <c r="A9" s="1927" t="s">
        <v>1599</v>
      </c>
    </row>
    <row r="10" spans="1:1" ht="69.599999999999994">
      <c r="A10" s="1925"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青羊区西御街3号、5号房地产,属开发建设的，该项目尚在开发建设中。根据《国有土地使用证》[]，估价对象（分摊）出让国有建设用地使用权面积为12224.89平方米，规划建筑面积为166451.09平方米。</v>
      </c>
    </row>
    <row r="11" spans="1:1" ht="72">
      <c r="A11" s="1928" t="s">
        <v>1600</v>
      </c>
    </row>
    <row r="12" spans="1:1" ht="17.399999999999999">
      <c r="A12" s="1926" t="s">
        <v>1601</v>
      </c>
    </row>
    <row r="13" spans="1:1" ht="38.25" customHeight="1">
      <c r="A13" s="1929" t="str">
        <f>IF(项目基本情况!B8="抵押",IF(项目基本情况!B5=项目基本情况!B6,定义!C51,定义!B51),定义!D51)</f>
        <v>为估价委托人了解估价对象房地产市场价值提供参考依据。</v>
      </c>
    </row>
    <row r="14" spans="1:1" ht="17.399999999999999">
      <c r="A14" s="1930" t="s">
        <v>1602</v>
      </c>
    </row>
    <row r="15" spans="1:1" ht="17.399999999999999">
      <c r="A15" s="1931" t="str">
        <f>TEXT(项目基本情况!D3,"yyyy年m月d日;;")&amp;IF(项目基本情况!D3=项目基本情况!B3,"（评估专业人员实地查勘之日）","")</f>
        <v>2020年3月13日（评估专业人员实地查勘之日）</v>
      </c>
    </row>
    <row r="16" spans="1:1" ht="17.399999999999999">
      <c r="A16" s="1930" t="s">
        <v>1603</v>
      </c>
    </row>
    <row r="17" spans="1:1" ht="69.599999999999994">
      <c r="A17" s="1925" t="s">
        <v>1604</v>
      </c>
    </row>
    <row r="18" spans="1:1" ht="69.599999999999994">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13日，估价对象规划用途为商业、办公，土地取得方式为出让，出让国有建设用地使用权剩余土地使用年限为，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25" t="str">
        <f>IF(项目基本情况!B9="房地产市场价值","——",IF(项目基本情况!E8="房地产抵押价值",定义!C54,IF(项目基本情况!E8="已注销",定义!C55,定义!C56)))</f>
        <v>——</v>
      </c>
    </row>
    <row r="21" spans="1:1" ht="17.399999999999999">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25" t="str">
        <f>IF(项目基本情况!B9="房地产市场价值","——",IF(项目基本情况!E9="——","",定义!C57))</f>
        <v>——</v>
      </c>
    </row>
    <row r="23" spans="1:1" ht="17.399999999999999">
      <c r="A23" s="1930" t="s">
        <v>1593</v>
      </c>
    </row>
    <row r="24" spans="1:1" ht="17.399999999999999">
      <c r="A24" s="1932" t="str">
        <f>"本次评估采用的主估价方法为"&amp;结果表商!K4&amp;"和"&amp;结果表商!L4&amp;"。"</f>
        <v>本次评估采用的主估价方法为基准地价系数修正法和收益法。</v>
      </c>
    </row>
    <row r="25" spans="1:1" ht="17.399999999999999">
      <c r="A25" s="1932"/>
    </row>
    <row r="26" spans="1:1" ht="17.399999999999999">
      <c r="A26" s="1933" t="s">
        <v>1594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I512"/>
  <sheetViews>
    <sheetView view="pageBreakPreview" zoomScaleNormal="100" zoomScaleSheetLayoutView="100" zoomScalePageLayoutView="80" workbookViewId="0">
      <selection activeCell="K28" sqref="K28"/>
    </sheetView>
  </sheetViews>
  <sheetFormatPr defaultColWidth="12.6640625" defaultRowHeight="21.75" customHeight="1"/>
  <cols>
    <col min="1" max="2" width="12.6640625" style="2392"/>
    <col min="3" max="4" width="12.6640625" style="2392" customWidth="1"/>
    <col min="5" max="9" width="12.6640625" style="2392"/>
    <col min="10" max="11" width="12.6640625" style="790" customWidth="1"/>
    <col min="12" max="12" width="12.6640625" style="790"/>
    <col min="13" max="13" width="14.109375" style="790" bestFit="1" customWidth="1"/>
    <col min="14" max="26" width="12.6640625" style="790"/>
    <col min="27" max="35" width="12.6640625" style="2391"/>
    <col min="36" max="16384" width="12.6640625" style="2392"/>
  </cols>
  <sheetData>
    <row r="1" spans="1:12" ht="21.75" customHeight="1" thickBot="1">
      <c r="A1" s="2197" t="s">
        <v>2100</v>
      </c>
      <c r="B1" s="2386"/>
      <c r="C1" s="2387" t="s">
        <v>27</v>
      </c>
      <c r="D1" s="2386"/>
      <c r="E1" s="2386"/>
      <c r="F1" s="2388" t="s">
        <v>2101</v>
      </c>
      <c r="G1" s="2042" t="s">
        <v>3041</v>
      </c>
      <c r="H1" s="2389" t="str">
        <f>IF(G1="现房","——","估价对象范围")</f>
        <v>——</v>
      </c>
      <c r="I1" s="2390"/>
    </row>
    <row r="2" spans="1:12" ht="21.75" customHeight="1" thickBot="1">
      <c r="A2" s="3579" t="str">
        <f>项目基本情况!S2</f>
        <v>四川省成都市青羊区西御街3号、5号房地产</v>
      </c>
      <c r="B2" s="3580"/>
      <c r="C2" s="3580"/>
      <c r="D2" s="3580"/>
      <c r="E2" s="3580"/>
      <c r="F2" s="3580"/>
      <c r="G2" s="3580"/>
      <c r="H2" s="3580"/>
      <c r="I2" s="3581"/>
    </row>
    <row r="3" spans="1:12" ht="13.2">
      <c r="A3" s="3583" t="s">
        <v>2102</v>
      </c>
      <c r="B3" s="3584"/>
      <c r="C3" s="3584"/>
      <c r="D3" s="3584"/>
      <c r="E3" s="3584"/>
      <c r="F3" s="3584"/>
      <c r="G3" s="3584"/>
      <c r="H3" s="3584"/>
      <c r="I3" s="3584"/>
    </row>
    <row r="4" spans="1:12" ht="14.4">
      <c r="A4" s="2393" t="s">
        <v>2103</v>
      </c>
      <c r="B4" s="2394" t="s">
        <v>2104</v>
      </c>
      <c r="C4" s="2395" t="s">
        <v>3424</v>
      </c>
      <c r="D4" s="2395" t="s">
        <v>3037</v>
      </c>
      <c r="E4" s="3576" t="s">
        <v>2105</v>
      </c>
      <c r="F4" s="3577"/>
      <c r="G4" s="3577"/>
      <c r="H4" s="3577"/>
      <c r="I4" s="3585"/>
      <c r="K4" s="2396" t="str">
        <f>IF(ISNUMBER(FIND("比较法",结果表办!C4)),"比较法",IF(ISNUMBER(FIND("成本法",结果表办!C4)),"成本法",IF(ISNUMBER(FIND("假设开发法",结果表办!C4)),"假设开发法",IF(ISNUMBER(FIND("收益法",结果表办!C4)),"收益法","基准地价系数修正法"))))</f>
        <v>比较法</v>
      </c>
      <c r="L4" s="2396" t="str">
        <f>IF(ISNUMBER(FIND("比较法",结果表办!D4)),"比较法",IF(ISNUMBER(FIND("成本法",结果表办!D4)),"成本法",IF(ISNUMBER(FIND("假设开发法",结果表办!D4)),"假设开发法",IF(ISNUMBER(FIND("收益法",结果表办!D4)),"收益法","基准地价系数修正法"))))</f>
        <v>收益法</v>
      </c>
    </row>
    <row r="5" spans="1:12" ht="13.2">
      <c r="A5" s="3559" t="s">
        <v>2106</v>
      </c>
      <c r="B5" s="3486">
        <v>25</v>
      </c>
      <c r="C5" s="3562"/>
      <c r="D5" s="3582"/>
      <c r="E5" s="140" t="s">
        <v>2107</v>
      </c>
      <c r="F5" s="2397"/>
      <c r="G5" s="2397"/>
      <c r="H5" s="2397"/>
      <c r="I5" s="1809"/>
    </row>
    <row r="6" spans="1:12" ht="13.2">
      <c r="A6" s="3559"/>
      <c r="B6" s="3486"/>
      <c r="C6" s="3563"/>
      <c r="D6" s="3582"/>
      <c r="E6" s="140" t="s">
        <v>2108</v>
      </c>
      <c r="F6" s="2397"/>
      <c r="G6" s="2397"/>
      <c r="H6" s="2397"/>
      <c r="I6" s="1809"/>
    </row>
    <row r="7" spans="1:12" ht="13.2">
      <c r="A7" s="3559"/>
      <c r="B7" s="3486"/>
      <c r="C7" s="3564"/>
      <c r="D7" s="3582"/>
      <c r="E7" s="140" t="s">
        <v>2109</v>
      </c>
      <c r="F7" s="2397"/>
      <c r="G7" s="2397"/>
      <c r="H7" s="2397"/>
      <c r="I7" s="1809"/>
    </row>
    <row r="8" spans="1:12" ht="13.2">
      <c r="A8" s="3559" t="s">
        <v>2110</v>
      </c>
      <c r="B8" s="3486">
        <v>15</v>
      </c>
      <c r="C8" s="3562"/>
      <c r="D8" s="3582"/>
      <c r="E8" s="140" t="s">
        <v>2111</v>
      </c>
      <c r="F8" s="2397"/>
      <c r="G8" s="2397"/>
      <c r="H8" s="2397"/>
      <c r="I8" s="1809"/>
    </row>
    <row r="9" spans="1:12" ht="13.2">
      <c r="A9" s="3559"/>
      <c r="B9" s="3486"/>
      <c r="C9" s="3564"/>
      <c r="D9" s="3582"/>
      <c r="E9" s="140" t="s">
        <v>2112</v>
      </c>
      <c r="F9" s="2397"/>
      <c r="G9" s="2397"/>
      <c r="H9" s="2397"/>
      <c r="I9" s="1809"/>
    </row>
    <row r="10" spans="1:12" ht="13.2">
      <c r="A10" s="3559" t="s">
        <v>2113</v>
      </c>
      <c r="B10" s="3486">
        <v>15</v>
      </c>
      <c r="C10" s="3562"/>
      <c r="D10" s="3582"/>
      <c r="E10" s="140" t="s">
        <v>2114</v>
      </c>
      <c r="F10" s="2397"/>
      <c r="G10" s="2397"/>
      <c r="H10" s="2397"/>
      <c r="I10" s="1809"/>
    </row>
    <row r="11" spans="1:12" ht="13.2">
      <c r="A11" s="3559"/>
      <c r="B11" s="3486"/>
      <c r="C11" s="3564"/>
      <c r="D11" s="3582"/>
      <c r="E11" s="140" t="s">
        <v>2115</v>
      </c>
      <c r="F11" s="2397"/>
      <c r="G11" s="2397"/>
      <c r="H11" s="2397"/>
      <c r="I11" s="1809"/>
    </row>
    <row r="12" spans="1:12" ht="13.2">
      <c r="A12" s="3559" t="s">
        <v>2116</v>
      </c>
      <c r="B12" s="3486">
        <v>15</v>
      </c>
      <c r="C12" s="3562"/>
      <c r="D12" s="3582"/>
      <c r="E12" s="140" t="s">
        <v>2117</v>
      </c>
      <c r="F12" s="2397"/>
      <c r="G12" s="2397"/>
      <c r="H12" s="2397"/>
      <c r="I12" s="1809"/>
    </row>
    <row r="13" spans="1:12" ht="13.2">
      <c r="A13" s="3559"/>
      <c r="B13" s="3486"/>
      <c r="C13" s="3564"/>
      <c r="D13" s="3582"/>
      <c r="E13" s="140" t="s">
        <v>2118</v>
      </c>
      <c r="F13" s="2397"/>
      <c r="G13" s="2397"/>
      <c r="H13" s="2397"/>
      <c r="I13" s="1809"/>
    </row>
    <row r="14" spans="1:12" ht="13.2">
      <c r="A14" s="3559" t="s">
        <v>2119</v>
      </c>
      <c r="B14" s="3486">
        <v>30</v>
      </c>
      <c r="C14" s="3699">
        <v>55</v>
      </c>
      <c r="D14" s="3702">
        <v>45</v>
      </c>
      <c r="E14" s="140" t="s">
        <v>2120</v>
      </c>
      <c r="F14" s="2397"/>
      <c r="G14" s="2397"/>
      <c r="H14" s="2397"/>
      <c r="I14" s="1809"/>
    </row>
    <row r="15" spans="1:12" ht="13.2">
      <c r="A15" s="3559"/>
      <c r="B15" s="3486"/>
      <c r="C15" s="3700"/>
      <c r="D15" s="3702"/>
      <c r="E15" s="140" t="s">
        <v>2121</v>
      </c>
      <c r="F15" s="2397"/>
      <c r="G15" s="2397"/>
      <c r="H15" s="2397"/>
      <c r="I15" s="1809"/>
    </row>
    <row r="16" spans="1:12" ht="13.2">
      <c r="A16" s="3559"/>
      <c r="B16" s="3486"/>
      <c r="C16" s="3701"/>
      <c r="D16" s="3702"/>
      <c r="E16" s="140" t="s">
        <v>2122</v>
      </c>
      <c r="F16" s="2397"/>
      <c r="G16" s="2397"/>
      <c r="H16" s="2397"/>
      <c r="I16" s="1809"/>
    </row>
    <row r="17" spans="1:35" ht="14.4">
      <c r="A17" s="2398" t="s">
        <v>2123</v>
      </c>
      <c r="B17" s="64"/>
      <c r="C17" s="141">
        <f>SUM(C5:C16)</f>
        <v>55</v>
      </c>
      <c r="D17" s="141">
        <f>SUM(D5:D16)</f>
        <v>45</v>
      </c>
      <c r="E17" s="138"/>
      <c r="F17" s="138"/>
      <c r="G17" s="138"/>
      <c r="H17" s="138"/>
      <c r="I17" s="138"/>
      <c r="K17" s="2396"/>
      <c r="L17" s="2399" t="s">
        <v>2124</v>
      </c>
      <c r="M17" s="2399" t="s">
        <v>2125</v>
      </c>
    </row>
    <row r="18" spans="1:35" ht="15" thickBot="1">
      <c r="A18" s="2400" t="s">
        <v>2126</v>
      </c>
      <c r="B18" s="2401"/>
      <c r="C18" s="142">
        <f>ROUND(C17/SUM(C17:D17),2)</f>
        <v>0.55000000000000004</v>
      </c>
      <c r="D18" s="142">
        <f>1-C18</f>
        <v>0.44999999999999996</v>
      </c>
      <c r="E18" s="138"/>
      <c r="F18" s="138"/>
      <c r="G18" s="138"/>
      <c r="H18" s="138"/>
      <c r="I18" s="138"/>
      <c r="K18" s="2396" t="s">
        <v>2127</v>
      </c>
      <c r="L18" s="2396">
        <f>IF(C1="",'数据-汇总表'!E3,SUMIF(项目类型,C1,'数据-汇总表'!E17:E26)+SUMIF(项目类型,C1,'数据-汇总表'!I17:I26))</f>
        <v>82700.41</v>
      </c>
      <c r="M18" s="2396">
        <f>IF(C1="",'数据-汇总表'!E3,SUMIF(项目类型,C1,'数据-汇总表'!E17:E26))</f>
        <v>82629.64</v>
      </c>
    </row>
    <row r="19" spans="1:35" ht="14.4">
      <c r="A19" s="2402" t="s">
        <v>2128</v>
      </c>
      <c r="B19" s="2403" t="s">
        <v>2129</v>
      </c>
      <c r="C19" s="143">
        <f ca="1">SUMIF(INDIRECT("'"&amp;C4&amp;"'"&amp;"!A:A"),结果表办!B19,INDIRECT("'"&amp;C4&amp;"'"&amp;"!B:B"))</f>
        <v>364091</v>
      </c>
      <c r="D19" s="144">
        <f ca="1">SUMIF(INDIRECT("'"&amp;D4&amp;"'"&amp;"!A:A"),结果表办!B19,INDIRECT("'"&amp;D4&amp;"'"&amp;"!B:B"))</f>
        <v>240866</v>
      </c>
      <c r="E19" s="2402" t="s">
        <v>2130</v>
      </c>
      <c r="F19" s="2403" t="s">
        <v>2129</v>
      </c>
      <c r="G19" s="145">
        <f ca="1">ROUND(C19*$C$18+D19*$D$18,0)</f>
        <v>308640</v>
      </c>
      <c r="H19" s="2404" t="s">
        <v>2131</v>
      </c>
      <c r="I19" s="138"/>
      <c r="K19" s="2396" t="s">
        <v>2132</v>
      </c>
      <c r="L19" s="2396">
        <f>IF(C1="",'数据-汇总表'!D3,SUMIF(项目类型,C1,'数据-汇总表'!D17:D26)+SUMIF(项目类型,C1,'数据-汇总表'!H17:H27))</f>
        <v>8744.9</v>
      </c>
      <c r="M19" s="2396">
        <f>IF(C1="",'数据-汇总表'!D3,SUMIF(项目类型,C1,'数据-汇总表'!D17:D26))</f>
        <v>6068.68</v>
      </c>
    </row>
    <row r="20" spans="1:35" ht="14.4">
      <c r="A20" s="2405"/>
      <c r="B20" s="1228" t="s">
        <v>2133</v>
      </c>
      <c r="C20" s="146">
        <f ca="1">SUMIF(INDIRECT("'"&amp;C4&amp;"'"&amp;"!A:A"),结果表办!B20,INDIRECT("'"&amp;C4&amp;"'"&amp;"!B:B"))</f>
        <v>44063</v>
      </c>
      <c r="D20" s="147">
        <f ca="1">SUMIF(INDIRECT("'"&amp;D4&amp;"'"&amp;"!A:A"),结果表办!B20,INDIRECT("'"&amp;D4&amp;"'"&amp;"!B:B"))</f>
        <v>29150</v>
      </c>
      <c r="E20" s="2405"/>
      <c r="F20" s="1228" t="s">
        <v>2133</v>
      </c>
      <c r="G20" s="148">
        <f ca="1">ROUND(C20*$C$18+D20*$D$18,0)</f>
        <v>37352</v>
      </c>
      <c r="H20" s="969" t="s">
        <v>2134</v>
      </c>
      <c r="I20" s="138"/>
    </row>
    <row r="21" spans="1:35" ht="15" customHeight="1" thickBot="1">
      <c r="A21" s="989"/>
      <c r="B21" s="2406" t="s">
        <v>2135</v>
      </c>
      <c r="C21" s="784">
        <f ca="1">ROUND(C19*10000/L19,0)</f>
        <v>416347</v>
      </c>
      <c r="D21" s="785">
        <f ca="1">ROUND(D19*10000/L19,0)</f>
        <v>275436</v>
      </c>
      <c r="E21" s="989"/>
      <c r="F21" s="2406" t="s">
        <v>2135</v>
      </c>
      <c r="G21" s="149">
        <f ca="1">ROUND(G19*10000/L19,0)</f>
        <v>352937</v>
      </c>
      <c r="H21" s="2407" t="s">
        <v>2134</v>
      </c>
      <c r="I21" s="138"/>
    </row>
    <row r="22" spans="1:35" ht="15" thickBot="1">
      <c r="A22" s="2252" t="s">
        <v>2136</v>
      </c>
      <c r="B22" s="2408"/>
      <c r="C22" s="2409"/>
      <c r="D22" s="786">
        <f ca="1">IF(C19&lt;D19,D19/C19-1,C19/D19-1)</f>
        <v>0.51159150731111902</v>
      </c>
      <c r="E22" s="138"/>
      <c r="F22" s="138"/>
      <c r="G22" s="138"/>
      <c r="H22" s="138"/>
      <c r="I22" s="138"/>
    </row>
    <row r="23" spans="1:35" ht="13.8" thickBot="1">
      <c r="A23" s="2386"/>
      <c r="B23" s="2386"/>
      <c r="C23" s="2386"/>
      <c r="D23" s="2386"/>
      <c r="E23" s="138"/>
      <c r="F23" s="138"/>
      <c r="G23" s="138"/>
      <c r="H23" s="138"/>
      <c r="I23" s="138"/>
    </row>
    <row r="24" spans="1:35" ht="14.4">
      <c r="A24" s="3553" t="s">
        <v>2137</v>
      </c>
      <c r="B24" s="2403" t="s">
        <v>2129</v>
      </c>
      <c r="C24" s="145">
        <f>IF(B30=0,0,D30)</f>
        <v>0</v>
      </c>
      <c r="D24" s="2410"/>
      <c r="E24" s="138"/>
      <c r="F24" s="138"/>
      <c r="G24" s="138"/>
      <c r="H24" s="138"/>
      <c r="I24" s="138"/>
    </row>
    <row r="25" spans="1:35" ht="14.4">
      <c r="A25" s="3554"/>
      <c r="B25" s="1228" t="s">
        <v>2133</v>
      </c>
      <c r="C25" s="150">
        <f>IF(B30=0,0,C30)</f>
        <v>0</v>
      </c>
      <c r="D25" s="2411"/>
      <c r="E25" s="138"/>
      <c r="F25" s="138"/>
      <c r="G25" s="138"/>
      <c r="H25" s="138"/>
      <c r="I25" s="138"/>
    </row>
    <row r="26" spans="1:35" ht="13.5" customHeight="1">
      <c r="A26" s="2412" t="s">
        <v>2138</v>
      </c>
      <c r="B26" s="151" t="s">
        <v>2139</v>
      </c>
      <c r="C26" s="151" t="s">
        <v>2140</v>
      </c>
      <c r="D26" s="152" t="s">
        <v>2141</v>
      </c>
      <c r="E26" s="138"/>
      <c r="F26" s="138"/>
      <c r="G26" s="138"/>
      <c r="H26" s="138"/>
      <c r="I26" s="138"/>
    </row>
    <row r="27" spans="1:35" ht="13.8">
      <c r="A27" s="2412"/>
      <c r="B27" s="151">
        <v>0</v>
      </c>
      <c r="C27" s="151">
        <v>0</v>
      </c>
      <c r="D27" s="152">
        <f>ROUND(C27*B27/10000,0)</f>
        <v>0</v>
      </c>
      <c r="E27" s="138"/>
      <c r="F27" s="138"/>
      <c r="G27" s="138"/>
      <c r="H27" s="138"/>
      <c r="I27" s="138"/>
    </row>
    <row r="28" spans="1:35" ht="13.8">
      <c r="A28" s="2412"/>
      <c r="B28" s="151"/>
      <c r="C28" s="151"/>
      <c r="D28" s="152"/>
      <c r="E28" s="138"/>
      <c r="F28" s="138"/>
      <c r="G28" s="138"/>
      <c r="H28" s="138"/>
      <c r="I28" s="138"/>
    </row>
    <row r="29" spans="1:35" ht="13.8">
      <c r="A29" s="2412"/>
      <c r="B29" s="151"/>
      <c r="C29" s="151"/>
      <c r="D29" s="152"/>
      <c r="E29" s="138"/>
      <c r="F29" s="138"/>
      <c r="G29" s="138"/>
      <c r="H29" s="138"/>
      <c r="I29" s="138"/>
    </row>
    <row r="30" spans="1:35" ht="14.4">
      <c r="A30" s="151" t="s">
        <v>2142</v>
      </c>
      <c r="B30" s="151"/>
      <c r="C30" s="151"/>
      <c r="D30" s="151"/>
      <c r="E30" s="2883" t="s">
        <v>3003</v>
      </c>
      <c r="F30" s="138"/>
      <c r="G30" s="138"/>
      <c r="H30" s="138"/>
      <c r="I30" s="138"/>
    </row>
    <row r="31" spans="1:35" s="2414" customFormat="1" ht="14.4" thickBot="1">
      <c r="A31" s="2413"/>
      <c r="B31" s="2413"/>
      <c r="C31" s="2413"/>
      <c r="D31" s="2413"/>
      <c r="E31" s="138"/>
      <c r="F31" s="138"/>
      <c r="G31" s="138"/>
      <c r="H31" s="138"/>
      <c r="I31" s="138"/>
      <c r="J31" s="790"/>
      <c r="K31" s="790"/>
      <c r="L31" s="790"/>
      <c r="M31" s="790"/>
      <c r="N31" s="790"/>
      <c r="O31" s="790"/>
      <c r="P31" s="790"/>
      <c r="Q31" s="790"/>
      <c r="R31" s="790"/>
      <c r="S31" s="790"/>
      <c r="T31" s="790"/>
      <c r="U31" s="790"/>
      <c r="V31" s="790"/>
      <c r="W31" s="790"/>
      <c r="X31" s="790"/>
      <c r="Y31" s="790"/>
      <c r="Z31" s="790"/>
      <c r="AA31" s="2391"/>
      <c r="AB31" s="2391"/>
      <c r="AC31" s="2391"/>
      <c r="AD31" s="2391"/>
      <c r="AE31" s="2391"/>
      <c r="AF31" s="2391"/>
      <c r="AG31" s="2391"/>
      <c r="AH31" s="2391"/>
      <c r="AI31" s="2391"/>
    </row>
    <row r="32" spans="1:35" ht="15" thickBot="1">
      <c r="A32" s="2415" t="s">
        <v>2143</v>
      </c>
      <c r="B32" s="2416"/>
      <c r="C32" s="153">
        <f ca="1">IF(D32="总价",G19-C24,G20-C25)</f>
        <v>308640</v>
      </c>
      <c r="D32" s="2417" t="s">
        <v>2144</v>
      </c>
      <c r="E32" s="138"/>
      <c r="F32" s="138"/>
      <c r="G32" s="138"/>
      <c r="H32" s="138"/>
      <c r="I32" s="138"/>
    </row>
    <row r="33" spans="1:15" ht="14.4">
      <c r="A33" s="946" t="s">
        <v>2145</v>
      </c>
      <c r="B33" s="2418"/>
      <c r="C33" s="2419" t="s">
        <v>3379</v>
      </c>
      <c r="D33" s="2420" t="s">
        <v>3037</v>
      </c>
      <c r="E33" s="2421" t="s">
        <v>2146</v>
      </c>
      <c r="F33" s="2921" t="str">
        <f>IF(D32="楼面单价","取值（单价）","取值（总价）")</f>
        <v>取值（总价）</v>
      </c>
      <c r="G33" s="138"/>
      <c r="H33" s="138"/>
      <c r="I33" s="138"/>
    </row>
    <row r="34" spans="1:15" ht="14.4">
      <c r="A34" s="2423"/>
      <c r="B34" s="2424" t="s">
        <v>2147</v>
      </c>
      <c r="C34" s="157">
        <f ca="1">IF(C33="自定义",F34,C32-C35)</f>
        <v>189196</v>
      </c>
      <c r="D34" s="1044">
        <f ca="1">IF(C33="自定义",ROUND(C34/C32,3),IF(C33="收益比率",SUMIF(INDIRECT("'"&amp;D33&amp;"'"&amp;"!b:b"),"土地收益比率",INDIRECT("'"&amp;D33&amp;"'"&amp;"!c:c")),SUMIF(INDIRECT("'"&amp;D33&amp;"'"&amp;"!b:b"),"土地成本比率",INDIRECT("'"&amp;D33&amp;"'"&amp;"!c:c"))))</f>
        <v>0.61299999999999999</v>
      </c>
      <c r="E34" s="2425" t="s">
        <v>2148</v>
      </c>
      <c r="F34" s="1715"/>
      <c r="G34" s="138"/>
      <c r="H34" s="138"/>
      <c r="I34" s="138"/>
    </row>
    <row r="35" spans="1:15" ht="15" thickBot="1">
      <c r="A35" s="2426"/>
      <c r="B35" s="2427" t="s">
        <v>2149</v>
      </c>
      <c r="C35" s="1421">
        <f ca="1">IF(C33="自定义",F35,ROUND(C32*D35,0))</f>
        <v>119444</v>
      </c>
      <c r="D35" s="1422">
        <f ca="1">IF(C33="自定义",ROUND(C35/C32,3),IF(C33="收益比率",SUMIF(INDIRECT("'"&amp;D33&amp;"'"&amp;"!b:b"),"建筑物收益比率",INDIRECT("'"&amp;D33&amp;"'"&amp;"!c:c")),SUMIF(INDIRECT("'"&amp;D33&amp;"'"&amp;"!b:b"),"建筑物成本比率",INDIRECT("'"&amp;D33&amp;"'"&amp;"!c:c"))))</f>
        <v>0.38700000000000001</v>
      </c>
      <c r="E35" s="2428" t="s">
        <v>2150</v>
      </c>
      <c r="F35" s="163"/>
      <c r="G35" s="138"/>
      <c r="H35" s="138"/>
      <c r="I35" s="138"/>
    </row>
    <row r="36" spans="1:15" ht="15" thickBot="1">
      <c r="A36" s="3571" t="s">
        <v>2151</v>
      </c>
      <c r="B36" s="2429" t="s">
        <v>2152</v>
      </c>
      <c r="C36" s="154"/>
      <c r="D36" s="2430"/>
      <c r="E36" s="2431"/>
      <c r="F36" s="2432"/>
      <c r="G36" s="138"/>
      <c r="H36" s="138"/>
      <c r="I36" s="138"/>
    </row>
    <row r="37" spans="1:15" ht="15" thickBot="1">
      <c r="A37" s="3572"/>
      <c r="B37" s="2238" t="s">
        <v>2153</v>
      </c>
      <c r="C37" s="156"/>
      <c r="D37" s="1372"/>
      <c r="E37" s="1372"/>
      <c r="F37" s="2432"/>
      <c r="G37" s="138"/>
      <c r="H37" s="138"/>
      <c r="I37" s="138"/>
    </row>
    <row r="38" spans="1:15" ht="15" thickBot="1">
      <c r="A38" s="3573"/>
      <c r="B38" s="2433" t="s">
        <v>2154</v>
      </c>
      <c r="C38" s="723"/>
      <c r="D38" s="2434" t="s">
        <v>2155</v>
      </c>
      <c r="E38" s="1372"/>
      <c r="F38" s="2432"/>
      <c r="G38" s="138"/>
      <c r="H38" s="138"/>
      <c r="I38" s="138"/>
    </row>
    <row r="39" spans="1:15" ht="14.4">
      <c r="A39" s="2405" t="s">
        <v>2156</v>
      </c>
      <c r="B39" s="2435" t="s">
        <v>2139</v>
      </c>
      <c r="C39" s="2436" t="s">
        <v>2140</v>
      </c>
      <c r="D39" s="2436" t="s">
        <v>2159</v>
      </c>
      <c r="E39" s="2437" t="s">
        <v>2141</v>
      </c>
      <c r="F39" s="2432"/>
      <c r="G39" s="138"/>
      <c r="H39" s="138"/>
      <c r="I39" s="138"/>
    </row>
    <row r="40" spans="1:15" ht="13.8">
      <c r="A40" s="2438" t="s">
        <v>2161</v>
      </c>
      <c r="B40" s="158"/>
      <c r="C40" s="159"/>
      <c r="D40" s="159"/>
      <c r="E40" s="160"/>
      <c r="F40" s="2432"/>
      <c r="G40" s="138"/>
      <c r="H40" s="138"/>
      <c r="I40" s="138"/>
    </row>
    <row r="41" spans="1:15" ht="13.8">
      <c r="A41" s="2438" t="s">
        <v>2162</v>
      </c>
      <c r="B41" s="158"/>
      <c r="C41" s="159"/>
      <c r="D41" s="159"/>
      <c r="E41" s="160"/>
      <c r="F41" s="2432"/>
      <c r="G41" s="138"/>
      <c r="H41" s="138"/>
      <c r="I41" s="138"/>
    </row>
    <row r="42" spans="1:15" ht="14.4" thickBot="1">
      <c r="A42" s="2439"/>
      <c r="B42" s="161"/>
      <c r="C42" s="162"/>
      <c r="D42" s="162"/>
      <c r="E42" s="163"/>
      <c r="F42" s="2432"/>
      <c r="G42" s="138"/>
      <c r="H42" s="138"/>
      <c r="I42" s="138"/>
    </row>
    <row r="43" spans="1:15" ht="13.2">
      <c r="A43" s="2137"/>
      <c r="B43" s="2137"/>
      <c r="C43" s="2137"/>
      <c r="D43" s="2137"/>
      <c r="E43" s="2137"/>
      <c r="F43" s="2440"/>
      <c r="G43" s="2440"/>
      <c r="H43" s="2440"/>
      <c r="I43" s="2441"/>
    </row>
    <row r="44" spans="1:15" ht="17.399999999999999">
      <c r="A44" s="2442" t="s">
        <v>2163</v>
      </c>
      <c r="B44" s="2443"/>
      <c r="C44" s="2443"/>
      <c r="D44" s="2444"/>
      <c r="E44" s="2444"/>
      <c r="F44" s="2445"/>
      <c r="G44" s="2445"/>
      <c r="H44" s="2445"/>
      <c r="I44" s="2445"/>
      <c r="J44" s="2446" t="s">
        <v>2164</v>
      </c>
      <c r="K44" s="2447"/>
      <c r="L44" s="2447"/>
      <c r="M44" s="2447"/>
      <c r="N44" s="2447"/>
      <c r="O44" s="2447"/>
    </row>
    <row r="45" spans="1:15" ht="14.25" customHeight="1" thickBot="1">
      <c r="A45" s="3550" t="s">
        <v>2165</v>
      </c>
      <c r="B45" s="3551"/>
      <c r="C45" s="3552"/>
      <c r="D45" s="164">
        <f ca="1">ROUND(H101*F45,0)</f>
        <v>308640</v>
      </c>
      <c r="E45" s="165" t="s">
        <v>2166</v>
      </c>
      <c r="F45" s="166">
        <v>1</v>
      </c>
      <c r="G45" s="167" t="s">
        <v>2167</v>
      </c>
      <c r="H45" s="138"/>
      <c r="I45" s="138"/>
      <c r="J45" s="3610" t="s">
        <v>2168</v>
      </c>
      <c r="K45" s="3610"/>
      <c r="L45" s="3610"/>
      <c r="M45" s="3610"/>
      <c r="N45" s="3610"/>
      <c r="O45" s="3610"/>
    </row>
    <row r="46" spans="1:15" ht="14.25" customHeight="1">
      <c r="A46" s="3547" t="s">
        <v>2169</v>
      </c>
      <c r="B46" s="3548"/>
      <c r="C46" s="3548"/>
      <c r="D46" s="3548"/>
      <c r="E46" s="3548"/>
      <c r="F46" s="3548"/>
      <c r="G46" s="3549"/>
      <c r="H46" s="2448"/>
      <c r="I46" s="168"/>
      <c r="J46" s="2933">
        <v>1</v>
      </c>
      <c r="K46" s="3610" t="s">
        <v>2170</v>
      </c>
      <c r="L46" s="3610"/>
      <c r="M46" s="3630"/>
      <c r="N46" s="3630"/>
      <c r="O46" s="3630"/>
    </row>
    <row r="47" spans="1:15" ht="12" customHeight="1">
      <c r="A47" s="169" t="s">
        <v>2171</v>
      </c>
      <c r="B47" s="170"/>
      <c r="C47" s="171"/>
      <c r="D47" s="172" t="s">
        <v>2172</v>
      </c>
      <c r="E47" s="24" t="s">
        <v>2173</v>
      </c>
      <c r="F47" s="173" t="s">
        <v>2174</v>
      </c>
      <c r="G47" s="174" t="s">
        <v>2175</v>
      </c>
      <c r="H47" s="2448"/>
      <c r="I47" s="168"/>
      <c r="J47" s="2933">
        <v>2</v>
      </c>
      <c r="K47" s="3610" t="s">
        <v>2176</v>
      </c>
      <c r="L47" s="3610"/>
      <c r="M47" s="3631">
        <f>'数据-取费表'!B2</f>
        <v>43903</v>
      </c>
      <c r="N47" s="3631"/>
      <c r="O47" s="3631"/>
    </row>
    <row r="48" spans="1:15" ht="26.4">
      <c r="A48" s="3578" t="s">
        <v>2177</v>
      </c>
      <c r="B48" s="3561"/>
      <c r="C48" s="3561"/>
      <c r="D48" s="140">
        <f>IF(H48="情况1",0,IF(H48="情况2",D52,IF(H48="情况3",D53,IF(H48="情况4",D54))))</f>
        <v>0</v>
      </c>
      <c r="E48" s="2925" t="str">
        <f>IF(H48="情况4","(销售额-原购置价)×税（费）率","销售额×税（费）率")</f>
        <v>销售额×税（费）率</v>
      </c>
      <c r="F48" s="175" t="str">
        <f>IF(H48="情况1","免征",'数据-取费表'!B41)</f>
        <v>免征</v>
      </c>
      <c r="G48" s="2449" t="s">
        <v>2178</v>
      </c>
      <c r="H48" s="2450" t="s">
        <v>2179</v>
      </c>
      <c r="I48" s="2448"/>
      <c r="J48" s="2933">
        <v>3</v>
      </c>
      <c r="K48" s="3610" t="s">
        <v>2180</v>
      </c>
      <c r="L48" s="3610"/>
      <c r="M48" s="3632">
        <f ca="1">H101</f>
        <v>308640</v>
      </c>
      <c r="N48" s="3632"/>
      <c r="O48" s="3632"/>
    </row>
    <row r="49" spans="1:35" ht="25.5" customHeight="1">
      <c r="A49" s="176" t="s">
        <v>2181</v>
      </c>
      <c r="B49" s="3546" t="s">
        <v>2182</v>
      </c>
      <c r="C49" s="3546"/>
      <c r="D49" s="177">
        <v>0</v>
      </c>
      <c r="E49" s="23" t="s">
        <v>2183</v>
      </c>
      <c r="F49" s="28" t="s">
        <v>34</v>
      </c>
      <c r="G49" s="3616"/>
      <c r="H49" s="138"/>
      <c r="I49" s="2451"/>
      <c r="J49" s="2933">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178"/>
      <c r="B50" s="3546" t="s">
        <v>2184</v>
      </c>
      <c r="C50" s="3546"/>
      <c r="D50" s="179"/>
      <c r="E50" s="31"/>
      <c r="F50" s="180"/>
      <c r="G50" s="3617"/>
      <c r="H50" s="138"/>
      <c r="I50" s="2451"/>
      <c r="J50" s="3610" t="s">
        <v>2185</v>
      </c>
      <c r="K50" s="3610"/>
      <c r="L50" s="3610"/>
      <c r="M50" s="3610"/>
      <c r="N50" s="3610"/>
      <c r="O50" s="3610"/>
    </row>
    <row r="51" spans="1:35" ht="12" customHeight="1">
      <c r="A51" s="181"/>
      <c r="B51" s="3546" t="s">
        <v>2186</v>
      </c>
      <c r="C51" s="3546"/>
      <c r="D51" s="182"/>
      <c r="E51" s="30"/>
      <c r="F51" s="180"/>
      <c r="G51" s="3618"/>
      <c r="H51" s="138"/>
      <c r="I51" s="2451"/>
      <c r="J51" s="2932" t="s">
        <v>2187</v>
      </c>
      <c r="K51" s="3610" t="s">
        <v>2188</v>
      </c>
      <c r="L51" s="3610"/>
      <c r="M51" s="2932" t="s">
        <v>2189</v>
      </c>
      <c r="N51" s="2932" t="s">
        <v>2190</v>
      </c>
      <c r="O51" s="2932" t="s">
        <v>2191</v>
      </c>
    </row>
    <row r="52" spans="1:35" ht="24" customHeight="1">
      <c r="A52" s="183" t="s">
        <v>2192</v>
      </c>
      <c r="B52" s="3546" t="s">
        <v>2193</v>
      </c>
      <c r="C52" s="3546"/>
      <c r="D52" s="182">
        <f ca="1">ROUND(D45*'数据-取费表'!B41/(1+'数据-取费表'!C42),0)</f>
        <v>16461</v>
      </c>
      <c r="E52" s="11" t="s">
        <v>2194</v>
      </c>
      <c r="F52" s="184">
        <f>'数据-取费表'!B41</f>
        <v>5.6000000000000001E-2</v>
      </c>
      <c r="G52" s="2453"/>
      <c r="H52" s="138"/>
      <c r="I52" s="2451"/>
      <c r="J52" s="2933">
        <v>1</v>
      </c>
      <c r="K52" s="3611" t="s">
        <v>2195</v>
      </c>
      <c r="L52" s="3611"/>
      <c r="M52" s="1730">
        <f>D48</f>
        <v>0</v>
      </c>
      <c r="N52" s="2933" t="str">
        <f>E48</f>
        <v>销售额×税（费）率</v>
      </c>
      <c r="O52" s="1731" t="str">
        <f>F48</f>
        <v>免征</v>
      </c>
    </row>
    <row r="53" spans="1:35" ht="12" customHeight="1">
      <c r="A53" s="183" t="s">
        <v>2196</v>
      </c>
      <c r="B53" s="3569" t="s">
        <v>2197</v>
      </c>
      <c r="C53" s="3570"/>
      <c r="D53" s="182">
        <f ca="1">ROUND(D45*'数据-取费表'!B41/(1+'数据-取费表'!C42),0)</f>
        <v>16461</v>
      </c>
      <c r="E53" s="11" t="s">
        <v>2194</v>
      </c>
      <c r="F53" s="184">
        <f>'数据-取费表'!B41</f>
        <v>5.6000000000000001E-2</v>
      </c>
      <c r="G53" s="2453"/>
      <c r="H53" s="138"/>
      <c r="I53" s="2451"/>
      <c r="J53" s="2933">
        <v>2</v>
      </c>
      <c r="K53" s="3611" t="s">
        <v>2198</v>
      </c>
      <c r="L53" s="3611"/>
      <c r="M53" s="1730">
        <f t="shared" ref="M53:O54" ca="1" si="0">D55</f>
        <v>154</v>
      </c>
      <c r="N53" s="2933" t="str">
        <f t="shared" si="0"/>
        <v>销售额×税（费）率</v>
      </c>
      <c r="O53" s="1731">
        <f t="shared" si="0"/>
        <v>5.0000000000000001E-4</v>
      </c>
    </row>
    <row r="54" spans="1:35" ht="12" customHeight="1">
      <c r="A54" s="183" t="s">
        <v>2199</v>
      </c>
      <c r="B54" s="3569" t="s">
        <v>2200</v>
      </c>
      <c r="C54" s="3570"/>
      <c r="D54" s="182">
        <f ca="1">C68</f>
        <v>16461</v>
      </c>
      <c r="E54" s="30" t="s">
        <v>2201</v>
      </c>
      <c r="F54" s="184">
        <f>'数据-取费表'!B41</f>
        <v>5.6000000000000001E-2</v>
      </c>
      <c r="G54" s="2453"/>
      <c r="H54" s="2454"/>
      <c r="I54" s="2451"/>
      <c r="J54" s="2933">
        <v>3</v>
      </c>
      <c r="K54" s="3611" t="s">
        <v>2202</v>
      </c>
      <c r="L54" s="3611"/>
      <c r="M54" s="1730">
        <f t="shared" ca="1" si="0"/>
        <v>174690</v>
      </c>
      <c r="N54" s="2933" t="str">
        <f t="shared" si="0"/>
        <v>增值额×税（费）率</v>
      </c>
      <c r="O54" s="1732" t="str">
        <f t="shared" si="0"/>
        <v>——</v>
      </c>
    </row>
    <row r="55" spans="1:35" ht="24" customHeight="1">
      <c r="A55" s="3560" t="s">
        <v>2203</v>
      </c>
      <c r="B55" s="3561"/>
      <c r="C55" s="3561"/>
      <c r="D55" s="185">
        <f ca="1">IF(H55="个人住宅",0,ROUND(D45*I55,0))</f>
        <v>154</v>
      </c>
      <c r="E55" s="11" t="s">
        <v>2204</v>
      </c>
      <c r="F55" s="184">
        <f>IF(H55="正常",I55,"免征")</f>
        <v>5.0000000000000001E-4</v>
      </c>
      <c r="G55" s="2453"/>
      <c r="H55" s="2450" t="s">
        <v>2205</v>
      </c>
      <c r="I55" s="186">
        <f>'数据-取费表'!B49</f>
        <v>5.0000000000000001E-4</v>
      </c>
      <c r="J55" s="2933" t="str">
        <f>IF(H59="非个人房产","",4)</f>
        <v/>
      </c>
      <c r="K55" s="3611" t="str">
        <f>IF(H59="非个人房产","——","个人所得税")</f>
        <v>——</v>
      </c>
      <c r="L55" s="3611"/>
      <c r="M55" s="1733" t="str">
        <f>D59</f>
        <v>——</v>
      </c>
      <c r="N55" s="2934" t="str">
        <f>E59</f>
        <v>——</v>
      </c>
      <c r="O55" s="1734" t="str">
        <f>F59</f>
        <v>——</v>
      </c>
    </row>
    <row r="56" spans="1:35" ht="25.2">
      <c r="A56" s="3560" t="s">
        <v>2206</v>
      </c>
      <c r="B56" s="3561"/>
      <c r="C56" s="3561"/>
      <c r="D56" s="185">
        <f ca="1">IF(H56="个人住宅",D57,D58)</f>
        <v>174690</v>
      </c>
      <c r="E56" s="11" t="s">
        <v>2207</v>
      </c>
      <c r="F56" s="184" t="str">
        <f>IF(H56="正常",F58,"免征")</f>
        <v>——</v>
      </c>
      <c r="G56" s="2455" t="s">
        <v>2208</v>
      </c>
      <c r="H56" s="2456" t="s">
        <v>2205</v>
      </c>
      <c r="I56" s="2457"/>
      <c r="J56" s="2933" t="str">
        <f>IF(项目基本情况!K6="上海银行",IF(J55="",4,J55+1),"")</f>
        <v/>
      </c>
      <c r="K56" s="3634" t="str">
        <f>IF(项目基本情况!K6="上海银行","其他处置费用","")</f>
        <v/>
      </c>
      <c r="L56" s="3635"/>
      <c r="M56" s="1730" t="str">
        <f>IF(项目基本情况!K6="上海银行",M69,"")</f>
        <v/>
      </c>
      <c r="N56" s="3637" t="str">
        <f>IF(项目基本情况!K6="上海银行","包含处置中涉及的律师、诉讼、拍卖、评估等费用","")</f>
        <v/>
      </c>
      <c r="O56" s="3638"/>
    </row>
    <row r="57" spans="1:35" ht="13.2">
      <c r="A57" s="183" t="s">
        <v>2181</v>
      </c>
      <c r="B57" s="3576" t="s">
        <v>2209</v>
      </c>
      <c r="C57" s="3585"/>
      <c r="D57" s="187">
        <v>0</v>
      </c>
      <c r="E57" s="23" t="s">
        <v>2183</v>
      </c>
      <c r="F57" s="155"/>
      <c r="G57" s="2453"/>
      <c r="H57" s="2457"/>
      <c r="I57" s="2457"/>
      <c r="J57" s="3611">
        <f>IF(AND(J55="",J56=""),4,IF(项目基本情况!K6="上海银行",结果表办!J56+1,结果表办!J55+1))</f>
        <v>4</v>
      </c>
      <c r="K57" s="3611" t="s">
        <v>2210</v>
      </c>
      <c r="L57" s="2458" t="s">
        <v>2211</v>
      </c>
      <c r="M57" s="1735"/>
      <c r="N57" s="1736">
        <f ca="1">SUMIF(M52:M56,"&lt;9e307")</f>
        <v>174844</v>
      </c>
      <c r="O57" s="2459"/>
      <c r="P57" s="1729" t="e">
        <f ca="1">N57/M49</f>
        <v>#VALUE!</v>
      </c>
    </row>
    <row r="58" spans="1:35" ht="25.2">
      <c r="A58" s="183" t="s">
        <v>2192</v>
      </c>
      <c r="B58" s="3576" t="s">
        <v>2212</v>
      </c>
      <c r="C58" s="3577"/>
      <c r="D58" s="185">
        <f ca="1">IF(H58="转让取得",C81,C97)</f>
        <v>174690</v>
      </c>
      <c r="E58" s="11" t="s">
        <v>2207</v>
      </c>
      <c r="F58" s="24" t="s">
        <v>34</v>
      </c>
      <c r="G58" s="2453"/>
      <c r="H58" s="2456" t="s">
        <v>2213</v>
      </c>
      <c r="I58" s="2457"/>
      <c r="J58" s="3611"/>
      <c r="K58" s="3611"/>
      <c r="L58" s="2458" t="s">
        <v>2214</v>
      </c>
      <c r="M58" s="1737"/>
      <c r="N58" s="2460" t="str">
        <f ca="1">NUMBERSTRING(INT(N57*10000),2)&amp;"元整"</f>
        <v>壹拾柒亿肆仟捌佰肆拾肆万元整</v>
      </c>
      <c r="O58" s="2461"/>
    </row>
    <row r="59" spans="1:35" ht="24.6" thickBot="1">
      <c r="A59" s="3614" t="s">
        <v>2215</v>
      </c>
      <c r="B59" s="3615"/>
      <c r="C59" s="3615"/>
      <c r="D59" s="188" t="str">
        <f>IF(H59="非个人房产","——",IF(H59="个人住宅",0,ROUND(D45*I59,0)))</f>
        <v>——</v>
      </c>
      <c r="E59" s="189" t="str">
        <f>IF(H59="非个人房产","——","销售额×税（费）率")</f>
        <v>——</v>
      </c>
      <c r="F59" s="190" t="str">
        <f>IF(H59="非个人房产","——",IF(H59="个人住宅","免征",I59))</f>
        <v>——</v>
      </c>
      <c r="G59" s="2462" t="s">
        <v>2208</v>
      </c>
      <c r="H59" s="2456" t="s">
        <v>2216</v>
      </c>
      <c r="I59" s="191">
        <v>0.01</v>
      </c>
      <c r="J59" s="3612">
        <f>J57+1</f>
        <v>5</v>
      </c>
      <c r="K59" s="3611" t="s">
        <v>2217</v>
      </c>
      <c r="L59" s="2933" t="s">
        <v>2211</v>
      </c>
      <c r="M59" s="1738"/>
      <c r="N59" s="1739" t="e">
        <f ca="1">M49-N57</f>
        <v>#VALUE!</v>
      </c>
      <c r="O59" s="2463"/>
    </row>
    <row r="60" spans="1:35" ht="12" customHeight="1">
      <c r="A60" s="2464"/>
      <c r="B60" s="2386"/>
      <c r="C60" s="2386"/>
      <c r="D60" s="2386"/>
      <c r="E60" s="2138"/>
      <c r="F60" s="2457"/>
      <c r="G60" s="2457"/>
      <c r="H60" s="2465"/>
      <c r="I60" s="138"/>
      <c r="J60" s="3613"/>
      <c r="K60" s="3611"/>
      <c r="L60" s="2458" t="s">
        <v>2214</v>
      </c>
      <c r="M60" s="1737"/>
      <c r="N60" s="2460" t="e">
        <f ca="1">NUMBERSTRING(INT(N59*10000),2)&amp;"元整"</f>
        <v>#VALUE!</v>
      </c>
      <c r="O60" s="2461"/>
    </row>
    <row r="61" spans="1:35" ht="13.8" thickBot="1">
      <c r="A61" s="3558" t="s">
        <v>2218</v>
      </c>
      <c r="B61" s="3558"/>
      <c r="C61" s="3558"/>
      <c r="D61" s="3558"/>
      <c r="E61" s="3558"/>
      <c r="F61" s="2457"/>
      <c r="G61" s="2457"/>
      <c r="H61" s="2465"/>
      <c r="I61" s="138"/>
      <c r="J61" s="2933">
        <f>J59+1</f>
        <v>6</v>
      </c>
      <c r="K61" s="3611" t="s">
        <v>2219</v>
      </c>
      <c r="L61" s="3611"/>
      <c r="M61" s="1740"/>
      <c r="N61" s="1741" t="e">
        <f ca="1">ROUND(N59*10000/'数据-汇总表'!E3,0)</f>
        <v>#VALUE!</v>
      </c>
      <c r="O61" s="2466"/>
    </row>
    <row r="62" spans="1:35" ht="13.2">
      <c r="A62" s="3574" t="s">
        <v>2220</v>
      </c>
      <c r="B62" s="3575"/>
      <c r="C62" s="2928"/>
      <c r="D62" s="2928" t="s">
        <v>2221</v>
      </c>
      <c r="E62" s="192" t="s">
        <v>2222</v>
      </c>
      <c r="F62" s="2457"/>
      <c r="G62" s="2457"/>
      <c r="H62" s="2465"/>
      <c r="I62" s="138"/>
    </row>
    <row r="63" spans="1:35" ht="13.2">
      <c r="A63" s="203" t="s">
        <v>775</v>
      </c>
      <c r="B63" s="193" t="s">
        <v>2223</v>
      </c>
      <c r="C63" s="194">
        <f ca="1">ROUND((C64+C65)/(1+'数据-取费表'!C42),0)</f>
        <v>293943</v>
      </c>
      <c r="D63" s="195"/>
      <c r="E63" s="196"/>
      <c r="F63" s="2457"/>
      <c r="G63" s="2457"/>
      <c r="H63" s="2465"/>
      <c r="I63" s="138"/>
      <c r="J63" s="3636" t="s">
        <v>2224</v>
      </c>
      <c r="K63" s="2937" t="s">
        <v>2225</v>
      </c>
      <c r="L63" s="1728" t="e">
        <f>IF(M49&gt;10000,M49*0.5%,IF(AND(M49&gt;1000,M49&lt;=10000),M49*1%,IF(AND(M49&gt;100,M49&lt;=1000),M49*3%,IF(AND(M49&gt;10,M49&lt;=100),M49*5%,M49*8%))))</f>
        <v>#VALUE!</v>
      </c>
      <c r="M63" s="24" t="e">
        <f>ROUND(L63,1)</f>
        <v>#VALUE!</v>
      </c>
      <c r="Z63" s="2391"/>
      <c r="AI63" s="2392"/>
    </row>
    <row r="64" spans="1:35" ht="14.25" customHeight="1">
      <c r="A64" s="197" t="s">
        <v>770</v>
      </c>
      <c r="B64" s="198" t="s">
        <v>2226</v>
      </c>
      <c r="C64" s="199">
        <f ca="1">D45</f>
        <v>308640</v>
      </c>
      <c r="D64" s="200" t="s">
        <v>32</v>
      </c>
      <c r="E64" s="201"/>
      <c r="F64" s="2457"/>
      <c r="G64" s="2457"/>
      <c r="H64" s="2465"/>
      <c r="I64" s="138"/>
      <c r="J64" s="3636"/>
      <c r="K64" s="2937" t="s">
        <v>2227</v>
      </c>
      <c r="L64" s="172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2228</v>
      </c>
      <c r="Z64" s="2391"/>
      <c r="AI64" s="2392"/>
    </row>
    <row r="65" spans="1:35" ht="14.25" customHeight="1">
      <c r="A65" s="197" t="s">
        <v>771</v>
      </c>
      <c r="B65" s="198" t="s">
        <v>2229</v>
      </c>
      <c r="C65" s="202"/>
      <c r="D65" s="200"/>
      <c r="E65" s="201"/>
      <c r="F65" s="2457"/>
      <c r="G65" s="2457"/>
      <c r="H65" s="2465"/>
      <c r="I65" s="138"/>
      <c r="J65" s="3636"/>
      <c r="K65" s="2937" t="s">
        <v>2230</v>
      </c>
      <c r="L65" s="1728" t="e">
        <f>IF(M49&gt;1000,M49*0.1%,IF(AND(M49&gt;500,M49&lt;=1000),M49*0.5%,IF(AND(M49&gt;50,M49&lt;=500),M49*1%,IF(AND(M49&gt;1,M49&lt;=50),M49*1.5%))))</f>
        <v>#VALUE!</v>
      </c>
      <c r="M65" s="24" t="e">
        <f t="shared" si="1"/>
        <v>#VALUE!</v>
      </c>
      <c r="N65" s="138" t="s">
        <v>2228</v>
      </c>
      <c r="Z65" s="2391"/>
      <c r="AI65" s="2392"/>
    </row>
    <row r="66" spans="1:35" ht="14.25" customHeight="1">
      <c r="A66" s="203" t="s">
        <v>772</v>
      </c>
      <c r="B66" s="204" t="s">
        <v>2231</v>
      </c>
      <c r="C66" s="205"/>
      <c r="D66" s="206" t="s">
        <v>32</v>
      </c>
      <c r="E66" s="1751" t="s">
        <v>1356</v>
      </c>
      <c r="F66" s="2457"/>
      <c r="G66" s="2457"/>
      <c r="H66" s="2465"/>
      <c r="I66" s="138"/>
      <c r="J66" s="3636"/>
      <c r="K66" s="2937" t="s">
        <v>2232</v>
      </c>
      <c r="L66" s="1728" t="e">
        <f>M49*0.5%</f>
        <v>#VALUE!</v>
      </c>
      <c r="M66" s="24" t="e">
        <f>IF(L66&gt;0.5,0.5,ROUND(L66,0))</f>
        <v>#VALUE!</v>
      </c>
      <c r="N66" s="138" t="s">
        <v>2233</v>
      </c>
      <c r="Z66" s="2391"/>
      <c r="AI66" s="2392"/>
    </row>
    <row r="67" spans="1:35" ht="14.25" customHeight="1">
      <c r="A67" s="203" t="s">
        <v>773</v>
      </c>
      <c r="B67" s="204" t="s">
        <v>2234</v>
      </c>
      <c r="C67" s="207">
        <f ca="1">C63-C66</f>
        <v>293943</v>
      </c>
      <c r="D67" s="200" t="s">
        <v>32</v>
      </c>
      <c r="E67" s="201"/>
      <c r="F67" s="2457"/>
      <c r="G67" s="2457"/>
      <c r="H67" s="2465"/>
      <c r="I67" s="138"/>
      <c r="J67" s="3636"/>
      <c r="K67" s="2937" t="s">
        <v>2235</v>
      </c>
      <c r="L67" s="172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91"/>
      <c r="AI67" s="2392"/>
    </row>
    <row r="68" spans="1:35" ht="14.25" customHeight="1" thickBot="1">
      <c r="A68" s="208" t="s">
        <v>774</v>
      </c>
      <c r="B68" s="209" t="s">
        <v>2236</v>
      </c>
      <c r="C68" s="210">
        <f ca="1">IF(C67&lt;=0,0,ROUND(C67*D68,0))</f>
        <v>16461</v>
      </c>
      <c r="D68" s="211">
        <f>'数据-取费表'!B41</f>
        <v>5.6000000000000001E-2</v>
      </c>
      <c r="E68" s="212"/>
      <c r="F68" s="2457"/>
      <c r="G68" s="2457"/>
      <c r="H68" s="2465"/>
      <c r="I68" s="138"/>
      <c r="J68" s="3636"/>
      <c r="K68" s="2937" t="s">
        <v>2237</v>
      </c>
      <c r="L68" s="1728" t="e">
        <f>IF(M49&gt;10000,M49*0.5%,IF(AND(M49&gt;5000,M49&lt;=10000),M49*1%,IF(AND(M49&gt;1000,M49&lt;=5000),M49*2%,IF(AND(M49&gt;200,M49&lt;=1000),M49*3%,M49*5%))))</f>
        <v>#VALUE!</v>
      </c>
      <c r="M68" s="24" t="e">
        <f>ROUND(L68,1)</f>
        <v>#VALUE!</v>
      </c>
      <c r="Z68" s="2391"/>
      <c r="AI68" s="2392"/>
    </row>
    <row r="69" spans="1:35" s="2414" customFormat="1" ht="16.5" customHeight="1">
      <c r="A69" s="2468"/>
      <c r="B69" s="2469"/>
      <c r="C69" s="2470"/>
      <c r="D69" s="2471"/>
      <c r="E69" s="2472"/>
      <c r="F69" s="2138"/>
      <c r="G69" s="2138"/>
      <c r="H69" s="2137"/>
      <c r="I69" s="2386"/>
      <c r="J69" s="3636"/>
      <c r="K69" s="2937" t="s">
        <v>2238</v>
      </c>
      <c r="L69" s="2473"/>
      <c r="M69" s="24" t="e">
        <f>ROUND(SUM(M63:M68),0)</f>
        <v>#VALUE!</v>
      </c>
      <c r="N69" s="1729" t="e">
        <f>M69/M49</f>
        <v>#VALUE!</v>
      </c>
      <c r="O69" s="790"/>
      <c r="P69" s="790"/>
      <c r="Q69" s="790"/>
      <c r="R69" s="790"/>
      <c r="S69" s="790"/>
      <c r="T69" s="790"/>
      <c r="U69" s="790"/>
      <c r="V69" s="790"/>
      <c r="W69" s="790"/>
      <c r="X69" s="790"/>
      <c r="Y69" s="790"/>
      <c r="Z69" s="2391"/>
      <c r="AA69" s="2391"/>
      <c r="AB69" s="2391"/>
      <c r="AC69" s="2391"/>
      <c r="AD69" s="2391"/>
      <c r="AE69" s="2391"/>
      <c r="AF69" s="2391"/>
      <c r="AG69" s="2391"/>
      <c r="AH69" s="2391"/>
    </row>
    <row r="70" spans="1:35" s="2475" customFormat="1" ht="14.4" thickBot="1">
      <c r="A70" s="3595" t="s">
        <v>2239</v>
      </c>
      <c r="B70" s="3596"/>
      <c r="C70" s="3596"/>
      <c r="D70" s="3596"/>
      <c r="E70" s="3596"/>
      <c r="F70" s="3596"/>
      <c r="G70" s="3596"/>
      <c r="H70" s="3596"/>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574" t="s">
        <v>2220</v>
      </c>
      <c r="B71" s="3575"/>
      <c r="C71" s="2928"/>
      <c r="D71" s="2928" t="s">
        <v>2221</v>
      </c>
      <c r="E71" s="213" t="s">
        <v>2222</v>
      </c>
      <c r="F71" s="214"/>
      <c r="G71" s="214"/>
      <c r="H71" s="215"/>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203" t="s">
        <v>775</v>
      </c>
      <c r="B72" s="204" t="s">
        <v>2240</v>
      </c>
      <c r="C72" s="207">
        <f ca="1">ROUND(D45/(1+'数据-取费表'!C42),0)</f>
        <v>293943</v>
      </c>
      <c r="D72" s="200" t="s">
        <v>32</v>
      </c>
      <c r="E72" s="2927"/>
      <c r="F72" s="2922"/>
      <c r="G72" s="2922"/>
      <c r="H72" s="216"/>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203" t="s">
        <v>772</v>
      </c>
      <c r="B73" s="173" t="s">
        <v>2241</v>
      </c>
      <c r="C73" s="207">
        <f ca="1">C74+C78</f>
        <v>1764</v>
      </c>
      <c r="D73" s="200" t="s">
        <v>32</v>
      </c>
      <c r="E73" s="2927"/>
      <c r="F73" s="2922"/>
      <c r="G73" s="2922"/>
      <c r="H73" s="216"/>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17" t="s">
        <v>770</v>
      </c>
      <c r="B74" s="198" t="s">
        <v>2242</v>
      </c>
      <c r="C74" s="200">
        <f>ROUND(IF(G77="2016年5月1日后购买",C75/(1+'数据-取费表'!C42)+C76+C77,C75+C76+C77),0)</f>
        <v>0</v>
      </c>
      <c r="D74" s="200" t="s">
        <v>32</v>
      </c>
      <c r="E74" s="2927"/>
      <c r="F74" s="2922"/>
      <c r="G74" s="2922"/>
      <c r="H74" s="216"/>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17" t="s">
        <v>776</v>
      </c>
      <c r="B75" s="198" t="s">
        <v>2243</v>
      </c>
      <c r="C75" s="218"/>
      <c r="D75" s="200" t="s">
        <v>32</v>
      </c>
      <c r="E75" s="219" t="s">
        <v>2244</v>
      </c>
      <c r="F75" s="2479" t="s">
        <v>2245</v>
      </c>
      <c r="G75" s="219" t="s">
        <v>2246</v>
      </c>
      <c r="H75" s="220"/>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17" t="s">
        <v>777</v>
      </c>
      <c r="B76" s="221" t="s">
        <v>2247</v>
      </c>
      <c r="C76" s="200">
        <f>IF(F75="购房发票",ROUND(C75*H75*D76,0),0)</f>
        <v>0</v>
      </c>
      <c r="D76" s="222">
        <v>0.05</v>
      </c>
      <c r="E76" s="3569" t="s">
        <v>2248</v>
      </c>
      <c r="F76" s="3546"/>
      <c r="G76" s="3546"/>
      <c r="H76" s="3594"/>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17" t="s">
        <v>778</v>
      </c>
      <c r="B77" s="198" t="s">
        <v>2249</v>
      </c>
      <c r="C77" s="200">
        <f>ROUND(IF(G77="个人住宅",0,IF(G77="2016年5月1日前购买",C75*D77,C75*D77/(1+'数据-取费表'!C42))),0)</f>
        <v>0</v>
      </c>
      <c r="D77" s="223">
        <f>'数据-取费表'!B48+'数据-取费表'!B49</f>
        <v>3.0499999999999999E-2</v>
      </c>
      <c r="E77" s="2938" t="s">
        <v>2250</v>
      </c>
      <c r="F77" s="224"/>
      <c r="G77" s="2481" t="s">
        <v>2251</v>
      </c>
      <c r="H77" s="2930"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17" t="s">
        <v>771</v>
      </c>
      <c r="B78" s="198" t="s">
        <v>2252</v>
      </c>
      <c r="C78" s="225">
        <f ca="1">ROUND(D45*D78/(1+'数据-取费表'!C42),0)</f>
        <v>1764</v>
      </c>
      <c r="D78" s="226">
        <f>'数据-取费表'!B43</f>
        <v>6.000000000000001E-3</v>
      </c>
      <c r="E78" s="3555" t="s">
        <v>2253</v>
      </c>
      <c r="F78" s="3556"/>
      <c r="G78" s="3556"/>
      <c r="H78" s="3565"/>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773</v>
      </c>
      <c r="B79" s="204" t="s">
        <v>2254</v>
      </c>
      <c r="C79" s="207">
        <f ca="1">C72-C73</f>
        <v>292179</v>
      </c>
      <c r="D79" s="200" t="s">
        <v>32</v>
      </c>
      <c r="E79" s="2927"/>
      <c r="F79" s="2922"/>
      <c r="G79" s="2922"/>
      <c r="H79" s="216"/>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204" t="s">
        <v>2255</v>
      </c>
      <c r="C80" s="227">
        <f ca="1">IF(C79&lt;=0,0,C79/C73)</f>
        <v>165.6343537414966</v>
      </c>
      <c r="D80" s="200" t="s">
        <v>32</v>
      </c>
      <c r="E80" s="2938" t="str">
        <f ca="1">IF(C80&gt;=200%,"增值额超过扣除项目金额200%",IF(C80&gt;=100%,"增值额超过扣除项目金额100%，未超过200%",IF(C80&gt;=50%,"增值额超过扣除项目金额50%，未超过100%",IF(C80&lt;50%,"增值额未超过扣除项目金额50%"))))</f>
        <v>增值额超过扣除项目金额200%</v>
      </c>
      <c r="F80" s="2922"/>
      <c r="G80" s="2922"/>
      <c r="H80" s="216"/>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209" t="s">
        <v>2256</v>
      </c>
      <c r="C81" s="228">
        <f ca="1">ROUND(IF(C79&lt;=0,0,IF(C80&gt;=200%,C79*60%-C73*35%,IF(C80&gt;=100%,C79*50%-C73*15%,IF(C80&gt;=50%,C79*40%-C73*5%,IF(C80&lt;50%,C79*30%,0))))),0)</f>
        <v>174690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29"/>
      <c r="B82" s="730"/>
      <c r="C82" s="7"/>
      <c r="D82" s="7"/>
      <c r="E82" s="730"/>
      <c r="F82" s="730"/>
      <c r="G82" s="730"/>
      <c r="H82" s="731"/>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595" t="s">
        <v>2257</v>
      </c>
      <c r="B83" s="3596"/>
      <c r="C83" s="3596"/>
      <c r="D83" s="3596"/>
      <c r="E83" s="3596"/>
      <c r="F83" s="3596"/>
      <c r="G83" s="3596"/>
      <c r="H83" s="3596"/>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574" t="s">
        <v>2220</v>
      </c>
      <c r="B84" s="3575"/>
      <c r="C84" s="2928"/>
      <c r="D84" s="2928" t="s">
        <v>2221</v>
      </c>
      <c r="E84" s="213" t="s">
        <v>2222</v>
      </c>
      <c r="F84" s="214"/>
      <c r="G84" s="214"/>
      <c r="H84" s="233"/>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203" t="s">
        <v>775</v>
      </c>
      <c r="B85" s="204" t="s">
        <v>2240</v>
      </c>
      <c r="C85" s="207">
        <f ca="1">ROUND(D45/(1+'数据-取费表'!C42),0)</f>
        <v>293943</v>
      </c>
      <c r="D85" s="200" t="s">
        <v>32</v>
      </c>
      <c r="E85" s="2927"/>
      <c r="F85" s="2922"/>
      <c r="G85" s="2922"/>
      <c r="H85" s="234"/>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203" t="s">
        <v>772</v>
      </c>
      <c r="B86" s="173" t="s">
        <v>2241</v>
      </c>
      <c r="C86" s="207">
        <f ca="1">IF(H88="仅含出让金",C87+C90+C91+C92+C93+C94,C87+C91+C92+C93+C94)</f>
        <v>1764</v>
      </c>
      <c r="D86" s="235"/>
      <c r="E86" s="2927"/>
      <c r="F86" s="2922"/>
      <c r="G86" s="2922"/>
      <c r="H86" s="234"/>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17" t="s">
        <v>770</v>
      </c>
      <c r="B87" s="198" t="s">
        <v>2258</v>
      </c>
      <c r="C87" s="225">
        <f>C88+C89</f>
        <v>0</v>
      </c>
      <c r="D87" s="226"/>
      <c r="E87" s="2923"/>
      <c r="F87" s="2924"/>
      <c r="G87" s="2924"/>
      <c r="H87" s="2926"/>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17" t="s">
        <v>776</v>
      </c>
      <c r="B88" s="198" t="s">
        <v>2259</v>
      </c>
      <c r="C88" s="236"/>
      <c r="D88" s="226"/>
      <c r="E88" s="237" t="s">
        <v>2260</v>
      </c>
      <c r="F88" s="2924"/>
      <c r="G88" s="238" t="s">
        <v>2261</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17" t="s">
        <v>777</v>
      </c>
      <c r="B89" s="198" t="s">
        <v>2249</v>
      </c>
      <c r="C89" s="225">
        <f>ROUND(C88*D89,0)</f>
        <v>0</v>
      </c>
      <c r="D89" s="226">
        <f>'数据-取费表'!B48+'数据-取费表'!B49</f>
        <v>3.0499999999999999E-2</v>
      </c>
      <c r="E89" s="237" t="s">
        <v>2262</v>
      </c>
      <c r="F89" s="2924"/>
      <c r="G89" s="2924"/>
      <c r="H89" s="2926"/>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17" t="s">
        <v>771</v>
      </c>
      <c r="B90" s="198" t="s">
        <v>2263</v>
      </c>
      <c r="C90" s="236"/>
      <c r="D90" s="226"/>
      <c r="E90" s="237" t="str">
        <f>IF(H88="-","土地取得成本中已包含该笔费用"," ")</f>
        <v xml:space="preserve"> </v>
      </c>
      <c r="F90" s="2924"/>
      <c r="G90" s="2924"/>
      <c r="H90" s="2926"/>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17" t="s">
        <v>2264</v>
      </c>
      <c r="B91" s="198" t="s">
        <v>2265</v>
      </c>
      <c r="C91" s="225">
        <f>IF(H91="——",成本法商租!C33,I91)</f>
        <v>0</v>
      </c>
      <c r="D91" s="226"/>
      <c r="E91" s="3555" t="s">
        <v>2266</v>
      </c>
      <c r="F91" s="3556"/>
      <c r="G91" s="3556"/>
      <c r="H91" s="2486" t="s">
        <v>2267</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17" t="s">
        <v>2268</v>
      </c>
      <c r="B92" s="198" t="s">
        <v>2269</v>
      </c>
      <c r="C92" s="225">
        <f>ROUND((C87+C90+C91)*D92,0)</f>
        <v>0</v>
      </c>
      <c r="D92" s="226">
        <v>0.1</v>
      </c>
      <c r="E92" s="3555" t="s">
        <v>2270</v>
      </c>
      <c r="F92" s="3556"/>
      <c r="G92" s="3556"/>
      <c r="H92" s="3565"/>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17" t="s">
        <v>2271</v>
      </c>
      <c r="B93" s="198" t="s">
        <v>2252</v>
      </c>
      <c r="C93" s="225">
        <f ca="1">ROUND(D45*D93/(1+'数据-取费表'!C42),0)</f>
        <v>1764</v>
      </c>
      <c r="D93" s="226">
        <f>'数据-取费表'!B43</f>
        <v>6.000000000000001E-3</v>
      </c>
      <c r="E93" s="3555" t="s">
        <v>2253</v>
      </c>
      <c r="F93" s="3556"/>
      <c r="G93" s="3556"/>
      <c r="H93" s="3565"/>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17" t="s">
        <v>2272</v>
      </c>
      <c r="B94" s="198" t="s">
        <v>2273</v>
      </c>
      <c r="C94" s="236">
        <f>ROUND((C87+C90+C91)*D94,0)</f>
        <v>0</v>
      </c>
      <c r="D94" s="226">
        <v>0.2</v>
      </c>
      <c r="E94" s="3566" t="s">
        <v>2274</v>
      </c>
      <c r="F94" s="3567"/>
      <c r="G94" s="3567"/>
      <c r="H94" s="3568"/>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773</v>
      </c>
      <c r="B95" s="204" t="s">
        <v>2254</v>
      </c>
      <c r="C95" s="207">
        <f ca="1">ROUND(C85-C86,0)</f>
        <v>292179</v>
      </c>
      <c r="D95" s="200" t="s">
        <v>32</v>
      </c>
      <c r="E95" s="2927"/>
      <c r="F95" s="2922"/>
      <c r="G95" s="2922"/>
      <c r="H95" s="234"/>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204" t="s">
        <v>2255</v>
      </c>
      <c r="C96" s="227">
        <f ca="1">IF(C95&lt;=0,0,C95/C86)</f>
        <v>165.6343537414966</v>
      </c>
      <c r="D96" s="200" t="s">
        <v>32</v>
      </c>
      <c r="E96" s="2938" t="str">
        <f ca="1">IF(C96&gt;=200%,"增值额超过扣除项目金额200%",IF(C96&gt;=100%,"增值额超过扣除项目金额100%，未超过200%",IF(C96&gt;=50%,"增值额超过扣除项目金额50%，未超过100%",IF(C96&lt;50%,"增值额未超过扣除项目金额50%"))))</f>
        <v>增值额超过扣除项目金额200%</v>
      </c>
      <c r="F96" s="2922"/>
      <c r="G96" s="2922"/>
      <c r="H96" s="234"/>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209" t="s">
        <v>2256</v>
      </c>
      <c r="C97" s="228">
        <f ca="1">ROUND(IF(C95&lt;=0,0,IF(C96&gt;=200%,C95*60%-C86*35%,IF(C96&gt;=100%,C95*50%-C86*15%,IF(C96&gt;=50%,C95*40%-C86*5%,IF(C96&lt;50%,C95*30%,0))))),0)</f>
        <v>174690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8"/>
      <c r="F98" s="2138"/>
      <c r="G98" s="2138"/>
      <c r="H98" s="2137"/>
      <c r="I98" s="138"/>
    </row>
    <row r="99" spans="1:35" ht="21.75" customHeight="1" thickBot="1">
      <c r="A99" s="2442" t="s">
        <v>2275</v>
      </c>
      <c r="B99" s="2386"/>
      <c r="C99" s="2386"/>
      <c r="D99" s="2386"/>
      <c r="E99" s="2138"/>
      <c r="F99" s="2138"/>
      <c r="G99" s="2138"/>
      <c r="H99" s="2137"/>
      <c r="I99" s="138"/>
    </row>
    <row r="100" spans="1:35" ht="18.75" customHeight="1">
      <c r="A100" s="3530" t="s">
        <v>2276</v>
      </c>
      <c r="B100" s="3531"/>
      <c r="C100" s="3531"/>
      <c r="D100" s="3557"/>
      <c r="E100" s="3531" t="s">
        <v>2277</v>
      </c>
      <c r="F100" s="3531"/>
      <c r="G100" s="3531"/>
      <c r="H100" s="3557"/>
      <c r="I100" s="138"/>
    </row>
    <row r="101" spans="1:35" ht="18.75" customHeight="1">
      <c r="A101" s="3619" t="s">
        <v>2278</v>
      </c>
      <c r="B101" s="3620"/>
      <c r="C101" s="732" t="str">
        <f>C4</f>
        <v>比较法-办公</v>
      </c>
      <c r="D101" s="733" t="str">
        <f>D4</f>
        <v>收益法办</v>
      </c>
      <c r="E101" s="3633" t="s">
        <v>2279</v>
      </c>
      <c r="F101" s="3587"/>
      <c r="G101" s="2488" t="s">
        <v>2280</v>
      </c>
      <c r="H101" s="1034">
        <f ca="1">H118</f>
        <v>308640</v>
      </c>
      <c r="I101" s="138"/>
    </row>
    <row r="102" spans="1:35" ht="18.75" customHeight="1">
      <c r="A102" s="3589" t="s">
        <v>2281</v>
      </c>
      <c r="B102" s="2488" t="s">
        <v>2280</v>
      </c>
      <c r="C102" s="732">
        <f ca="1">C19</f>
        <v>364091</v>
      </c>
      <c r="D102" s="733">
        <f ca="1">D19</f>
        <v>240866</v>
      </c>
      <c r="E102" s="3633"/>
      <c r="F102" s="3587"/>
      <c r="G102" s="2488" t="s">
        <v>2282</v>
      </c>
      <c r="H102" s="371">
        <f ca="1">I118</f>
        <v>37352</v>
      </c>
      <c r="I102" s="138"/>
    </row>
    <row r="103" spans="1:35" ht="42.75" customHeight="1">
      <c r="A103" s="3589"/>
      <c r="B103" s="2488" t="s">
        <v>2282</v>
      </c>
      <c r="C103" s="734">
        <f ca="1">C20</f>
        <v>44063</v>
      </c>
      <c r="D103" s="735">
        <f ca="1">D20</f>
        <v>29150</v>
      </c>
      <c r="E103" s="3628" t="s">
        <v>2283</v>
      </c>
      <c r="F103" s="3629"/>
      <c r="G103" s="2489" t="s">
        <v>2284</v>
      </c>
      <c r="H103" s="1034">
        <f>IF(D36="正常操作",H104+H105+H106,H105+H106)</f>
        <v>0</v>
      </c>
      <c r="I103" s="138"/>
    </row>
    <row r="104" spans="1:35" ht="18.75" customHeight="1">
      <c r="A104" s="3589" t="s">
        <v>2285</v>
      </c>
      <c r="B104" s="2490" t="s">
        <v>2280</v>
      </c>
      <c r="C104" s="736">
        <f ca="1">H118</f>
        <v>308640</v>
      </c>
      <c r="D104" s="737"/>
      <c r="E104" s="2238" t="s">
        <v>2286</v>
      </c>
      <c r="F104" s="2230"/>
      <c r="G104" s="2489" t="s">
        <v>2284</v>
      </c>
      <c r="H104" s="1035">
        <f>IF(D36="同一抵押权人同一抵押物续贷",C36&amp;"（未扣减，详见特别提示）",C36)</f>
        <v>0</v>
      </c>
      <c r="I104" s="138"/>
    </row>
    <row r="105" spans="1:35" ht="18.75" customHeight="1" thickBot="1">
      <c r="A105" s="3590"/>
      <c r="B105" s="2491" t="s">
        <v>2282</v>
      </c>
      <c r="C105" s="738">
        <f ca="1">I118</f>
        <v>37352</v>
      </c>
      <c r="D105" s="739"/>
      <c r="E105" s="2238" t="s">
        <v>2287</v>
      </c>
      <c r="F105" s="2230"/>
      <c r="G105" s="2489" t="s">
        <v>2284</v>
      </c>
      <c r="H105" s="1035">
        <f>C37</f>
        <v>0</v>
      </c>
      <c r="I105" s="138"/>
    </row>
    <row r="106" spans="1:35" ht="18.75" customHeight="1">
      <c r="A106" s="2386" t="s">
        <v>2288</v>
      </c>
      <c r="B106" s="2386"/>
      <c r="C106" s="2386"/>
      <c r="D106" s="2386"/>
      <c r="E106" s="2492" t="s">
        <v>2289</v>
      </c>
      <c r="F106" s="2230"/>
      <c r="G106" s="2489" t="s">
        <v>2284</v>
      </c>
      <c r="H106" s="1035">
        <f>C38</f>
        <v>0</v>
      </c>
      <c r="I106" s="138"/>
    </row>
    <row r="107" spans="1:35" ht="18.75" customHeight="1">
      <c r="A107" s="138"/>
      <c r="B107" s="138"/>
      <c r="C107" s="138"/>
      <c r="D107" s="138"/>
      <c r="E107" s="3586" t="str">
        <f>IF(项目基本情况!E8="已注销","——","3.房地产抵押价值")</f>
        <v>3.房地产抵押价值</v>
      </c>
      <c r="F107" s="3587"/>
      <c r="G107" s="2488" t="s">
        <v>2280</v>
      </c>
      <c r="H107" s="1034">
        <f ca="1">IF(E107="——","——",H101-H103)</f>
        <v>308640</v>
      </c>
      <c r="I107" s="138"/>
    </row>
    <row r="108" spans="1:35" ht="18.75" customHeight="1">
      <c r="A108" s="138"/>
      <c r="B108" s="138"/>
      <c r="C108" s="138"/>
      <c r="D108" s="138"/>
      <c r="E108" s="3586"/>
      <c r="F108" s="3587"/>
      <c r="G108" s="2488" t="s">
        <v>2282</v>
      </c>
      <c r="H108" s="371">
        <f ca="1">ROUND(H107*10000/'数据-汇总表'!E3,0)</f>
        <v>18542</v>
      </c>
      <c r="I108" s="138"/>
    </row>
    <row r="109" spans="1:35" ht="18.75" customHeight="1">
      <c r="A109" s="138"/>
      <c r="B109" s="138"/>
      <c r="C109" s="138"/>
      <c r="D109" s="138"/>
      <c r="E109" s="3586" t="str">
        <f>IF(项目基本情况!E8="已注销及未注销","4.抵押担保权已注销时的房地产抵押价值",IF(项目基本情况!E8="已注销","3.抵押担保权已注销时的房地产抵押价值","——"))</f>
        <v>——</v>
      </c>
      <c r="F109" s="3587"/>
      <c r="G109" s="2488" t="s">
        <v>2280</v>
      </c>
      <c r="H109" s="348" t="str">
        <f>IF(E109="——","——",H101-H105-H106)</f>
        <v>——</v>
      </c>
      <c r="I109" s="138"/>
    </row>
    <row r="110" spans="1:35" ht="18.75" customHeight="1">
      <c r="A110" s="138"/>
      <c r="B110" s="138"/>
      <c r="C110" s="138"/>
      <c r="D110" s="138"/>
      <c r="E110" s="3586"/>
      <c r="F110" s="3587"/>
      <c r="G110" s="2488" t="s">
        <v>2282</v>
      </c>
      <c r="H110" s="371" t="str">
        <f>IF(H109="——","——",ROUND(H109*10000/'数据-汇总表'!E3,0))</f>
        <v>——</v>
      </c>
      <c r="I110" s="138"/>
    </row>
    <row r="111" spans="1:35" ht="18.75" customHeight="1">
      <c r="A111" s="138"/>
      <c r="B111" s="138"/>
      <c r="C111" s="138"/>
      <c r="D111" s="138"/>
      <c r="E111" s="3621" t="str">
        <f>IF(项目基本情况!E9="抵押净值",IF(OR(项目基本情况!E8="已注销",项目基本情况!E8="房地产抵押价值"),"4.抵押净值","5.抵押净值"),"——")</f>
        <v>——</v>
      </c>
      <c r="F111" s="3622"/>
      <c r="G111" s="2488" t="s">
        <v>2280</v>
      </c>
      <c r="H111" s="1034" t="str">
        <f>IF(E111="——","——",N59)</f>
        <v>——</v>
      </c>
      <c r="I111" s="138"/>
    </row>
    <row r="112" spans="1:35" ht="18.75" customHeight="1" thickBot="1">
      <c r="A112" s="138"/>
      <c r="B112" s="138"/>
      <c r="C112" s="138"/>
      <c r="D112" s="138"/>
      <c r="E112" s="3623"/>
      <c r="F112" s="3624"/>
      <c r="G112" s="2493" t="s">
        <v>2282</v>
      </c>
      <c r="H112" s="785" t="str">
        <f>IF(E111="——","——",N61)</f>
        <v>——</v>
      </c>
      <c r="I112" s="138"/>
    </row>
    <row r="113" spans="1:11" ht="18.75" customHeight="1">
      <c r="A113" s="138"/>
      <c r="B113" s="138"/>
      <c r="C113" s="138"/>
      <c r="D113" s="138"/>
      <c r="E113" s="3591" t="s">
        <v>2288</v>
      </c>
      <c r="F113" s="3591"/>
      <c r="G113" s="3591"/>
      <c r="H113" s="3591"/>
      <c r="I113" s="138"/>
    </row>
    <row r="114" spans="1:11" ht="3.75" customHeight="1">
      <c r="A114" s="2386"/>
      <c r="B114" s="2386"/>
      <c r="C114" s="2386"/>
      <c r="D114" s="2386"/>
      <c r="E114" s="2464"/>
      <c r="F114" s="2464"/>
      <c r="G114" s="2464"/>
      <c r="H114" s="2464"/>
      <c r="I114" s="2386"/>
    </row>
    <row r="115" spans="1:11" ht="18.75" customHeight="1">
      <c r="A115" s="3604" t="s">
        <v>2290</v>
      </c>
      <c r="B115" s="3605"/>
      <c r="C115" s="3605"/>
      <c r="D115" s="3605"/>
      <c r="E115" s="3605"/>
      <c r="F115" s="3605"/>
      <c r="G115" s="3605"/>
      <c r="H115" s="3605"/>
      <c r="I115" s="3606"/>
    </row>
    <row r="116" spans="1:11" ht="27" customHeight="1">
      <c r="A116" s="3486" t="s">
        <v>2291</v>
      </c>
      <c r="B116" s="3592" t="s">
        <v>2292</v>
      </c>
      <c r="C116" s="3592" t="s">
        <v>2293</v>
      </c>
      <c r="D116" s="3608" t="s">
        <v>2294</v>
      </c>
      <c r="E116" s="3609"/>
      <c r="F116" s="3600" t="s">
        <v>2295</v>
      </c>
      <c r="G116" s="3600"/>
      <c r="H116" s="3486" t="s">
        <v>2296</v>
      </c>
      <c r="I116" s="3486"/>
    </row>
    <row r="117" spans="1:11" ht="18.75" customHeight="1">
      <c r="A117" s="3486"/>
      <c r="B117" s="3593"/>
      <c r="C117" s="3593"/>
      <c r="D117" s="2920" t="s">
        <v>2297</v>
      </c>
      <c r="E117" s="2920" t="s">
        <v>2298</v>
      </c>
      <c r="F117" s="2920" t="s">
        <v>2297</v>
      </c>
      <c r="G117" s="2920" t="s">
        <v>2299</v>
      </c>
      <c r="H117" s="2920" t="s">
        <v>2297</v>
      </c>
      <c r="I117" s="2920" t="s">
        <v>2299</v>
      </c>
    </row>
    <row r="118" spans="1:11" ht="24.75" customHeight="1">
      <c r="A118" s="2494" t="str">
        <f>项目基本情况!S2</f>
        <v>四川省成都市青羊区西御街3号、5号房地产</v>
      </c>
      <c r="B118" s="2920">
        <f>M18</f>
        <v>82629.64</v>
      </c>
      <c r="C118" s="2920">
        <f>M19</f>
        <v>6068.68</v>
      </c>
      <c r="D118" s="2920">
        <f ca="1">ROUND(IF(D32="总价",C34,E118*B118/10000),0)</f>
        <v>189196</v>
      </c>
      <c r="E118" s="2920">
        <f ca="1">ROUND(IF(C33="自定义",IF(D32="楼面单价",C34,D118*10000/B118),I118-G118),0)</f>
        <v>22897</v>
      </c>
      <c r="F118" s="2920">
        <f ca="1">ROUND(IF(D32="总价",C35,G118*B118/10000),0)</f>
        <v>119444</v>
      </c>
      <c r="G118" s="2920">
        <f ca="1">ROUND(IF(D32="楼面单价",C35,F118*10000/B118),0)</f>
        <v>14455</v>
      </c>
      <c r="H118" s="2920">
        <f ca="1">ROUND(IF(D32="总价",C32,I118*B118/10000),0)</f>
        <v>308640</v>
      </c>
      <c r="I118" s="2920">
        <f ca="1">ROUND(IF(D32="楼面单价",C32,H118*10000/B118),0)</f>
        <v>37352</v>
      </c>
    </row>
    <row r="119" spans="1:11" ht="18.75" customHeight="1">
      <c r="A119" s="3486" t="s">
        <v>2300</v>
      </c>
      <c r="B119" s="3486"/>
      <c r="C119" s="3486"/>
      <c r="D119" s="3597" t="str">
        <f ca="1">NUMBERSTRING(INT(D118*10000),2)&amp;"元整"</f>
        <v>壹拾捌亿玖仟壹佰玖拾陆万元整</v>
      </c>
      <c r="E119" s="3599"/>
      <c r="F119" s="3597" t="str">
        <f ca="1">NUMBERSTRING(INT(F118*10000),2)&amp;"元整"</f>
        <v>壹拾壹亿玖仟肆佰肆拾肆万元整</v>
      </c>
      <c r="G119" s="3599"/>
      <c r="H119" s="3597" t="str">
        <f ca="1">NUMBERSTRING(INT(H118*10000),2)&amp;"元整"</f>
        <v>叁拾亿捌仟陆佰肆拾万元整</v>
      </c>
      <c r="I119" s="3599"/>
    </row>
    <row r="120" spans="1:11" ht="18.75" customHeight="1">
      <c r="A120" s="3625" t="str">
        <f>IF(项目基本情况!B9="房地产市场价值","",MID(E103,3,LEN(E103)-2))</f>
        <v/>
      </c>
      <c r="B120" s="3626"/>
      <c r="C120" s="3627"/>
      <c r="D120" s="3625">
        <f>H103</f>
        <v>0</v>
      </c>
      <c r="E120" s="3626"/>
      <c r="F120" s="3626"/>
      <c r="G120" s="3626"/>
      <c r="H120" s="3626"/>
      <c r="I120" s="3627"/>
      <c r="K120" s="2391" t="str">
        <f>IF(D120=0,"故，本次评估不存在"&amp;A120,"故，本次评估"&amp;A120&amp;"为人民币"&amp;D120&amp;"万元整。")</f>
        <v>故，本次评估不存在</v>
      </c>
    </row>
    <row r="121" spans="1:11" ht="18.75" customHeight="1">
      <c r="A121" s="3601" t="s">
        <v>2300</v>
      </c>
      <c r="B121" s="3602"/>
      <c r="C121" s="3603"/>
      <c r="D121" s="3597" t="str">
        <f>IF(D120=0,"零元整",NUMBERSTRING(INT(D120*10000),2)&amp;"元整")</f>
        <v>零元整</v>
      </c>
      <c r="E121" s="3598"/>
      <c r="F121" s="3598"/>
      <c r="G121" s="3598"/>
      <c r="H121" s="3598"/>
      <c r="I121" s="3599"/>
    </row>
    <row r="122" spans="1:11" ht="18.75" customHeight="1">
      <c r="A122" s="3588" t="str">
        <f>IF(项目基本情况!B9="房地产市场价值","",MID(E107,3,LEN(E107)-2))</f>
        <v/>
      </c>
      <c r="B122" s="3588"/>
      <c r="C122" s="3588"/>
      <c r="D122" s="3625">
        <f ca="1">H107</f>
        <v>308640</v>
      </c>
      <c r="E122" s="3626"/>
      <c r="F122" s="3626"/>
      <c r="G122" s="3626"/>
      <c r="H122" s="3626"/>
      <c r="I122" s="3627"/>
    </row>
    <row r="123" spans="1:11" ht="18.75" customHeight="1">
      <c r="A123" s="3486" t="s">
        <v>2300</v>
      </c>
      <c r="B123" s="3486"/>
      <c r="C123" s="3486"/>
      <c r="D123" s="3597" t="str">
        <f ca="1">NUMBERSTRING(INT(D122*10000),2)&amp;"元整"</f>
        <v>叁拾亿捌仟陆佰肆拾万元整</v>
      </c>
      <c r="E123" s="3598"/>
      <c r="F123" s="3598"/>
      <c r="G123" s="3598"/>
      <c r="H123" s="3598"/>
      <c r="I123" s="3599"/>
    </row>
    <row r="124" spans="1:11" ht="18.75" customHeight="1">
      <c r="A124" s="3588" t="str">
        <f>IF(项目基本情况!B9="房地产市场价值","",MID(E109,3,LEN(E109)-2))</f>
        <v/>
      </c>
      <c r="B124" s="3588"/>
      <c r="C124" s="3588"/>
      <c r="D124" s="3625" t="str">
        <f>H109</f>
        <v>——</v>
      </c>
      <c r="E124" s="3626"/>
      <c r="F124" s="3626"/>
      <c r="G124" s="3626"/>
      <c r="H124" s="3626"/>
      <c r="I124" s="3627"/>
    </row>
    <row r="125" spans="1:11" ht="18.75" customHeight="1">
      <c r="A125" s="3486" t="s">
        <v>2300</v>
      </c>
      <c r="B125" s="3486"/>
      <c r="C125" s="3486"/>
      <c r="D125" s="3597" t="e">
        <f>NUMBERSTRING(INT(D124*10000),2)&amp;"元整"</f>
        <v>#VALUE!</v>
      </c>
      <c r="E125" s="3598"/>
      <c r="F125" s="3598"/>
      <c r="G125" s="3598"/>
      <c r="H125" s="3598"/>
      <c r="I125" s="3599"/>
    </row>
    <row r="126" spans="1:11" ht="18.75" customHeight="1">
      <c r="A126" s="3588" t="str">
        <f>IF(项目基本情况!B9="房地产市场价值","",MID(E111,3,LEN(E111)-2))</f>
        <v/>
      </c>
      <c r="B126" s="3588"/>
      <c r="C126" s="3588"/>
      <c r="D126" s="3625" t="str">
        <f>H111</f>
        <v>——</v>
      </c>
      <c r="E126" s="3626"/>
      <c r="F126" s="3626"/>
      <c r="G126" s="3626"/>
      <c r="H126" s="3626"/>
      <c r="I126" s="3627"/>
    </row>
    <row r="127" spans="1:11" ht="18.75" customHeight="1">
      <c r="A127" s="3486" t="s">
        <v>2300</v>
      </c>
      <c r="B127" s="3486"/>
      <c r="C127" s="3486"/>
      <c r="D127" s="3597" t="e">
        <f>NUMBERSTRING(INT(D126*10000),2)&amp;"元整"</f>
        <v>#VALUE!</v>
      </c>
      <c r="E127" s="3598"/>
      <c r="F127" s="3598"/>
      <c r="G127" s="3598"/>
      <c r="H127" s="3598"/>
      <c r="I127" s="3599"/>
    </row>
    <row r="128" spans="1:11" ht="21.75" customHeight="1">
      <c r="A128" s="3607" t="s">
        <v>2301</v>
      </c>
      <c r="B128" s="3607"/>
      <c r="C128" s="3607"/>
      <c r="D128" s="3607"/>
      <c r="E128" s="3607"/>
      <c r="F128" s="3607"/>
      <c r="G128" s="3607"/>
      <c r="H128" s="3607"/>
      <c r="I128" s="3607"/>
    </row>
    <row r="129" spans="1:35" ht="21.75" customHeight="1">
      <c r="A129" s="2495" t="s">
        <v>2302</v>
      </c>
      <c r="B129" s="2496"/>
      <c r="C129" s="2497" t="s">
        <v>2303</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90"/>
    </row>
    <row r="135" spans="1:35" ht="21.75" customHeight="1">
      <c r="A135" s="790"/>
      <c r="B135" s="790"/>
      <c r="C135" s="790"/>
      <c r="D135" s="790"/>
      <c r="E135" s="790"/>
      <c r="F135" s="2511" t="s">
        <v>2304</v>
      </c>
      <c r="G135" s="2512"/>
      <c r="H135" s="2512"/>
      <c r="I135" s="2513" t="s">
        <v>2305</v>
      </c>
    </row>
    <row r="136" spans="1:35" ht="21.75" customHeight="1">
      <c r="A136" s="790"/>
      <c r="B136" s="2514" t="s">
        <v>2306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2"/>
      <c r="C138" s="2512"/>
      <c r="D138" s="2512"/>
      <c r="E138" s="2512"/>
      <c r="F138" s="2512"/>
      <c r="G138" s="2512"/>
      <c r="H138" s="2512"/>
      <c r="I138" s="2513" t="s">
        <v>2307</v>
      </c>
    </row>
    <row r="139" spans="1:35" ht="21.75" customHeight="1">
      <c r="A139" s="790"/>
      <c r="B139" s="2514" t="s">
        <v>2308</v>
      </c>
      <c r="C139" s="790"/>
      <c r="D139" s="790"/>
      <c r="E139" s="790"/>
      <c r="F139" s="790"/>
      <c r="G139" s="790"/>
      <c r="H139" s="790"/>
      <c r="I139" s="790"/>
    </row>
    <row r="140" spans="1:35" ht="21.75" customHeight="1">
      <c r="A140" s="790"/>
      <c r="B140" s="2514"/>
      <c r="C140" s="790"/>
      <c r="D140" s="790"/>
      <c r="E140" s="790"/>
      <c r="F140" s="790"/>
      <c r="G140" s="790"/>
      <c r="H140" s="790"/>
      <c r="I140" s="790"/>
    </row>
    <row r="141" spans="1:35" ht="21.75" customHeight="1">
      <c r="A141" s="790"/>
      <c r="B141" s="2512"/>
      <c r="C141" s="2512"/>
      <c r="D141" s="2512"/>
      <c r="E141" s="2512"/>
      <c r="F141" s="2512"/>
      <c r="G141" s="2512"/>
      <c r="H141" s="2512"/>
      <c r="I141" s="2513" t="s">
        <v>2307</v>
      </c>
    </row>
    <row r="142" spans="1:35" ht="21.75" customHeight="1">
      <c r="A142" s="790"/>
      <c r="B142" s="2514"/>
      <c r="C142" s="2515"/>
      <c r="D142" s="2516"/>
      <c r="E142" s="2516"/>
      <c r="F142" s="2312"/>
      <c r="G142" s="790"/>
      <c r="H142" s="790"/>
      <c r="I142" s="790"/>
    </row>
    <row r="143" spans="1:35" s="139" customFormat="1" ht="21.75" customHeight="1">
      <c r="A143" s="790"/>
      <c r="B143" s="2514"/>
      <c r="C143" s="2515"/>
      <c r="D143" s="2516"/>
      <c r="E143" s="2516"/>
      <c r="F143" s="2312"/>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xr:uid="{00000000-0002-0000-1D00-000000000000}">
      <formula1>"2.估价师知悉的法定优先受偿款,2.估价师知悉的除抵押担保权以外的法定优先受偿款"</formula1>
    </dataValidation>
    <dataValidation type="list" allowBlank="1" showInputMessage="1" showErrorMessage="1" sqref="G77" xr:uid="{00000000-0002-0000-1D00-000001000000}">
      <formula1>"个人住宅,2016年5月1日前购买,2016年5月1日后购买"</formula1>
    </dataValidation>
    <dataValidation type="list" allowBlank="1" showInputMessage="1" showErrorMessage="1" sqref="C1" xr:uid="{00000000-0002-0000-1D00-000002000000}">
      <formula1>项目类型</formula1>
    </dataValidation>
    <dataValidation type="list" allowBlank="1" showInputMessage="1" showErrorMessage="1" sqref="I1" xr:uid="{00000000-0002-0000-1D00-000003000000}">
      <formula1>"项目局部,项目全部,——"</formula1>
    </dataValidation>
    <dataValidation type="list" showInputMessage="1" showErrorMessage="1" sqref="G1" xr:uid="{00000000-0002-0000-1D00-000004000000}">
      <formula1>"现房,在建,土地,-"</formula1>
    </dataValidation>
    <dataValidation type="list" allowBlank="1" showInputMessage="1" showErrorMessage="1" sqref="H59" xr:uid="{00000000-0002-0000-1D00-000005000000}">
      <formula1>"非个人房产,个人住宅,个人非住宅"</formula1>
    </dataValidation>
    <dataValidation type="list" allowBlank="1" showInputMessage="1" showErrorMessage="1" sqref="C129" xr:uid="{00000000-0002-0000-1D00-000006000000}">
      <formula1>"无,有"</formula1>
    </dataValidation>
    <dataValidation type="list" allowBlank="1" showInputMessage="1" showErrorMessage="1" sqref="F116:G116" xr:uid="{00000000-0002-0000-1D00-000007000000}">
      <formula1>"建筑物价值,在建建筑物价值,建筑物/在建建筑物价值"</formula1>
    </dataValidation>
    <dataValidation type="list" allowBlank="1" showInputMessage="1" showErrorMessage="1" sqref="D116:E116" xr:uid="{00000000-0002-0000-1D00-000008000000}">
      <formula1>"出让国有建设用地使用权价值,划拨国有建设用地使用权价值"</formula1>
    </dataValidation>
    <dataValidation type="list" allowBlank="1" showInputMessage="1" showErrorMessage="1" sqref="C116:C117" xr:uid="{00000000-0002-0000-1D00-000009000000}">
      <formula1>"土地面积,分摊土地面积,（分摊）土地面积"</formula1>
    </dataValidation>
    <dataValidation type="list" allowBlank="1" showInputMessage="1" showErrorMessage="1" sqref="B116:B117" xr:uid="{00000000-0002-0000-1D00-00000A000000}">
      <formula1>"建筑面积,规划建筑面积,（规划）建筑面积"</formula1>
    </dataValidation>
    <dataValidation type="list" allowBlank="1" showInputMessage="1" showErrorMessage="1" sqref="D36" xr:uid="{00000000-0002-0000-1D00-00000B000000}">
      <formula1>"同一抵押权人同一抵押物续贷,注销后放款,正常操作"</formula1>
    </dataValidation>
    <dataValidation type="list" allowBlank="1" showInputMessage="1" showErrorMessage="1" sqref="F75" xr:uid="{00000000-0002-0000-1D00-00000C000000}">
      <formula1>"买卖合同,购房发票"</formula1>
    </dataValidation>
    <dataValidation type="list" allowBlank="1" showInputMessage="1" showErrorMessage="1" sqref="H88" xr:uid="{00000000-0002-0000-1D00-00000D000000}">
      <formula1>"仅含出让金,出让金+开发费"</formula1>
    </dataValidation>
    <dataValidation type="list" allowBlank="1" showInputMessage="1" showErrorMessage="1" sqref="H91" xr:uid="{00000000-0002-0000-1D00-00000E000000}">
      <formula1>"企业提供（在右侧录入）,——"</formula1>
    </dataValidation>
    <dataValidation type="list" allowBlank="1" showInputMessage="1" showErrorMessage="1" sqref="C33" xr:uid="{00000000-0002-0000-1D00-00000F000000}">
      <formula1>"成本比率,收益比率,自定义"</formula1>
    </dataValidation>
    <dataValidation type="list" allowBlank="1" showInputMessage="1" showErrorMessage="1" sqref="F45" xr:uid="{00000000-0002-0000-1D00-000010000000}">
      <formula1>"100%,80%,60%,64%"</formula1>
    </dataValidation>
    <dataValidation type="list" allowBlank="1" showInputMessage="1" showErrorMessage="1" sqref="D32" xr:uid="{00000000-0002-0000-1D00-000011000000}">
      <formula1>"总价,楼面单价"</formula1>
    </dataValidation>
    <dataValidation type="list" allowBlank="1" showInputMessage="1" showErrorMessage="1" sqref="H58" xr:uid="{00000000-0002-0000-1D00-000012000000}">
      <formula1>"转让取得,自行开发建设"</formula1>
    </dataValidation>
    <dataValidation type="list" allowBlank="1" showInputMessage="1" showErrorMessage="1" sqref="H48" xr:uid="{00000000-0002-0000-1D00-000013000000}">
      <formula1>"情况1,情况2,情况3,情况4"</formula1>
    </dataValidation>
    <dataValidation type="list" allowBlank="1" showInputMessage="1" showErrorMessage="1" sqref="H55:H56" xr:uid="{00000000-0002-0000-1D00-000014000000}">
      <formula1>"个人住宅,正常"</formula1>
    </dataValidation>
    <dataValidation type="list" allowBlank="1" showInputMessage="1" showErrorMessage="1" sqref="C4:D4 D33" xr:uid="{00000000-0002-0000-1D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topLeftCell="B19" zoomScale="90" zoomScaleNormal="90" workbookViewId="0">
      <selection activeCell="M15" sqref="M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0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2511</v>
      </c>
      <c r="B1" s="2639" t="s">
        <v>2669</v>
      </c>
      <c r="C1" s="1599" t="s">
        <v>2513</v>
      </c>
      <c r="D1" s="1600" t="s">
        <v>27</v>
      </c>
      <c r="E1" s="1609"/>
      <c r="F1" s="2554" t="s">
        <v>3040</v>
      </c>
      <c r="G1" s="1610" t="s">
        <v>2626</v>
      </c>
      <c r="H1" s="1609"/>
      <c r="I1" s="1609"/>
      <c r="J1" s="1609"/>
      <c r="K1" s="1611"/>
      <c r="L1" s="1612"/>
      <c r="M1" s="1613"/>
      <c r="N1" s="1613"/>
      <c r="O1" s="1613"/>
      <c r="P1" s="1599"/>
      <c r="Q1" s="1599"/>
      <c r="R1" s="1599"/>
      <c r="S1" s="1599"/>
      <c r="T1" s="1599"/>
      <c r="U1" s="1599"/>
      <c r="V1" s="1599"/>
      <c r="W1" s="1599"/>
      <c r="X1" s="1599"/>
      <c r="Y1" s="1599"/>
      <c r="Z1" s="1599"/>
      <c r="AA1" s="1599"/>
      <c r="AB1" s="1599"/>
      <c r="AC1" s="1607"/>
    </row>
    <row r="2" spans="1:29" s="397" customFormat="1" ht="28.5" customHeight="1" thickTop="1">
      <c r="A2" s="1596" t="s">
        <v>2310</v>
      </c>
      <c r="B2" s="1398">
        <f>IF(C2="——",ROUND(C50*D3/10000,0),ROUND(C50*D3/10000,0)-D2)</f>
        <v>364091</v>
      </c>
      <c r="C2" s="2556" t="s">
        <v>70</v>
      </c>
      <c r="D2" s="1346" t="e">
        <f ca="1">SUMIF(INDIRECT("'"&amp;F2&amp;"'"&amp;"!A:A"),"承租人权益价值",INDIRECT("'"&amp;F2&amp;"'"&amp;"!c:c"))</f>
        <v>#REF!</v>
      </c>
      <c r="E2" s="2557" t="s">
        <v>2311</v>
      </c>
      <c r="F2" s="2558"/>
      <c r="G2" s="1107"/>
      <c r="H2" s="1107"/>
      <c r="I2" s="1107"/>
      <c r="J2" s="1107"/>
      <c r="K2" s="1107"/>
      <c r="L2" s="1110"/>
      <c r="M2" s="1111"/>
      <c r="N2" s="1111"/>
      <c r="O2" s="1111"/>
      <c r="P2" s="764"/>
      <c r="Q2" s="764"/>
      <c r="R2" s="764"/>
      <c r="S2" s="764"/>
      <c r="T2" s="764"/>
      <c r="U2" s="764"/>
      <c r="V2" s="764"/>
      <c r="W2" s="764"/>
      <c r="X2" s="764"/>
      <c r="Y2" s="764"/>
      <c r="Z2" s="764"/>
      <c r="AA2" s="764"/>
      <c r="AB2" s="764"/>
      <c r="AC2" s="765"/>
    </row>
    <row r="3" spans="1:29" s="397" customFormat="1" ht="28.5" customHeight="1" thickBot="1">
      <c r="A3" s="247" t="s">
        <v>2312</v>
      </c>
      <c r="B3" s="608">
        <f>IF(C2="——",C50,ROUND(B2*10000/D3,0))</f>
        <v>44063</v>
      </c>
      <c r="C3" s="399" t="s">
        <v>2627</v>
      </c>
      <c r="D3" s="398">
        <f>IF(D1="",'数据-汇总表'!E3,SUMIF('数据-汇总表'!$C19:$C33,D1,'数据-汇总表'!$E19:$E33))</f>
        <v>82629.64</v>
      </c>
      <c r="E3" s="2633"/>
      <c r="F3" s="1108"/>
      <c r="G3" s="1107"/>
      <c r="H3" s="1107"/>
      <c r="I3" s="1107"/>
      <c r="J3" s="1107"/>
      <c r="K3" s="1109"/>
      <c r="L3" s="1110"/>
      <c r="M3" s="1111"/>
      <c r="N3" s="1111"/>
      <c r="O3" s="1111"/>
      <c r="P3" s="764"/>
      <c r="Q3" s="764"/>
      <c r="R3" s="764"/>
      <c r="S3" s="764"/>
      <c r="T3" s="764"/>
      <c r="U3" s="764"/>
      <c r="V3" s="764"/>
      <c r="W3" s="764"/>
      <c r="X3" s="764"/>
      <c r="Y3" s="764"/>
      <c r="Z3" s="764"/>
      <c r="AA3" s="764"/>
      <c r="AB3" s="764"/>
      <c r="AC3" s="765"/>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709" t="s">
        <v>2634</v>
      </c>
      <c r="Q4" s="3710"/>
      <c r="R4" s="3713" t="s">
        <v>2630</v>
      </c>
      <c r="S4" s="3714"/>
      <c r="T4" s="3713" t="s">
        <v>2631</v>
      </c>
      <c r="U4" s="3714"/>
      <c r="V4" s="3715" t="s">
        <v>2632</v>
      </c>
      <c r="W4" s="3715"/>
      <c r="X4" s="2640"/>
      <c r="Y4" s="3713" t="s">
        <v>2634</v>
      </c>
      <c r="Z4" s="3714"/>
      <c r="AA4" s="3721" t="s">
        <v>2630</v>
      </c>
      <c r="AB4" s="3721" t="s">
        <v>2631</v>
      </c>
      <c r="AC4" s="3706" t="s">
        <v>2632</v>
      </c>
    </row>
    <row r="5" spans="1:29" ht="14.4">
      <c r="A5" s="403"/>
      <c r="B5" s="404"/>
      <c r="C5" s="3719" t="s">
        <v>3421</v>
      </c>
      <c r="D5" s="3720"/>
      <c r="E5" s="3722" t="s">
        <v>3508</v>
      </c>
      <c r="F5" s="3717"/>
      <c r="G5" s="3716" t="s">
        <v>3509</v>
      </c>
      <c r="H5" s="3717"/>
      <c r="I5" s="3679" t="s">
        <v>3510</v>
      </c>
      <c r="J5" s="3680"/>
      <c r="K5" s="609"/>
      <c r="L5" s="1112"/>
      <c r="M5" s="1113"/>
      <c r="N5" s="1113"/>
      <c r="O5" s="1113"/>
      <c r="P5" s="3711"/>
      <c r="Q5" s="3668"/>
      <c r="R5" s="3673"/>
      <c r="S5" s="3674"/>
      <c r="T5" s="3673"/>
      <c r="U5" s="3674"/>
      <c r="V5" s="3656"/>
      <c r="W5" s="3656"/>
      <c r="X5" s="1791"/>
      <c r="Y5" s="3673"/>
      <c r="Z5" s="3674"/>
      <c r="AA5" s="3659"/>
      <c r="AB5" s="3659"/>
      <c r="AC5" s="3707"/>
    </row>
    <row r="6" spans="1:29" ht="15" thickBot="1">
      <c r="A6" s="405"/>
      <c r="B6" s="406"/>
      <c r="C6" s="3677" t="s">
        <v>2529</v>
      </c>
      <c r="D6" s="3678"/>
      <c r="E6" s="3685" t="s">
        <v>2529</v>
      </c>
      <c r="F6" s="3686"/>
      <c r="G6" s="3677" t="s">
        <v>2529</v>
      </c>
      <c r="H6" s="3678"/>
      <c r="I6" s="3677" t="s">
        <v>2529</v>
      </c>
      <c r="J6" s="3678"/>
      <c r="K6" s="609" t="s">
        <v>2530</v>
      </c>
      <c r="L6" s="1112"/>
      <c r="M6" s="1113"/>
      <c r="N6" s="1113"/>
      <c r="O6" s="1113"/>
      <c r="P6" s="3712"/>
      <c r="Q6" s="3670"/>
      <c r="R6" s="3673"/>
      <c r="S6" s="3674"/>
      <c r="T6" s="3675"/>
      <c r="U6" s="3676"/>
      <c r="V6" s="3656"/>
      <c r="W6" s="3656"/>
      <c r="X6" s="1791"/>
      <c r="Y6" s="3675"/>
      <c r="Z6" s="3676"/>
      <c r="AA6" s="3660"/>
      <c r="AB6" s="3660"/>
      <c r="AC6" s="3708"/>
    </row>
    <row r="7" spans="1:29" s="117" customFormat="1" ht="15" thickBot="1">
      <c r="A7" s="407" t="s">
        <v>2531</v>
      </c>
      <c r="B7" s="408"/>
      <c r="C7" s="409">
        <f>'数据-取费表'!B2</f>
        <v>43903</v>
      </c>
      <c r="D7" s="410">
        <v>100</v>
      </c>
      <c r="E7" s="411">
        <v>43891</v>
      </c>
      <c r="F7" s="412">
        <f>SUMIF(59:59,YEAR(E7)&amp;"-"&amp;MONTH(E7),60:60)</f>
        <v>100</v>
      </c>
      <c r="G7" s="411">
        <v>43891</v>
      </c>
      <c r="H7" s="410">
        <f>SUMIF(59:59,YEAR(G7)&amp;"-"&amp;MONTH(G7),60:60)</f>
        <v>100</v>
      </c>
      <c r="I7" s="411">
        <v>43891</v>
      </c>
      <c r="J7" s="410">
        <f>SUMIF(59:59,YEAR(I7)&amp;"-"&amp;MONTH(I7),60:60)</f>
        <v>100</v>
      </c>
      <c r="K7" s="610"/>
      <c r="L7" s="1114"/>
      <c r="M7" s="1115"/>
      <c r="N7" s="1115"/>
      <c r="O7" s="1115"/>
      <c r="P7" s="3718" t="s">
        <v>2532</v>
      </c>
      <c r="Q7" s="3683"/>
      <c r="R7" s="766" t="s">
        <v>17</v>
      </c>
      <c r="S7" s="767">
        <f t="shared" ref="S7:S15" si="0">F7</f>
        <v>100</v>
      </c>
      <c r="T7" s="766" t="s">
        <v>17</v>
      </c>
      <c r="U7" s="767">
        <f t="shared" ref="U7:U15" si="1">H7</f>
        <v>100</v>
      </c>
      <c r="V7" s="766" t="s">
        <v>17</v>
      </c>
      <c r="W7" s="767">
        <f t="shared" ref="W7:W15" si="2">J7</f>
        <v>100</v>
      </c>
      <c r="X7" s="768"/>
      <c r="Y7" s="3681" t="s">
        <v>2532</v>
      </c>
      <c r="Z7" s="3682"/>
      <c r="AA7" s="769">
        <f>D7/F7</f>
        <v>1</v>
      </c>
      <c r="AB7" s="769">
        <f>D7/H7</f>
        <v>1</v>
      </c>
      <c r="AC7" s="2641">
        <f>D7/J7</f>
        <v>1</v>
      </c>
    </row>
    <row r="8" spans="1:29" s="117" customFormat="1" ht="15" thickBot="1">
      <c r="A8" s="407" t="s">
        <v>2533</v>
      </c>
      <c r="B8" s="408"/>
      <c r="C8" s="413" t="s">
        <v>2635</v>
      </c>
      <c r="D8" s="410">
        <v>100</v>
      </c>
      <c r="E8" s="413" t="s">
        <v>2570</v>
      </c>
      <c r="F8" s="412">
        <f>SUMIF(62:62,E8,63:63)-SUMIF(62:62,C8,63:63)+100</f>
        <v>100</v>
      </c>
      <c r="G8" s="413" t="s">
        <v>2570</v>
      </c>
      <c r="H8" s="410">
        <f>SUMIF(62:62,G8,63:63)-SUMIF(62:62,C8,63:63)+100</f>
        <v>100</v>
      </c>
      <c r="I8" s="413" t="s">
        <v>2570</v>
      </c>
      <c r="J8" s="410">
        <f>SUMIF(62:62,I8,63:63)-SUMIF(62:62,C8,63:63)+100</f>
        <v>100</v>
      </c>
      <c r="K8" s="610"/>
      <c r="L8" s="1114"/>
      <c r="M8" s="1115"/>
      <c r="N8" s="1115"/>
      <c r="O8" s="1115"/>
      <c r="P8" s="3718" t="s">
        <v>2535</v>
      </c>
      <c r="Q8" s="3682"/>
      <c r="R8" s="766" t="s">
        <v>17</v>
      </c>
      <c r="S8" s="767">
        <f t="shared" si="0"/>
        <v>100</v>
      </c>
      <c r="T8" s="766" t="s">
        <v>17</v>
      </c>
      <c r="U8" s="767">
        <f t="shared" si="1"/>
        <v>100</v>
      </c>
      <c r="V8" s="766" t="s">
        <v>17</v>
      </c>
      <c r="W8" s="767">
        <f t="shared" si="2"/>
        <v>100</v>
      </c>
      <c r="X8" s="768"/>
      <c r="Y8" s="3681" t="s">
        <v>2535</v>
      </c>
      <c r="Z8" s="3682"/>
      <c r="AA8" s="769">
        <f t="shared" ref="AA8:AA47" si="3">D8/F8</f>
        <v>1</v>
      </c>
      <c r="AB8" s="769">
        <f t="shared" ref="AB8:AB47" si="4">D8/H8</f>
        <v>1</v>
      </c>
      <c r="AC8" s="2641">
        <f t="shared" ref="AC8:AC47" si="5">D8/J8</f>
        <v>1</v>
      </c>
    </row>
    <row r="9" spans="1:29" s="117" customFormat="1" ht="14.4">
      <c r="A9" s="414" t="s">
        <v>2536</v>
      </c>
      <c r="B9" s="71" t="s">
        <v>2537</v>
      </c>
      <c r="C9" s="2962" t="s">
        <v>3137</v>
      </c>
      <c r="D9" s="135">
        <v>100</v>
      </c>
      <c r="E9" s="418" t="s">
        <v>27</v>
      </c>
      <c r="F9" s="135">
        <f>SUMIF(64:64,E9,65:65)-SUMIF(64:64,C9,65:65)+100</f>
        <v>100</v>
      </c>
      <c r="G9" s="418" t="s">
        <v>27</v>
      </c>
      <c r="H9" s="135">
        <f>SUMIF(64:64,G9,65:65)-SUMIF(64:64,C9,65:65)+100</f>
        <v>100</v>
      </c>
      <c r="I9" s="418" t="s">
        <v>27</v>
      </c>
      <c r="J9" s="135">
        <f>SUMIF(64:64,I9,65:65)-SUMIF(64:64,C9,65:65)+100</f>
        <v>100</v>
      </c>
      <c r="K9" s="610"/>
      <c r="L9" s="1114"/>
      <c r="M9" s="1115"/>
      <c r="N9" s="1115"/>
      <c r="O9" s="1115"/>
      <c r="P9" s="3657" t="s">
        <v>2538</v>
      </c>
      <c r="Q9" s="1773" t="str">
        <f t="shared" ref="Q9:Q15" si="6">B9</f>
        <v>用途</v>
      </c>
      <c r="R9" s="766" t="s">
        <v>17</v>
      </c>
      <c r="S9" s="767">
        <f t="shared" si="0"/>
        <v>100</v>
      </c>
      <c r="T9" s="766" t="s">
        <v>17</v>
      </c>
      <c r="U9" s="767">
        <f t="shared" si="1"/>
        <v>100</v>
      </c>
      <c r="V9" s="766" t="s">
        <v>17</v>
      </c>
      <c r="W9" s="767">
        <f t="shared" si="2"/>
        <v>100</v>
      </c>
      <c r="X9" s="768"/>
      <c r="Y9" s="3486" t="s">
        <v>2539</v>
      </c>
      <c r="Z9" s="55" t="str">
        <f t="shared" ref="Z9:Z15" si="7">Q9</f>
        <v>用途</v>
      </c>
      <c r="AA9" s="769">
        <f t="shared" si="3"/>
        <v>1</v>
      </c>
      <c r="AB9" s="769">
        <f t="shared" si="4"/>
        <v>1</v>
      </c>
      <c r="AC9" s="2641">
        <f t="shared" si="5"/>
        <v>1</v>
      </c>
    </row>
    <row r="10" spans="1:29" s="426" customFormat="1" ht="28.8">
      <c r="A10" s="420"/>
      <c r="B10" s="421" t="s">
        <v>2540</v>
      </c>
      <c r="C10" s="422" t="s">
        <v>3174</v>
      </c>
      <c r="D10" s="136">
        <v>100</v>
      </c>
      <c r="E10" s="422" t="s">
        <v>3174</v>
      </c>
      <c r="F10" s="3396">
        <f>SUMIF(66:66,E10,67:67)-SUMIF(66:66,C10,67:67)+100</f>
        <v>100</v>
      </c>
      <c r="G10" s="422" t="s">
        <v>3174</v>
      </c>
      <c r="H10" s="3396">
        <f>SUMIF(66:66,G10,67:67)-SUMIF(66:66,C10,67:67)+100</f>
        <v>100</v>
      </c>
      <c r="I10" s="422" t="s">
        <v>3174</v>
      </c>
      <c r="J10" s="3396">
        <f>SUMIF(66:66,I10,67:67)-SUMIF(66:66,C10,67:67)+100</f>
        <v>100</v>
      </c>
      <c r="K10" s="611">
        <v>1</v>
      </c>
      <c r="L10" s="1117"/>
      <c r="M10" s="1118"/>
      <c r="N10" s="1118"/>
      <c r="O10" s="1118"/>
      <c r="P10" s="3657"/>
      <c r="Q10" s="1773" t="str">
        <f t="shared" si="6"/>
        <v>土地使用年限（年）</v>
      </c>
      <c r="R10" s="766" t="s">
        <v>17</v>
      </c>
      <c r="S10" s="767">
        <f t="shared" si="0"/>
        <v>100</v>
      </c>
      <c r="T10" s="766" t="s">
        <v>17</v>
      </c>
      <c r="U10" s="767">
        <f t="shared" si="1"/>
        <v>100</v>
      </c>
      <c r="V10" s="766" t="s">
        <v>17</v>
      </c>
      <c r="W10" s="767">
        <f t="shared" si="2"/>
        <v>100</v>
      </c>
      <c r="X10" s="768"/>
      <c r="Y10" s="3486"/>
      <c r="Z10" s="55" t="str">
        <f t="shared" si="7"/>
        <v>土地使用年限（年）</v>
      </c>
      <c r="AA10" s="769">
        <f t="shared" si="3"/>
        <v>1</v>
      </c>
      <c r="AB10" s="769">
        <f t="shared" si="4"/>
        <v>1</v>
      </c>
      <c r="AC10" s="2641">
        <f t="shared" si="5"/>
        <v>1</v>
      </c>
    </row>
    <row r="11" spans="1:29" ht="15">
      <c r="A11" s="427"/>
      <c r="B11" s="421" t="s">
        <v>2541</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0"/>
      <c r="M11" s="1113"/>
      <c r="N11" s="1113"/>
      <c r="O11" s="1113"/>
      <c r="P11" s="3657"/>
      <c r="Q11" s="1773" t="str">
        <f t="shared" si="6"/>
        <v>容积率</v>
      </c>
      <c r="R11" s="766" t="s">
        <v>17</v>
      </c>
      <c r="S11" s="767">
        <f t="shared" si="0"/>
        <v>100</v>
      </c>
      <c r="T11" s="766" t="s">
        <v>17</v>
      </c>
      <c r="U11" s="767">
        <f t="shared" si="1"/>
        <v>100</v>
      </c>
      <c r="V11" s="766" t="s">
        <v>17</v>
      </c>
      <c r="W11" s="767">
        <f t="shared" si="2"/>
        <v>100</v>
      </c>
      <c r="X11" s="768"/>
      <c r="Y11" s="3486"/>
      <c r="Z11" s="55" t="str">
        <f t="shared" si="7"/>
        <v>容积率</v>
      </c>
      <c r="AA11" s="769">
        <f t="shared" si="3"/>
        <v>1</v>
      </c>
      <c r="AB11" s="769">
        <f t="shared" si="4"/>
        <v>1</v>
      </c>
      <c r="AC11" s="2641">
        <f t="shared" si="5"/>
        <v>1</v>
      </c>
    </row>
    <row r="12" spans="1:29" s="117" customFormat="1" ht="15">
      <c r="A12" s="430"/>
      <c r="B12" s="2570">
        <v>111</v>
      </c>
      <c r="C12" s="431"/>
      <c r="D12" s="432">
        <v>100</v>
      </c>
      <c r="E12" s="431"/>
      <c r="F12" s="136">
        <f>SUMIF(71:71,E12,72:72)-SUMIF(71:71,C12,72:72)+100</f>
        <v>100</v>
      </c>
      <c r="G12" s="2642"/>
      <c r="H12" s="136">
        <f>SUMIF(71:71,G12,72:72)-SUMIF(71:71,C12,72:72)+100</f>
        <v>100</v>
      </c>
      <c r="I12" s="431"/>
      <c r="J12" s="136">
        <f>SUMIF(71:71,I12,72:72)-SUMIF(71:71,C12,72:72)+100</f>
        <v>100</v>
      </c>
      <c r="K12" s="612"/>
      <c r="L12" s="1114"/>
      <c r="M12" s="1115"/>
      <c r="N12" s="1115"/>
      <c r="O12" s="1115"/>
      <c r="P12" s="3657"/>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2641">
        <f>D12/J12</f>
        <v>1</v>
      </c>
    </row>
    <row r="13" spans="1:29" ht="15">
      <c r="A13" s="427"/>
      <c r="B13" s="2570">
        <v>111</v>
      </c>
      <c r="C13" s="433"/>
      <c r="D13" s="434">
        <v>100</v>
      </c>
      <c r="E13" s="431"/>
      <c r="F13" s="136">
        <f>SUMIF(73:73,E13,74:74)-SUMIF(73:73,C13,74:74)+100</f>
        <v>100</v>
      </c>
      <c r="G13" s="2642"/>
      <c r="H13" s="434">
        <f>SUMIF(73:73,G13,74:74)-SUMIF(73:73,C13,74:74)+100</f>
        <v>100</v>
      </c>
      <c r="I13" s="431"/>
      <c r="J13" s="434">
        <f>SUMIF(73:73,I13,74:74)-SUMIF(73:73,C13,74:74)+100</f>
        <v>100</v>
      </c>
      <c r="K13" s="612"/>
      <c r="L13" s="1122"/>
      <c r="M13" s="1113"/>
      <c r="N13" s="1113"/>
      <c r="O13" s="1113"/>
      <c r="P13" s="3657"/>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2641">
        <f t="shared" si="5"/>
        <v>1</v>
      </c>
    </row>
    <row r="14" spans="1:29" ht="15.6" thickBot="1">
      <c r="A14" s="435"/>
      <c r="B14" s="2572">
        <v>111</v>
      </c>
      <c r="C14" s="436"/>
      <c r="D14" s="437">
        <v>100</v>
      </c>
      <c r="E14" s="627"/>
      <c r="F14" s="437">
        <f>SUMIF(75:75,E14,76:76)-SUMIF(75:75,C14,76:76)+100</f>
        <v>100</v>
      </c>
      <c r="G14" s="2642"/>
      <c r="H14" s="437">
        <f>SUMIF(75:75,G14,76:76)-SUMIF(75:75,C14,76:76)+100</f>
        <v>100</v>
      </c>
      <c r="I14" s="431"/>
      <c r="J14" s="437">
        <f>SUMIF(75:75,I14,76:76)-SUMIF(75:75,C14,76:76)+100</f>
        <v>100</v>
      </c>
      <c r="K14" s="612"/>
      <c r="L14" s="1122"/>
      <c r="M14" s="1113"/>
      <c r="N14" s="1113"/>
      <c r="O14" s="1113"/>
      <c r="P14" s="3657"/>
      <c r="Q14" s="1773">
        <f t="shared" si="6"/>
        <v>111</v>
      </c>
      <c r="R14" s="766" t="s">
        <v>17</v>
      </c>
      <c r="S14" s="767">
        <f t="shared" si="0"/>
        <v>100</v>
      </c>
      <c r="T14" s="766" t="s">
        <v>17</v>
      </c>
      <c r="U14" s="767">
        <f t="shared" si="1"/>
        <v>100</v>
      </c>
      <c r="V14" s="766" t="s">
        <v>17</v>
      </c>
      <c r="W14" s="767">
        <f t="shared" si="2"/>
        <v>100</v>
      </c>
      <c r="X14" s="768"/>
      <c r="Y14" s="3486"/>
      <c r="Z14" s="55">
        <f t="shared" si="7"/>
        <v>111</v>
      </c>
      <c r="AA14" s="769">
        <f t="shared" si="3"/>
        <v>1</v>
      </c>
      <c r="AB14" s="769">
        <f t="shared" si="4"/>
        <v>1</v>
      </c>
      <c r="AC14" s="2641">
        <f t="shared" si="5"/>
        <v>1</v>
      </c>
    </row>
    <row r="15" spans="1:29" ht="69">
      <c r="A15" s="439" t="s">
        <v>2542</v>
      </c>
      <c r="B15" s="628" t="s">
        <v>2670</v>
      </c>
      <c r="C15" s="2643" t="str">
        <f>估价对象房地状况!C5</f>
        <v>估价对象位于天府广场商圈，周边办公楼项目多，入驻率高，办公集聚程度好</v>
      </c>
      <c r="D15" s="440">
        <v>100</v>
      </c>
      <c r="E15" s="443"/>
      <c r="F15" s="440">
        <f>SUMIF(77:77,E16,78:78)-SUMIF(77:77,C16,78:78)+100</f>
        <v>100</v>
      </c>
      <c r="G15" s="443"/>
      <c r="H15" s="440">
        <f>SUMIF(77:77,G16,78:78)-SUMIF(77:77,C16,78:78)+100</f>
        <v>100</v>
      </c>
      <c r="I15" s="443"/>
      <c r="J15" s="440">
        <f>SUMIF(77:77,I16,78:78)-SUMIF(77:77,C16,78:78)+100</f>
        <v>100</v>
      </c>
      <c r="K15" s="613">
        <v>5</v>
      </c>
      <c r="L15" s="1122"/>
      <c r="M15" s="1113"/>
      <c r="N15" s="1113"/>
      <c r="O15" s="1113"/>
      <c r="P15" s="3647" t="s">
        <v>2543</v>
      </c>
      <c r="Q15" s="1788" t="str">
        <f t="shared" si="6"/>
        <v>办公集聚程度</v>
      </c>
      <c r="R15" s="770" t="s">
        <v>17</v>
      </c>
      <c r="S15" s="771">
        <f t="shared" si="0"/>
        <v>100</v>
      </c>
      <c r="T15" s="770" t="s">
        <v>17</v>
      </c>
      <c r="U15" s="771">
        <f t="shared" si="1"/>
        <v>100</v>
      </c>
      <c r="V15" s="770" t="s">
        <v>17</v>
      </c>
      <c r="W15" s="771">
        <f t="shared" si="2"/>
        <v>100</v>
      </c>
      <c r="X15" s="1791"/>
      <c r="Y15" s="3649" t="s">
        <v>2543</v>
      </c>
      <c r="Z15" s="1792" t="str">
        <f t="shared" si="7"/>
        <v>办公集聚程度</v>
      </c>
      <c r="AA15" s="1789">
        <f t="shared" si="3"/>
        <v>1</v>
      </c>
      <c r="AB15" s="1789">
        <f t="shared" si="4"/>
        <v>1</v>
      </c>
      <c r="AC15" s="2644">
        <f t="shared" si="5"/>
        <v>1</v>
      </c>
    </row>
    <row r="16" spans="1:29" ht="15">
      <c r="A16" s="427"/>
      <c r="B16" s="629"/>
      <c r="C16" s="2581" t="s">
        <v>3047</v>
      </c>
      <c r="D16" s="447"/>
      <c r="E16" s="2581" t="s">
        <v>3047</v>
      </c>
      <c r="F16" s="447"/>
      <c r="G16" s="2581" t="s">
        <v>3047</v>
      </c>
      <c r="H16" s="449"/>
      <c r="I16" s="2581" t="s">
        <v>3047</v>
      </c>
      <c r="J16" s="447"/>
      <c r="K16" s="614"/>
      <c r="L16" s="1122"/>
      <c r="M16" s="1113"/>
      <c r="N16" s="1113"/>
      <c r="O16" s="1113"/>
      <c r="P16" s="3648"/>
      <c r="Q16" s="1788"/>
      <c r="R16" s="770"/>
      <c r="S16" s="771"/>
      <c r="T16" s="770"/>
      <c r="U16" s="771"/>
      <c r="V16" s="770"/>
      <c r="W16" s="771"/>
      <c r="X16" s="1791"/>
      <c r="Y16" s="3650"/>
      <c r="Z16" s="1792"/>
      <c r="AA16" s="1789">
        <v>1</v>
      </c>
      <c r="AB16" s="1789">
        <v>1</v>
      </c>
      <c r="AC16" s="2644">
        <v>1</v>
      </c>
    </row>
    <row r="17" spans="1:29" ht="138">
      <c r="A17" s="427"/>
      <c r="B17" s="630" t="s">
        <v>2080</v>
      </c>
      <c r="C17" s="2645" t="str">
        <f>估价对象房地状况!C6</f>
        <v>估价对象周边道路状况较好、地铁14、15号线通过，公共交通通达情况较好、停车便捷程度较好，综合评价交通便捷度较好</v>
      </c>
      <c r="D17" s="449">
        <v>100</v>
      </c>
      <c r="E17" s="453" t="s">
        <v>3377</v>
      </c>
      <c r="F17" s="449">
        <f>SUMIF(79:79,E18,80:80)-SUMIF(79:79,C18,80:80)+100</f>
        <v>100</v>
      </c>
      <c r="G17" s="453" t="s">
        <v>3377</v>
      </c>
      <c r="H17" s="454">
        <f>SUMIF(79:79,G18,80:80)-SUMIF(79:79,C18,80:80)+100</f>
        <v>100</v>
      </c>
      <c r="I17" s="453" t="s">
        <v>3377</v>
      </c>
      <c r="J17" s="454">
        <f>SUMIF(79:79,I18,80:80)-SUMIF(79:79,C18,80:80)+100</f>
        <v>100</v>
      </c>
      <c r="K17" s="613">
        <f>'比较法-商业'!K17</f>
        <v>2</v>
      </c>
      <c r="L17" s="1122"/>
      <c r="M17" s="1113"/>
      <c r="N17" s="1113"/>
      <c r="O17" s="1113"/>
      <c r="P17" s="3648"/>
      <c r="Q17" s="1788" t="str">
        <f>B17</f>
        <v>交通便捷度</v>
      </c>
      <c r="R17" s="770" t="s">
        <v>17</v>
      </c>
      <c r="S17" s="771">
        <f>F17</f>
        <v>100</v>
      </c>
      <c r="T17" s="770" t="s">
        <v>17</v>
      </c>
      <c r="U17" s="771">
        <f>H17</f>
        <v>100</v>
      </c>
      <c r="V17" s="770" t="s">
        <v>17</v>
      </c>
      <c r="W17" s="771">
        <f>J17</f>
        <v>100</v>
      </c>
      <c r="X17" s="1791"/>
      <c r="Y17" s="3650"/>
      <c r="Z17" s="1792" t="str">
        <f>Q17</f>
        <v>交通便捷度</v>
      </c>
      <c r="AA17" s="1789">
        <f t="shared" si="3"/>
        <v>1</v>
      </c>
      <c r="AB17" s="1789">
        <f t="shared" si="4"/>
        <v>1</v>
      </c>
      <c r="AC17" s="2644">
        <f t="shared" si="5"/>
        <v>1</v>
      </c>
    </row>
    <row r="18" spans="1:29" ht="15">
      <c r="A18" s="427"/>
      <c r="B18" s="631"/>
      <c r="C18" s="2646" t="s">
        <v>3048</v>
      </c>
      <c r="D18" s="449"/>
      <c r="E18" s="2646" t="s">
        <v>3048</v>
      </c>
      <c r="F18" s="449"/>
      <c r="G18" s="2646" t="s">
        <v>3048</v>
      </c>
      <c r="H18" s="447"/>
      <c r="I18" s="2646" t="s">
        <v>3048</v>
      </c>
      <c r="J18" s="447"/>
      <c r="K18" s="614"/>
      <c r="L18" s="1122"/>
      <c r="M18" s="1113"/>
      <c r="N18" s="1113"/>
      <c r="O18" s="1113"/>
      <c r="P18" s="3648"/>
      <c r="Q18" s="1788"/>
      <c r="R18" s="770"/>
      <c r="S18" s="771"/>
      <c r="T18" s="770"/>
      <c r="U18" s="771"/>
      <c r="V18" s="770"/>
      <c r="W18" s="771"/>
      <c r="X18" s="1791"/>
      <c r="Y18" s="3650"/>
      <c r="Z18" s="1792"/>
      <c r="AA18" s="1789">
        <v>1</v>
      </c>
      <c r="AB18" s="1789">
        <v>1</v>
      </c>
      <c r="AC18" s="2644">
        <v>1</v>
      </c>
    </row>
    <row r="19" spans="1:29" ht="55.2">
      <c r="A19" s="427"/>
      <c r="B19" s="630" t="s">
        <v>2671</v>
      </c>
      <c r="C19" s="2645" t="str">
        <f>估价对象房地状况!C7</f>
        <v>估价对象所在区域公共配套设施齐备情况较好</v>
      </c>
      <c r="D19" s="454">
        <v>100</v>
      </c>
      <c r="E19" s="458" t="s">
        <v>3378</v>
      </c>
      <c r="F19" s="454">
        <f>SUMIF(81:81,E20,82:82)-SUMIF(81:81,C20,82:82)+100</f>
        <v>98</v>
      </c>
      <c r="G19" s="458" t="s">
        <v>3378</v>
      </c>
      <c r="H19" s="449">
        <f>SUMIF(81:81,G20,82:82)-SUMIF(81:81,C20,82:82)+100</f>
        <v>98</v>
      </c>
      <c r="I19" s="458" t="s">
        <v>3378</v>
      </c>
      <c r="J19" s="449">
        <f>SUMIF(81:81,I20,82:82)-SUMIF(81:81,C20,82:82)+100</f>
        <v>98</v>
      </c>
      <c r="K19" s="613">
        <v>2</v>
      </c>
      <c r="L19" s="1122"/>
      <c r="M19" s="1113"/>
      <c r="N19" s="1113"/>
      <c r="O19" s="1113"/>
      <c r="P19" s="3648"/>
      <c r="Q19" s="1788" t="str">
        <f>B19</f>
        <v>公共配套设施</v>
      </c>
      <c r="R19" s="770" t="s">
        <v>17</v>
      </c>
      <c r="S19" s="771">
        <f>F19</f>
        <v>98</v>
      </c>
      <c r="T19" s="770" t="s">
        <v>17</v>
      </c>
      <c r="U19" s="771">
        <f>H19</f>
        <v>98</v>
      </c>
      <c r="V19" s="770" t="s">
        <v>17</v>
      </c>
      <c r="W19" s="771">
        <f>J19</f>
        <v>98</v>
      </c>
      <c r="X19" s="1791"/>
      <c r="Y19" s="3650"/>
      <c r="Z19" s="1792" t="str">
        <f>Q19</f>
        <v>公共配套设施</v>
      </c>
      <c r="AA19" s="1789">
        <f t="shared" si="3"/>
        <v>1.0204081632653061</v>
      </c>
      <c r="AB19" s="1789">
        <f t="shared" si="4"/>
        <v>1.0204081632653061</v>
      </c>
      <c r="AC19" s="2644">
        <f t="shared" si="5"/>
        <v>1.0204081632653061</v>
      </c>
    </row>
    <row r="20" spans="1:29" ht="15">
      <c r="A20" s="427"/>
      <c r="B20" s="631"/>
      <c r="C20" s="2646" t="s">
        <v>3048</v>
      </c>
      <c r="D20" s="447"/>
      <c r="E20" s="2646" t="s">
        <v>3049</v>
      </c>
      <c r="F20" s="447"/>
      <c r="G20" s="2646" t="s">
        <v>3049</v>
      </c>
      <c r="H20" s="447"/>
      <c r="I20" s="2646" t="s">
        <v>3049</v>
      </c>
      <c r="J20" s="447"/>
      <c r="K20" s="614"/>
      <c r="L20" s="1122"/>
      <c r="M20" s="1113"/>
      <c r="N20" s="1113"/>
      <c r="O20" s="1113"/>
      <c r="P20" s="3648"/>
      <c r="Q20" s="1788"/>
      <c r="R20" s="770"/>
      <c r="S20" s="771"/>
      <c r="T20" s="770"/>
      <c r="U20" s="771"/>
      <c r="V20" s="770"/>
      <c r="W20" s="771"/>
      <c r="X20" s="1791"/>
      <c r="Y20" s="3650"/>
      <c r="Z20" s="1792"/>
      <c r="AA20" s="1789">
        <v>1</v>
      </c>
      <c r="AB20" s="1789">
        <v>1</v>
      </c>
      <c r="AC20" s="2644">
        <v>1</v>
      </c>
    </row>
    <row r="21" spans="1:29" ht="41.4">
      <c r="A21" s="427"/>
      <c r="B21" s="632" t="s">
        <v>2672</v>
      </c>
      <c r="C21" s="2645" t="str">
        <f>估价对象房地状况!C8</f>
        <v>估价对象所在区域基础设施水平“七通一平</v>
      </c>
      <c r="D21" s="449">
        <v>100</v>
      </c>
      <c r="E21" s="458" t="s">
        <v>3055</v>
      </c>
      <c r="F21" s="454">
        <f>SUMIF(83:83,E22,84:84)-SUMIF(83:83,C22,84:84)+100</f>
        <v>100</v>
      </c>
      <c r="G21" s="458" t="s">
        <v>3055</v>
      </c>
      <c r="H21" s="449">
        <f>SUMIF(83:83,G22,84:84)-SUMIF(83:83,C22,84:84)+100</f>
        <v>100</v>
      </c>
      <c r="I21" s="458" t="s">
        <v>3055</v>
      </c>
      <c r="J21" s="449">
        <f>SUMIF(83:83,I22,84:84)-SUMIF(83:83,C22,84:84)+100</f>
        <v>100</v>
      </c>
      <c r="K21" s="613">
        <v>1</v>
      </c>
      <c r="L21" s="1122"/>
      <c r="M21" s="1113"/>
      <c r="N21" s="1113"/>
      <c r="O21" s="1113"/>
      <c r="P21" s="3648"/>
      <c r="Q21" s="1788" t="str">
        <f>B21</f>
        <v>基础设施水平</v>
      </c>
      <c r="R21" s="770" t="s">
        <v>17</v>
      </c>
      <c r="S21" s="771">
        <f>F21</f>
        <v>100</v>
      </c>
      <c r="T21" s="770" t="s">
        <v>17</v>
      </c>
      <c r="U21" s="771">
        <f>H21</f>
        <v>100</v>
      </c>
      <c r="V21" s="770" t="s">
        <v>17</v>
      </c>
      <c r="W21" s="771">
        <f>J21</f>
        <v>100</v>
      </c>
      <c r="X21" s="1791"/>
      <c r="Y21" s="3650"/>
      <c r="Z21" s="1792" t="str">
        <f>Q21</f>
        <v>基础设施水平</v>
      </c>
      <c r="AA21" s="1789">
        <f t="shared" ref="AA21" si="8">D21/F21</f>
        <v>1</v>
      </c>
      <c r="AB21" s="1789">
        <f t="shared" ref="AB21" si="9">D21/H21</f>
        <v>1</v>
      </c>
      <c r="AC21" s="2644">
        <f t="shared" ref="AC21" si="10">D21/J21</f>
        <v>1</v>
      </c>
    </row>
    <row r="22" spans="1:29" ht="15">
      <c r="A22" s="427"/>
      <c r="B22" s="632"/>
      <c r="C22" s="2646" t="s">
        <v>3087</v>
      </c>
      <c r="D22" s="447"/>
      <c r="E22" s="2646" t="s">
        <v>3087</v>
      </c>
      <c r="F22" s="447"/>
      <c r="G22" s="2646" t="s">
        <v>3087</v>
      </c>
      <c r="H22" s="447"/>
      <c r="I22" s="2646" t="s">
        <v>3087</v>
      </c>
      <c r="J22" s="447"/>
      <c r="K22" s="1364"/>
      <c r="L22" s="1122"/>
      <c r="M22" s="1113"/>
      <c r="N22" s="1113"/>
      <c r="O22" s="1113"/>
      <c r="P22" s="3648"/>
      <c r="Q22" s="1788"/>
      <c r="R22" s="770"/>
      <c r="S22" s="771"/>
      <c r="T22" s="770"/>
      <c r="U22" s="771"/>
      <c r="V22" s="770"/>
      <c r="W22" s="771"/>
      <c r="X22" s="1791"/>
      <c r="Y22" s="3650"/>
      <c r="Z22" s="1792"/>
      <c r="AA22" s="1789">
        <v>1</v>
      </c>
      <c r="AB22" s="1789">
        <v>1</v>
      </c>
      <c r="AC22" s="2644">
        <v>1</v>
      </c>
    </row>
    <row r="23" spans="1:29" ht="82.8">
      <c r="A23" s="427"/>
      <c r="B23" s="630" t="s">
        <v>2673</v>
      </c>
      <c r="C23" s="2645" t="str">
        <f>估价对象房地状况!C9</f>
        <v>区域自然环境：望湖公园、北小河公园；人文环境：青年政治学院；综合评价环境状况较好</v>
      </c>
      <c r="D23" s="449">
        <v>100</v>
      </c>
      <c r="E23" s="453" t="s">
        <v>3136</v>
      </c>
      <c r="F23" s="449">
        <f>SUMIF(85:85,E24,86:86)-SUMIF(85:85,C24,86:86)+100</f>
        <v>100</v>
      </c>
      <c r="G23" s="453" t="s">
        <v>3136</v>
      </c>
      <c r="H23" s="449">
        <f>SUMIF(85:85,G24,86:86)-SUMIF(85:85,C24,86:86)+100</f>
        <v>100</v>
      </c>
      <c r="I23" s="453" t="s">
        <v>3136</v>
      </c>
      <c r="J23" s="449">
        <f>SUMIF(85:85,I24,86:86)-SUMIF(85:85,C24,86:86)+100</f>
        <v>100</v>
      </c>
      <c r="K23" s="613">
        <v>2</v>
      </c>
      <c r="L23" s="1122"/>
      <c r="M23" s="1113"/>
      <c r="N23" s="1113"/>
      <c r="O23" s="1113"/>
      <c r="P23" s="3648"/>
      <c r="Q23" s="1788" t="str">
        <f>B23</f>
        <v>环境质量</v>
      </c>
      <c r="R23" s="770" t="s">
        <v>17</v>
      </c>
      <c r="S23" s="771">
        <f>F23</f>
        <v>100</v>
      </c>
      <c r="T23" s="770" t="s">
        <v>17</v>
      </c>
      <c r="U23" s="771">
        <f>H23</f>
        <v>100</v>
      </c>
      <c r="V23" s="770" t="s">
        <v>17</v>
      </c>
      <c r="W23" s="771">
        <f>J23</f>
        <v>100</v>
      </c>
      <c r="X23" s="1791"/>
      <c r="Y23" s="3650"/>
      <c r="Z23" s="1792" t="str">
        <f>Q23</f>
        <v>环境质量</v>
      </c>
      <c r="AA23" s="1789">
        <f t="shared" si="3"/>
        <v>1</v>
      </c>
      <c r="AB23" s="1789">
        <f t="shared" si="4"/>
        <v>1</v>
      </c>
      <c r="AC23" s="2644">
        <f t="shared" si="5"/>
        <v>1</v>
      </c>
    </row>
    <row r="24" spans="1:29" ht="15">
      <c r="A24" s="427"/>
      <c r="B24" s="632"/>
      <c r="C24" s="2581" t="s">
        <v>3048</v>
      </c>
      <c r="D24" s="447"/>
      <c r="E24" s="2581" t="s">
        <v>3048</v>
      </c>
      <c r="F24" s="447"/>
      <c r="G24" s="2581" t="s">
        <v>3048</v>
      </c>
      <c r="H24" s="447"/>
      <c r="I24" s="2581" t="s">
        <v>3048</v>
      </c>
      <c r="J24" s="447"/>
      <c r="K24" s="614"/>
      <c r="L24" s="1122"/>
      <c r="M24" s="1113"/>
      <c r="N24" s="1113"/>
      <c r="O24" s="1113"/>
      <c r="P24" s="3648"/>
      <c r="Q24" s="1788"/>
      <c r="R24" s="770"/>
      <c r="S24" s="771"/>
      <c r="T24" s="770"/>
      <c r="U24" s="771"/>
      <c r="V24" s="770"/>
      <c r="W24" s="771"/>
      <c r="X24" s="1791"/>
      <c r="Y24" s="3650"/>
      <c r="Z24" s="1792"/>
      <c r="AA24" s="1789">
        <v>1</v>
      </c>
      <c r="AB24" s="1789">
        <v>1</v>
      </c>
      <c r="AC24" s="2644">
        <v>1</v>
      </c>
    </row>
    <row r="25" spans="1:29" ht="28.8">
      <c r="A25" s="403"/>
      <c r="B25" s="630" t="s">
        <v>2674</v>
      </c>
      <c r="C25" s="2974"/>
      <c r="D25" s="434">
        <v>100</v>
      </c>
      <c r="E25" s="3399"/>
      <c r="F25" s="3400">
        <f>SUMIF(87:87,E26,88:88)-SUMIF(87:87,C26,88:88)+100</f>
        <v>100</v>
      </c>
      <c r="G25" s="3399"/>
      <c r="H25" s="3400">
        <f>SUMIF(87:87,G26,88:88)-SUMIF(87:87,C26,88:88)+100</f>
        <v>100</v>
      </c>
      <c r="I25" s="3399"/>
      <c r="J25" s="434">
        <f>SUMIF(87:87,I26,88:88)-SUMIF(87:87,C26,88:88)+100</f>
        <v>100</v>
      </c>
      <c r="K25" s="613">
        <v>1</v>
      </c>
      <c r="L25" s="1122"/>
      <c r="M25" s="1113"/>
      <c r="N25" s="1113"/>
      <c r="O25" s="1113"/>
      <c r="P25" s="3648"/>
      <c r="Q25" s="1788" t="str">
        <f>B25</f>
        <v>毗邻道路的类型与等级</v>
      </c>
      <c r="R25" s="770" t="s">
        <v>17</v>
      </c>
      <c r="S25" s="771">
        <f>F25</f>
        <v>100</v>
      </c>
      <c r="T25" s="770" t="s">
        <v>17</v>
      </c>
      <c r="U25" s="771">
        <f>H25</f>
        <v>100</v>
      </c>
      <c r="V25" s="770" t="s">
        <v>17</v>
      </c>
      <c r="W25" s="771">
        <f>J25</f>
        <v>100</v>
      </c>
      <c r="X25" s="1791"/>
      <c r="Y25" s="3650"/>
      <c r="Z25" s="1792" t="str">
        <f>Q25</f>
        <v>毗邻道路的类型与等级</v>
      </c>
      <c r="AA25" s="1789">
        <f t="shared" si="3"/>
        <v>1</v>
      </c>
      <c r="AB25" s="1789">
        <f t="shared" si="4"/>
        <v>1</v>
      </c>
      <c r="AC25" s="2644">
        <f t="shared" si="5"/>
        <v>1</v>
      </c>
    </row>
    <row r="26" spans="1:29" ht="15">
      <c r="A26" s="403"/>
      <c r="B26" s="631"/>
      <c r="C26" s="633" t="s">
        <v>3342</v>
      </c>
      <c r="D26" s="434"/>
      <c r="E26" s="633" t="s">
        <v>3342</v>
      </c>
      <c r="F26" s="434"/>
      <c r="G26" s="633" t="s">
        <v>3342</v>
      </c>
      <c r="H26" s="434"/>
      <c r="I26" s="633" t="s">
        <v>3342</v>
      </c>
      <c r="J26" s="434"/>
      <c r="K26" s="614"/>
      <c r="L26" s="1122"/>
      <c r="M26" s="1113"/>
      <c r="N26" s="1113"/>
      <c r="O26" s="1113"/>
      <c r="P26" s="3648"/>
      <c r="Q26" s="1788"/>
      <c r="R26" s="770"/>
      <c r="S26" s="771"/>
      <c r="T26" s="770"/>
      <c r="U26" s="771"/>
      <c r="V26" s="770"/>
      <c r="W26" s="771"/>
      <c r="X26" s="1791"/>
      <c r="Y26" s="3650"/>
      <c r="Z26" s="1792"/>
      <c r="AA26" s="1789">
        <v>1</v>
      </c>
      <c r="AB26" s="1789">
        <v>1</v>
      </c>
      <c r="AC26" s="2644">
        <v>1</v>
      </c>
    </row>
    <row r="27" spans="1:29" ht="15">
      <c r="A27" s="427"/>
      <c r="B27" s="631" t="s">
        <v>2642</v>
      </c>
      <c r="C27" s="633" t="s">
        <v>3130</v>
      </c>
      <c r="D27" s="434">
        <v>100</v>
      </c>
      <c r="E27" s="615" t="s">
        <v>3138</v>
      </c>
      <c r="F27" s="434">
        <f>SUMIF(89:89,E27,90:90)-SUMIF(89:89,C27,90:90)+100</f>
        <v>104</v>
      </c>
      <c r="G27" s="633" t="s">
        <v>3138</v>
      </c>
      <c r="H27" s="434">
        <f>SUMIF(89:89,G27,90:90)-SUMIF(89:89,C27,90:90)+100</f>
        <v>104</v>
      </c>
      <c r="I27" s="633" t="s">
        <v>3138</v>
      </c>
      <c r="J27" s="434">
        <f>SUMIF(89:89,I27,90:90)-SUMIF(89:89,C27,90:90)+100</f>
        <v>104</v>
      </c>
      <c r="K27" s="611">
        <v>4</v>
      </c>
      <c r="L27" s="1122"/>
      <c r="M27" s="1113"/>
      <c r="N27" s="1113"/>
      <c r="O27" s="1113"/>
      <c r="P27" s="3648"/>
      <c r="Q27" s="1788" t="str">
        <f t="shared" ref="Q27:Q47" si="11">B27</f>
        <v>楼层</v>
      </c>
      <c r="R27" s="770" t="s">
        <v>17</v>
      </c>
      <c r="S27" s="771">
        <f>F27</f>
        <v>104</v>
      </c>
      <c r="T27" s="770" t="s">
        <v>17</v>
      </c>
      <c r="U27" s="771">
        <f>H27</f>
        <v>104</v>
      </c>
      <c r="V27" s="770" t="s">
        <v>17</v>
      </c>
      <c r="W27" s="771">
        <f>J27</f>
        <v>104</v>
      </c>
      <c r="X27" s="1791"/>
      <c r="Y27" s="3650"/>
      <c r="Z27" s="1792" t="str">
        <f>Q27</f>
        <v>楼层</v>
      </c>
      <c r="AA27" s="1789">
        <f t="shared" si="3"/>
        <v>0.96153846153846156</v>
      </c>
      <c r="AB27" s="1789">
        <f t="shared" si="4"/>
        <v>0.96153846153846156</v>
      </c>
      <c r="AC27" s="2644">
        <f t="shared" si="5"/>
        <v>0.96153846153846156</v>
      </c>
    </row>
    <row r="28" spans="1:29" s="117" customFormat="1" ht="15">
      <c r="A28" s="430"/>
      <c r="B28" s="630" t="s">
        <v>2675</v>
      </c>
      <c r="C28" s="2647"/>
      <c r="D28" s="461">
        <v>100</v>
      </c>
      <c r="E28" s="2635"/>
      <c r="F28" s="461">
        <f>SUMIF(91:91,E28,92:92)-SUMIF(91:91,C28,92:92)+100</f>
        <v>100</v>
      </c>
      <c r="G28" s="2647"/>
      <c r="H28" s="461">
        <f>SUMIF(91:91,G28,92:92)-SUMIF(91:91,C28,92:92)+100</f>
        <v>100</v>
      </c>
      <c r="I28" s="2635"/>
      <c r="J28" s="461">
        <f>SUMIF(91:91,I28,92:92)-SUMIF(91:91,C28,92:92)+100</f>
        <v>100</v>
      </c>
      <c r="K28" s="611"/>
      <c r="L28" s="1114"/>
      <c r="M28" s="1115"/>
      <c r="N28" s="1115"/>
      <c r="O28" s="1115"/>
      <c r="P28" s="3648"/>
      <c r="Q28" s="1773" t="str">
        <f t="shared" si="11"/>
        <v>朝向</v>
      </c>
      <c r="R28" s="766" t="s">
        <v>17</v>
      </c>
      <c r="S28" s="767">
        <f>F28</f>
        <v>100</v>
      </c>
      <c r="T28" s="766" t="s">
        <v>17</v>
      </c>
      <c r="U28" s="767">
        <f>H28</f>
        <v>100</v>
      </c>
      <c r="V28" s="766" t="s">
        <v>17</v>
      </c>
      <c r="W28" s="767">
        <f>J28</f>
        <v>100</v>
      </c>
      <c r="X28" s="768"/>
      <c r="Y28" s="3650"/>
      <c r="Z28" s="55" t="str">
        <f>Q28</f>
        <v>朝向</v>
      </c>
      <c r="AA28" s="1789">
        <f>D28/F28</f>
        <v>1</v>
      </c>
      <c r="AB28" s="1789">
        <f>D28/H28</f>
        <v>1</v>
      </c>
      <c r="AC28" s="2644">
        <f>D28/J28</f>
        <v>1</v>
      </c>
    </row>
    <row r="29" spans="1:29" ht="15">
      <c r="A29" s="427"/>
      <c r="B29" s="2648">
        <v>111</v>
      </c>
      <c r="C29" s="2585"/>
      <c r="D29" s="434">
        <v>100</v>
      </c>
      <c r="E29" s="431"/>
      <c r="F29" s="434">
        <f>SUMIF(93:93,E29,94:94)-SUMIF(93:93,C29,94:94)+100</f>
        <v>100</v>
      </c>
      <c r="G29" s="2642"/>
      <c r="H29" s="434">
        <f>SUMIF(93:93,G29,94:94)-SUMIF(93:93,C29,94:94)+100</f>
        <v>100</v>
      </c>
      <c r="I29" s="431"/>
      <c r="J29" s="434">
        <f>SUMIF(93:93,I29,94:94)-SUMIF(93:93,C29,94:94)+100</f>
        <v>100</v>
      </c>
      <c r="K29" s="612"/>
      <c r="L29" s="1122"/>
      <c r="M29" s="1113"/>
      <c r="N29" s="1113"/>
      <c r="O29" s="1113"/>
      <c r="P29" s="3648"/>
      <c r="Q29" s="1788">
        <f t="shared" si="11"/>
        <v>111</v>
      </c>
      <c r="R29" s="770" t="s">
        <v>17</v>
      </c>
      <c r="S29" s="771">
        <f t="shared" ref="S29:S47" si="12">F29</f>
        <v>100</v>
      </c>
      <c r="T29" s="770" t="s">
        <v>17</v>
      </c>
      <c r="U29" s="771">
        <f t="shared" ref="U29:U47" si="13">H29</f>
        <v>100</v>
      </c>
      <c r="V29" s="770" t="s">
        <v>17</v>
      </c>
      <c r="W29" s="771">
        <f t="shared" ref="W29:W47" si="14">J29</f>
        <v>100</v>
      </c>
      <c r="X29" s="1791"/>
      <c r="Y29" s="3650"/>
      <c r="Z29" s="1792">
        <f t="shared" ref="Z29:Z47" si="15">Q29</f>
        <v>111</v>
      </c>
      <c r="AA29" s="1789">
        <f t="shared" si="3"/>
        <v>1</v>
      </c>
      <c r="AB29" s="1789">
        <f t="shared" si="4"/>
        <v>1</v>
      </c>
      <c r="AC29" s="2644">
        <f t="shared" si="5"/>
        <v>1</v>
      </c>
    </row>
    <row r="30" spans="1:29" ht="15">
      <c r="A30" s="427"/>
      <c r="B30" s="2648">
        <v>111</v>
      </c>
      <c r="C30" s="2585"/>
      <c r="D30" s="434">
        <v>100</v>
      </c>
      <c r="E30" s="431"/>
      <c r="F30" s="434">
        <f>SUMIF(95:95,E30,96:96)-SUMIF(95:95,C30,96:96)+100</f>
        <v>100</v>
      </c>
      <c r="G30" s="2642"/>
      <c r="H30" s="434">
        <f>SUMIF(95:95,G30,96:96)-SUMIF(95:95,C30,96:96)+100</f>
        <v>100</v>
      </c>
      <c r="I30" s="431"/>
      <c r="J30" s="434">
        <f>SUMIF(95:95,I30,96:96)-SUMIF(95:95,C30,96:96)+100</f>
        <v>100</v>
      </c>
      <c r="K30" s="612"/>
      <c r="L30" s="1122"/>
      <c r="M30" s="1113"/>
      <c r="N30" s="1113"/>
      <c r="O30" s="1113"/>
      <c r="P30" s="3648"/>
      <c r="Q30" s="1788">
        <f t="shared" si="11"/>
        <v>111</v>
      </c>
      <c r="R30" s="770" t="s">
        <v>17</v>
      </c>
      <c r="S30" s="771">
        <f t="shared" si="12"/>
        <v>100</v>
      </c>
      <c r="T30" s="770" t="s">
        <v>17</v>
      </c>
      <c r="U30" s="771">
        <f t="shared" si="13"/>
        <v>100</v>
      </c>
      <c r="V30" s="770" t="s">
        <v>17</v>
      </c>
      <c r="W30" s="771">
        <f t="shared" si="14"/>
        <v>100</v>
      </c>
      <c r="X30" s="1791"/>
      <c r="Y30" s="3650"/>
      <c r="Z30" s="1792">
        <f t="shared" si="15"/>
        <v>111</v>
      </c>
      <c r="AA30" s="1789">
        <f t="shared" si="3"/>
        <v>1</v>
      </c>
      <c r="AB30" s="1789">
        <f t="shared" si="4"/>
        <v>1</v>
      </c>
      <c r="AC30" s="2644">
        <f t="shared" si="5"/>
        <v>1</v>
      </c>
    </row>
    <row r="31" spans="1:29" ht="15">
      <c r="A31" s="427"/>
      <c r="B31" s="2648">
        <v>111</v>
      </c>
      <c r="C31" s="2585"/>
      <c r="D31" s="434">
        <v>100</v>
      </c>
      <c r="E31" s="431"/>
      <c r="F31" s="434">
        <f>SUMIF(97:97,E31,98:98)-SUMIF(97:97,C31,98:98)+100</f>
        <v>100</v>
      </c>
      <c r="G31" s="2642"/>
      <c r="H31" s="434">
        <f>SUMIF(97:97,G31,98:98)-SUMIF(97:97,C31,98:98)+100</f>
        <v>100</v>
      </c>
      <c r="I31" s="431"/>
      <c r="J31" s="434">
        <f>SUMIF(97:97,I31,98:98)-SUMIF(97:97,C31,98:98)+100</f>
        <v>100</v>
      </c>
      <c r="K31" s="612"/>
      <c r="L31" s="1122"/>
      <c r="M31" s="1113"/>
      <c r="N31" s="1113"/>
      <c r="O31" s="1113"/>
      <c r="P31" s="3648"/>
      <c r="Q31" s="1788">
        <f t="shared" si="11"/>
        <v>111</v>
      </c>
      <c r="R31" s="770" t="s">
        <v>17</v>
      </c>
      <c r="S31" s="771">
        <f t="shared" si="12"/>
        <v>100</v>
      </c>
      <c r="T31" s="770" t="s">
        <v>17</v>
      </c>
      <c r="U31" s="771">
        <f t="shared" si="13"/>
        <v>100</v>
      </c>
      <c r="V31" s="770" t="s">
        <v>17</v>
      </c>
      <c r="W31" s="771">
        <f t="shared" si="14"/>
        <v>100</v>
      </c>
      <c r="X31" s="1791"/>
      <c r="Y31" s="3650"/>
      <c r="Z31" s="1792">
        <f t="shared" si="15"/>
        <v>111</v>
      </c>
      <c r="AA31" s="1789">
        <f t="shared" si="3"/>
        <v>1</v>
      </c>
      <c r="AB31" s="1789">
        <f t="shared" si="4"/>
        <v>1</v>
      </c>
      <c r="AC31" s="2644">
        <f t="shared" si="5"/>
        <v>1</v>
      </c>
    </row>
    <row r="32" spans="1:29" ht="15.6" thickBot="1">
      <c r="A32" s="435"/>
      <c r="B32" s="634">
        <v>111</v>
      </c>
      <c r="C32" s="2586"/>
      <c r="D32" s="437">
        <v>100</v>
      </c>
      <c r="E32" s="627"/>
      <c r="F32" s="437">
        <f>SUMIF(99:99,E32,100:100)-SUMIF(99:99,C32,100:100)+100</f>
        <v>100</v>
      </c>
      <c r="G32" s="2642"/>
      <c r="H32" s="437">
        <f>SUMIF(99:99,G32,100:100)-SUMIF(99:99,C32,100:100)+100</f>
        <v>100</v>
      </c>
      <c r="I32" s="431"/>
      <c r="J32" s="437">
        <f>SUMIF(99:99,I32,100:100)-SUMIF(99:99,C32,100:100)+100</f>
        <v>100</v>
      </c>
      <c r="K32" s="612"/>
      <c r="L32" s="1122"/>
      <c r="M32" s="1113"/>
      <c r="N32" s="1113"/>
      <c r="O32" s="1113"/>
      <c r="P32" s="3648"/>
      <c r="Q32" s="1788">
        <f t="shared" si="11"/>
        <v>111</v>
      </c>
      <c r="R32" s="770" t="s">
        <v>17</v>
      </c>
      <c r="S32" s="771">
        <f t="shared" si="12"/>
        <v>100</v>
      </c>
      <c r="T32" s="770" t="s">
        <v>17</v>
      </c>
      <c r="U32" s="771">
        <f t="shared" si="13"/>
        <v>100</v>
      </c>
      <c r="V32" s="770" t="s">
        <v>17</v>
      </c>
      <c r="W32" s="771">
        <f t="shared" si="14"/>
        <v>100</v>
      </c>
      <c r="X32" s="1791"/>
      <c r="Y32" s="3650"/>
      <c r="Z32" s="1792">
        <f t="shared" si="15"/>
        <v>111</v>
      </c>
      <c r="AA32" s="1789">
        <f t="shared" si="3"/>
        <v>1</v>
      </c>
      <c r="AB32" s="1789">
        <f t="shared" si="4"/>
        <v>1</v>
      </c>
      <c r="AC32" s="2644">
        <f t="shared" si="5"/>
        <v>1</v>
      </c>
    </row>
    <row r="33" spans="1:29" ht="15">
      <c r="A33" s="439" t="s">
        <v>2546</v>
      </c>
      <c r="B33" s="71" t="s">
        <v>2676</v>
      </c>
      <c r="C33" s="2649" t="s">
        <v>3131</v>
      </c>
      <c r="D33" s="466">
        <v>100</v>
      </c>
      <c r="E33" s="2649" t="s">
        <v>3131</v>
      </c>
      <c r="F33" s="460">
        <f>SUMIF(101:101,E33,102:102)-SUMIF(101:101,C33,102:102)+100</f>
        <v>100</v>
      </c>
      <c r="G33" s="2649" t="s">
        <v>3131</v>
      </c>
      <c r="H33" s="434">
        <f>SUMIF(101:101,G33,102:102)-SUMIF(101:101,C33,102:102)+100</f>
        <v>100</v>
      </c>
      <c r="I33" s="2649" t="s">
        <v>3131</v>
      </c>
      <c r="J33" s="466">
        <f>SUMIF(101:101,I33,102:102)-SUMIF(101:101,C33,102:102)+100</f>
        <v>100</v>
      </c>
      <c r="K33" s="611"/>
      <c r="L33" s="1122"/>
      <c r="M33" s="1113"/>
      <c r="N33" s="1113"/>
      <c r="O33" s="1113"/>
      <c r="P33" s="3651" t="s">
        <v>2548</v>
      </c>
      <c r="Q33" s="1788" t="str">
        <f t="shared" si="11"/>
        <v>建筑类型</v>
      </c>
      <c r="R33" s="770" t="s">
        <v>17</v>
      </c>
      <c r="S33" s="771">
        <f t="shared" si="12"/>
        <v>100</v>
      </c>
      <c r="T33" s="770" t="s">
        <v>17</v>
      </c>
      <c r="U33" s="771">
        <f t="shared" si="13"/>
        <v>100</v>
      </c>
      <c r="V33" s="770" t="s">
        <v>17</v>
      </c>
      <c r="W33" s="771">
        <f t="shared" si="14"/>
        <v>100</v>
      </c>
      <c r="X33" s="1791"/>
      <c r="Y33" s="3654" t="s">
        <v>2548</v>
      </c>
      <c r="Z33" s="1792" t="str">
        <f t="shared" si="15"/>
        <v>建筑类型</v>
      </c>
      <c r="AA33" s="1789">
        <f t="shared" si="3"/>
        <v>1</v>
      </c>
      <c r="AB33" s="1789">
        <f t="shared" si="4"/>
        <v>1</v>
      </c>
      <c r="AC33" s="2644">
        <f t="shared" si="5"/>
        <v>1</v>
      </c>
    </row>
    <row r="34" spans="1:29" s="470" customFormat="1" ht="15">
      <c r="A34" s="467"/>
      <c r="B34" s="421" t="s">
        <v>2549</v>
      </c>
      <c r="C34" s="468">
        <v>500</v>
      </c>
      <c r="D34" s="136">
        <v>100</v>
      </c>
      <c r="E34" s="468">
        <v>500</v>
      </c>
      <c r="F34" s="424">
        <f>LOOKUP(E34,104:104,105:105)-LOOKUP(C34,104:104,105:105)+100</f>
        <v>100</v>
      </c>
      <c r="G34" s="468">
        <v>500</v>
      </c>
      <c r="H34" s="136">
        <f>LOOKUP(G34,104:104,105:105)-LOOKUP(C34,104:104,105:105)+100</f>
        <v>100</v>
      </c>
      <c r="I34" s="468">
        <v>500</v>
      </c>
      <c r="J34" s="136">
        <f>LOOKUP(I34,104:104,105:105)-LOOKUP(C34,104:104,105:105)+100</f>
        <v>100</v>
      </c>
      <c r="K34" s="612"/>
      <c r="L34" s="1120"/>
      <c r="M34" s="1123"/>
      <c r="N34" s="1123"/>
      <c r="O34" s="1123"/>
      <c r="P34" s="3652"/>
      <c r="Q34" s="772" t="str">
        <f t="shared" si="11"/>
        <v>项目建筑规模</v>
      </c>
      <c r="R34" s="773" t="s">
        <v>17</v>
      </c>
      <c r="S34" s="774">
        <f t="shared" si="12"/>
        <v>100</v>
      </c>
      <c r="T34" s="773" t="s">
        <v>17</v>
      </c>
      <c r="U34" s="774">
        <f t="shared" si="13"/>
        <v>100</v>
      </c>
      <c r="V34" s="773" t="s">
        <v>17</v>
      </c>
      <c r="W34" s="774">
        <f t="shared" si="14"/>
        <v>100</v>
      </c>
      <c r="X34" s="775"/>
      <c r="Y34" s="3654"/>
      <c r="Z34" s="776" t="str">
        <f t="shared" si="15"/>
        <v>项目建筑规模</v>
      </c>
      <c r="AA34" s="1789">
        <f t="shared" si="3"/>
        <v>1</v>
      </c>
      <c r="AB34" s="1789">
        <f t="shared" si="4"/>
        <v>1</v>
      </c>
      <c r="AC34" s="2644">
        <f t="shared" si="5"/>
        <v>1</v>
      </c>
    </row>
    <row r="35" spans="1:29" ht="15">
      <c r="A35" s="471"/>
      <c r="B35" s="421" t="s">
        <v>2550</v>
      </c>
      <c r="C35" s="459" t="s">
        <v>3034</v>
      </c>
      <c r="D35" s="434">
        <v>100</v>
      </c>
      <c r="E35" s="459" t="s">
        <v>3034</v>
      </c>
      <c r="F35" s="460">
        <f>SUMIF(106:106,E35,107:107)-SUMIF(106:106,C35,107:107)+100</f>
        <v>100</v>
      </c>
      <c r="G35" s="459" t="s">
        <v>3034</v>
      </c>
      <c r="H35" s="434">
        <f>SUMIF(106:106,G35,107:107)-SUMIF(106:106,C35,107:107)+100</f>
        <v>100</v>
      </c>
      <c r="I35" s="459" t="s">
        <v>3034</v>
      </c>
      <c r="J35" s="434">
        <f>SUMIF(106:106,I35,107:107)-SUMIF(106:106,C35,107:107)+100</f>
        <v>100</v>
      </c>
      <c r="K35" s="611">
        <v>2</v>
      </c>
      <c r="L35" s="1122"/>
      <c r="M35" s="1113"/>
      <c r="N35" s="1113"/>
      <c r="O35" s="1113"/>
      <c r="P35" s="3652"/>
      <c r="Q35" s="1788" t="str">
        <f t="shared" si="11"/>
        <v>建筑结构</v>
      </c>
      <c r="R35" s="770" t="s">
        <v>17</v>
      </c>
      <c r="S35" s="771">
        <f t="shared" si="12"/>
        <v>100</v>
      </c>
      <c r="T35" s="770" t="s">
        <v>17</v>
      </c>
      <c r="U35" s="771">
        <f t="shared" si="13"/>
        <v>100</v>
      </c>
      <c r="V35" s="770" t="s">
        <v>17</v>
      </c>
      <c r="W35" s="771">
        <f t="shared" si="14"/>
        <v>100</v>
      </c>
      <c r="X35" s="1791"/>
      <c r="Y35" s="3654"/>
      <c r="Z35" s="1792" t="str">
        <f t="shared" si="15"/>
        <v>建筑结构</v>
      </c>
      <c r="AA35" s="1789">
        <f t="shared" si="3"/>
        <v>1</v>
      </c>
      <c r="AB35" s="1789">
        <f t="shared" si="4"/>
        <v>1</v>
      </c>
      <c r="AC35" s="2644">
        <f t="shared" si="5"/>
        <v>1</v>
      </c>
    </row>
    <row r="36" spans="1:29" ht="15">
      <c r="A36" s="471"/>
      <c r="B36" s="421" t="s">
        <v>2644</v>
      </c>
      <c r="C36" s="459" t="s">
        <v>3133</v>
      </c>
      <c r="D36" s="434">
        <v>100</v>
      </c>
      <c r="E36" s="459" t="s">
        <v>3133</v>
      </c>
      <c r="F36" s="460">
        <f>SUMIF(108:108,E36,109:109)-SUMIF(108:108,C36,109:109)+100</f>
        <v>100</v>
      </c>
      <c r="G36" s="459" t="s">
        <v>3133</v>
      </c>
      <c r="H36" s="434">
        <f>SUMIF(108:108,G36,109:109)-SUMIF(108:108,C36,109:109)+100</f>
        <v>100</v>
      </c>
      <c r="I36" s="459" t="s">
        <v>3133</v>
      </c>
      <c r="J36" s="434">
        <f>SUMIF(108:108,I36,109:109)-SUMIF(108:108,C36,109:109)+100</f>
        <v>100</v>
      </c>
      <c r="K36" s="611">
        <v>2</v>
      </c>
      <c r="L36" s="1122"/>
      <c r="M36" s="1113"/>
      <c r="N36" s="1113"/>
      <c r="O36" s="1113"/>
      <c r="P36" s="3652"/>
      <c r="Q36" s="1788" t="str">
        <f t="shared" si="11"/>
        <v>公共部分装修</v>
      </c>
      <c r="R36" s="770" t="s">
        <v>17</v>
      </c>
      <c r="S36" s="771">
        <f t="shared" si="12"/>
        <v>100</v>
      </c>
      <c r="T36" s="770" t="s">
        <v>17</v>
      </c>
      <c r="U36" s="771">
        <f t="shared" si="13"/>
        <v>100</v>
      </c>
      <c r="V36" s="770" t="s">
        <v>17</v>
      </c>
      <c r="W36" s="771">
        <f t="shared" si="14"/>
        <v>100</v>
      </c>
      <c r="X36" s="1791"/>
      <c r="Y36" s="3654"/>
      <c r="Z36" s="1792" t="str">
        <f t="shared" si="15"/>
        <v>公共部分装修</v>
      </c>
      <c r="AA36" s="1789">
        <f t="shared" si="3"/>
        <v>1</v>
      </c>
      <c r="AB36" s="1789">
        <f t="shared" si="4"/>
        <v>1</v>
      </c>
      <c r="AC36" s="2644">
        <f t="shared" si="5"/>
        <v>1</v>
      </c>
    </row>
    <row r="37" spans="1:29" ht="15">
      <c r="A37" s="471"/>
      <c r="B37" s="421" t="s">
        <v>2645</v>
      </c>
      <c r="C37" s="473">
        <f>'数据-取费表'!N6</f>
        <v>0.95</v>
      </c>
      <c r="D37" s="434">
        <v>100</v>
      </c>
      <c r="E37" s="3397">
        <v>0.93</v>
      </c>
      <c r="F37" s="3398">
        <f>LOOKUP(E37,111:111,112:112)-LOOKUP(C37,111:111,112:112)+100</f>
        <v>100</v>
      </c>
      <c r="G37" s="3397">
        <f>ROUND(1-(2019-2015)/60,2)</f>
        <v>0.93</v>
      </c>
      <c r="H37" s="3398">
        <f>LOOKUP(G37,111:111,112:112)-LOOKUP(C37,111:111,112:112)+100</f>
        <v>100</v>
      </c>
      <c r="I37" s="3397">
        <f>ROUND(1-(2019-2014)/60,2)</f>
        <v>0.92</v>
      </c>
      <c r="J37" s="3396">
        <f>LOOKUP(I37,111:111,112:112)-LOOKUP(C37,111:111,112:112)+100</f>
        <v>100</v>
      </c>
      <c r="K37" s="611">
        <v>1</v>
      </c>
      <c r="L37" s="1122"/>
      <c r="M37" s="1113"/>
      <c r="N37" s="1113"/>
      <c r="O37" s="1113"/>
      <c r="P37" s="3652"/>
      <c r="Q37" s="1788" t="str">
        <f t="shared" si="11"/>
        <v>成新度</v>
      </c>
      <c r="R37" s="770" t="s">
        <v>17</v>
      </c>
      <c r="S37" s="771">
        <f t="shared" si="12"/>
        <v>100</v>
      </c>
      <c r="T37" s="770" t="s">
        <v>17</v>
      </c>
      <c r="U37" s="771">
        <f t="shared" si="13"/>
        <v>100</v>
      </c>
      <c r="V37" s="770" t="s">
        <v>17</v>
      </c>
      <c r="W37" s="771">
        <f t="shared" si="14"/>
        <v>100</v>
      </c>
      <c r="X37" s="1791"/>
      <c r="Y37" s="3654"/>
      <c r="Z37" s="1792" t="str">
        <f t="shared" si="15"/>
        <v>成新度</v>
      </c>
      <c r="AA37" s="1789">
        <f t="shared" si="3"/>
        <v>1</v>
      </c>
      <c r="AB37" s="1789">
        <f t="shared" si="4"/>
        <v>1</v>
      </c>
      <c r="AC37" s="2644">
        <f t="shared" si="5"/>
        <v>1</v>
      </c>
    </row>
    <row r="38" spans="1:29" s="117" customFormat="1" ht="15">
      <c r="A38" s="472"/>
      <c r="B38" s="421" t="s">
        <v>2677</v>
      </c>
      <c r="C38" s="459" t="s">
        <v>3134</v>
      </c>
      <c r="D38" s="136">
        <v>100</v>
      </c>
      <c r="E38" s="459" t="s">
        <v>3134</v>
      </c>
      <c r="F38" s="460">
        <f>SUMIF(113:113,E38,114:114)-SUMIF(113:113,C38,114:114)+100</f>
        <v>100</v>
      </c>
      <c r="G38" s="459" t="s">
        <v>3134</v>
      </c>
      <c r="H38" s="434">
        <f>SUMIF(113:113,G38,114:114)-SUMIF(113:113,C38,114:114)+100</f>
        <v>100</v>
      </c>
      <c r="I38" s="459" t="s">
        <v>3134</v>
      </c>
      <c r="J38" s="434">
        <f>SUMIF(113:113,I38,114:114)-SUMIF(113:113,C38,114:114)+100</f>
        <v>100</v>
      </c>
      <c r="K38" s="611">
        <v>2</v>
      </c>
      <c r="L38" s="1114"/>
      <c r="M38" s="1115"/>
      <c r="N38" s="1115"/>
      <c r="O38" s="1115"/>
      <c r="P38" s="3652"/>
      <c r="Q38" s="1773" t="str">
        <f t="shared" si="11"/>
        <v>写字楼等级</v>
      </c>
      <c r="R38" s="766" t="s">
        <v>17</v>
      </c>
      <c r="S38" s="767">
        <f t="shared" si="12"/>
        <v>100</v>
      </c>
      <c r="T38" s="766" t="s">
        <v>17</v>
      </c>
      <c r="U38" s="767">
        <f t="shared" si="13"/>
        <v>100</v>
      </c>
      <c r="V38" s="766" t="s">
        <v>17</v>
      </c>
      <c r="W38" s="767">
        <f t="shared" si="14"/>
        <v>100</v>
      </c>
      <c r="X38" s="768"/>
      <c r="Y38" s="3654"/>
      <c r="Z38" s="55" t="str">
        <f t="shared" si="15"/>
        <v>写字楼等级</v>
      </c>
      <c r="AA38" s="769">
        <f t="shared" si="3"/>
        <v>1</v>
      </c>
      <c r="AB38" s="769">
        <f t="shared" si="4"/>
        <v>1</v>
      </c>
      <c r="AC38" s="2641">
        <f t="shared" si="5"/>
        <v>1</v>
      </c>
    </row>
    <row r="39" spans="1:29" ht="15">
      <c r="A39" s="471"/>
      <c r="B39" s="421" t="s">
        <v>2678</v>
      </c>
      <c r="C39" s="459" t="s">
        <v>3120</v>
      </c>
      <c r="D39" s="434">
        <v>100</v>
      </c>
      <c r="E39" s="459" t="s">
        <v>3120</v>
      </c>
      <c r="F39" s="460">
        <f>SUMIF(115:115,E39,116:116)-SUMIF(115:115,C39,116:116)+100</f>
        <v>100</v>
      </c>
      <c r="G39" s="459" t="s">
        <v>3120</v>
      </c>
      <c r="H39" s="434">
        <f>SUMIF(115:115,G39,116:116)-SUMIF(115:115,C39,116:116)+100</f>
        <v>100</v>
      </c>
      <c r="I39" s="459" t="s">
        <v>3120</v>
      </c>
      <c r="J39" s="434">
        <f>SUMIF(115:115,I39,116:116)-SUMIF(115:115,C39,116:116)+100</f>
        <v>100</v>
      </c>
      <c r="K39" s="611">
        <v>2</v>
      </c>
      <c r="L39" s="1122"/>
      <c r="M39" s="1113"/>
      <c r="N39" s="1113"/>
      <c r="O39" s="1113"/>
      <c r="P39" s="3652" t="s">
        <v>2548</v>
      </c>
      <c r="Q39" s="1788" t="str">
        <f t="shared" si="11"/>
        <v>物业管理</v>
      </c>
      <c r="R39" s="770" t="s">
        <v>17</v>
      </c>
      <c r="S39" s="771">
        <f t="shared" si="12"/>
        <v>100</v>
      </c>
      <c r="T39" s="770" t="s">
        <v>17</v>
      </c>
      <c r="U39" s="771">
        <f t="shared" si="13"/>
        <v>100</v>
      </c>
      <c r="V39" s="770" t="s">
        <v>17</v>
      </c>
      <c r="W39" s="771">
        <f t="shared" si="14"/>
        <v>100</v>
      </c>
      <c r="X39" s="1791"/>
      <c r="Y39" s="3654" t="s">
        <v>2548</v>
      </c>
      <c r="Z39" s="1792" t="str">
        <f t="shared" si="15"/>
        <v>物业管理</v>
      </c>
      <c r="AA39" s="1789">
        <f t="shared" si="3"/>
        <v>1</v>
      </c>
      <c r="AB39" s="1789">
        <f t="shared" si="4"/>
        <v>1</v>
      </c>
      <c r="AC39" s="2644">
        <f t="shared" si="5"/>
        <v>1</v>
      </c>
    </row>
    <row r="40" spans="1:29" ht="15">
      <c r="A40" s="471"/>
      <c r="B40" s="421" t="s">
        <v>2646</v>
      </c>
      <c r="C40" s="459" t="s">
        <v>3087</v>
      </c>
      <c r="D40" s="434">
        <v>100</v>
      </c>
      <c r="E40" s="459" t="s">
        <v>3087</v>
      </c>
      <c r="F40" s="460">
        <f>SUMIF(117:117,E40,118:118)-SUMIF(117:117,C40,118:118)+100</f>
        <v>100</v>
      </c>
      <c r="G40" s="459" t="s">
        <v>3087</v>
      </c>
      <c r="H40" s="434">
        <f>SUMIF(117:117,G40,118:118)-SUMIF(117:117,C40,118:118)+100</f>
        <v>100</v>
      </c>
      <c r="I40" s="459" t="s">
        <v>3087</v>
      </c>
      <c r="J40" s="434">
        <f>SUMIF(117:117,I40,118:118)-SUMIF(117:117,C40,118:118)+100</f>
        <v>100</v>
      </c>
      <c r="K40" s="611">
        <v>1</v>
      </c>
      <c r="L40" s="1122"/>
      <c r="M40" s="1113"/>
      <c r="N40" s="1113"/>
      <c r="O40" s="1113"/>
      <c r="P40" s="3652"/>
      <c r="Q40" s="1788" t="str">
        <f t="shared" si="11"/>
        <v>市政基础设施</v>
      </c>
      <c r="R40" s="770" t="s">
        <v>17</v>
      </c>
      <c r="S40" s="771">
        <f t="shared" si="12"/>
        <v>100</v>
      </c>
      <c r="T40" s="770" t="s">
        <v>17</v>
      </c>
      <c r="U40" s="771">
        <f t="shared" si="13"/>
        <v>100</v>
      </c>
      <c r="V40" s="770" t="s">
        <v>17</v>
      </c>
      <c r="W40" s="771">
        <f t="shared" si="14"/>
        <v>100</v>
      </c>
      <c r="X40" s="1791"/>
      <c r="Y40" s="3654"/>
      <c r="Z40" s="1792" t="str">
        <f t="shared" si="15"/>
        <v>市政基础设施</v>
      </c>
      <c r="AA40" s="1789">
        <f t="shared" si="3"/>
        <v>1</v>
      </c>
      <c r="AB40" s="1789">
        <f t="shared" si="4"/>
        <v>1</v>
      </c>
      <c r="AC40" s="2644">
        <f t="shared" si="5"/>
        <v>1</v>
      </c>
    </row>
    <row r="41" spans="1:29" ht="15">
      <c r="A41" s="471"/>
      <c r="B41" s="421" t="s">
        <v>2648</v>
      </c>
      <c r="C41" s="615" t="s">
        <v>3089</v>
      </c>
      <c r="D41" s="434">
        <v>100</v>
      </c>
      <c r="E41" s="615" t="s">
        <v>3089</v>
      </c>
      <c r="F41" s="460">
        <f>SUMIF(119:119,E41,120:120)-SUMIF(119:119,C41,120:120)+100</f>
        <v>100</v>
      </c>
      <c r="G41" s="615" t="s">
        <v>3089</v>
      </c>
      <c r="H41" s="434">
        <f>SUMIF(119:119,G41,120:120)-SUMIF(119:119,C41,120:120)+100</f>
        <v>100</v>
      </c>
      <c r="I41" s="615" t="s">
        <v>3089</v>
      </c>
      <c r="J41" s="434">
        <f>SUMIF(119:119,I41,120:120)-SUMIF(119:119,C41,120:120)+100</f>
        <v>100</v>
      </c>
      <c r="K41" s="611">
        <v>3</v>
      </c>
      <c r="L41" s="1122"/>
      <c r="M41" s="1113"/>
      <c r="N41" s="1113"/>
      <c r="O41" s="1113"/>
      <c r="P41" s="3652"/>
      <c r="Q41" s="1788" t="str">
        <f t="shared" si="11"/>
        <v>层高</v>
      </c>
      <c r="R41" s="770" t="s">
        <v>17</v>
      </c>
      <c r="S41" s="771">
        <f t="shared" si="12"/>
        <v>100</v>
      </c>
      <c r="T41" s="770" t="s">
        <v>17</v>
      </c>
      <c r="U41" s="771">
        <f t="shared" si="13"/>
        <v>100</v>
      </c>
      <c r="V41" s="770" t="s">
        <v>17</v>
      </c>
      <c r="W41" s="771">
        <f t="shared" si="14"/>
        <v>100</v>
      </c>
      <c r="X41" s="1791"/>
      <c r="Y41" s="3654"/>
      <c r="Z41" s="1792" t="str">
        <f t="shared" si="15"/>
        <v>层高</v>
      </c>
      <c r="AA41" s="1789">
        <f t="shared" si="3"/>
        <v>1</v>
      </c>
      <c r="AB41" s="1789">
        <f t="shared" si="4"/>
        <v>1</v>
      </c>
      <c r="AC41" s="2644">
        <f t="shared" si="5"/>
        <v>1</v>
      </c>
    </row>
    <row r="42" spans="1:29" s="470" customFormat="1" ht="15">
      <c r="A42" s="467"/>
      <c r="B42" s="1790" t="s">
        <v>2679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0"/>
      <c r="M42" s="1123"/>
      <c r="N42" s="1123"/>
      <c r="O42" s="1123"/>
      <c r="P42" s="3652"/>
      <c r="Q42" s="772" t="str">
        <f t="shared" si="11"/>
        <v>单套建筑面积</v>
      </c>
      <c r="R42" s="773" t="s">
        <v>17</v>
      </c>
      <c r="S42" s="774">
        <f t="shared" si="12"/>
        <v>100</v>
      </c>
      <c r="T42" s="773" t="s">
        <v>17</v>
      </c>
      <c r="U42" s="774">
        <f t="shared" si="13"/>
        <v>100</v>
      </c>
      <c r="V42" s="773" t="s">
        <v>17</v>
      </c>
      <c r="W42" s="774">
        <f t="shared" si="14"/>
        <v>100</v>
      </c>
      <c r="X42" s="775"/>
      <c r="Y42" s="3654"/>
      <c r="Z42" s="776" t="str">
        <f t="shared" si="15"/>
        <v>单套建筑面积</v>
      </c>
      <c r="AA42" s="1789">
        <f t="shared" si="3"/>
        <v>1</v>
      </c>
      <c r="AB42" s="1789">
        <f t="shared" si="4"/>
        <v>1</v>
      </c>
      <c r="AC42" s="2644">
        <f t="shared" si="5"/>
        <v>1</v>
      </c>
    </row>
    <row r="43" spans="1:29" ht="15">
      <c r="A43" s="471"/>
      <c r="B43" s="421" t="s">
        <v>2651</v>
      </c>
      <c r="C43" s="459" t="s">
        <v>3133</v>
      </c>
      <c r="D43" s="434">
        <v>100</v>
      </c>
      <c r="E43" s="459" t="s">
        <v>3133</v>
      </c>
      <c r="F43" s="460">
        <f>SUMIF(123:123,E43,124:124)-SUMIF(123:123,C43,124:124)+100</f>
        <v>100</v>
      </c>
      <c r="G43" s="459" t="s">
        <v>3133</v>
      </c>
      <c r="H43" s="434">
        <f>SUMIF(123:123,G43,124:124)-SUMIF(123:123,C43,124:124)+100</f>
        <v>100</v>
      </c>
      <c r="I43" s="459" t="s">
        <v>3133</v>
      </c>
      <c r="J43" s="434">
        <f>SUMIF(123:123,I43,124:124)-SUMIF(123:123,C43,124:124)+100</f>
        <v>100</v>
      </c>
      <c r="K43" s="611">
        <v>2</v>
      </c>
      <c r="L43" s="1122"/>
      <c r="M43" s="1113"/>
      <c r="N43" s="1113"/>
      <c r="O43" s="1113"/>
      <c r="P43" s="3652"/>
      <c r="Q43" s="1788" t="str">
        <f t="shared" si="11"/>
        <v>内部装修</v>
      </c>
      <c r="R43" s="770" t="s">
        <v>17</v>
      </c>
      <c r="S43" s="771">
        <f t="shared" si="12"/>
        <v>100</v>
      </c>
      <c r="T43" s="770" t="s">
        <v>17</v>
      </c>
      <c r="U43" s="771">
        <f t="shared" si="13"/>
        <v>100</v>
      </c>
      <c r="V43" s="770" t="s">
        <v>17</v>
      </c>
      <c r="W43" s="771">
        <f t="shared" si="14"/>
        <v>100</v>
      </c>
      <c r="X43" s="1791"/>
      <c r="Y43" s="3654"/>
      <c r="Z43" s="1792" t="str">
        <f t="shared" si="15"/>
        <v>内部装修</v>
      </c>
      <c r="AA43" s="1789">
        <f t="shared" si="3"/>
        <v>1</v>
      </c>
      <c r="AB43" s="1789">
        <f t="shared" si="4"/>
        <v>1</v>
      </c>
      <c r="AC43" s="2644">
        <f t="shared" si="5"/>
        <v>1</v>
      </c>
    </row>
    <row r="44" spans="1:29" ht="28.8">
      <c r="A44" s="471"/>
      <c r="B44" s="421" t="s">
        <v>2559</v>
      </c>
      <c r="C44" s="459" t="s">
        <v>3048</v>
      </c>
      <c r="D44" s="434">
        <v>100</v>
      </c>
      <c r="E44" s="459" t="s">
        <v>3048</v>
      </c>
      <c r="F44" s="460">
        <f>SUMIF(125:125,E44,126:126)-SUMIF(125:125,C44,126:126)+100</f>
        <v>100</v>
      </c>
      <c r="G44" s="459" t="s">
        <v>3048</v>
      </c>
      <c r="H44" s="434">
        <f>SUMIF(125:125,G44,126:126)-SUMIF(125:125,C44,126:126)+100</f>
        <v>100</v>
      </c>
      <c r="I44" s="459" t="s">
        <v>3048</v>
      </c>
      <c r="J44" s="434">
        <f>SUMIF(125:125,I44,126:126)-SUMIF(125:125,C44,126:126)+100</f>
        <v>100</v>
      </c>
      <c r="K44" s="611">
        <v>2</v>
      </c>
      <c r="L44" s="1122"/>
      <c r="M44" s="1113"/>
      <c r="N44" s="1113"/>
      <c r="O44" s="1113"/>
      <c r="P44" s="3652"/>
      <c r="Q44" s="1788" t="str">
        <f t="shared" si="11"/>
        <v>内部装修维护情况</v>
      </c>
      <c r="R44" s="770" t="s">
        <v>17</v>
      </c>
      <c r="S44" s="771">
        <f t="shared" si="12"/>
        <v>100</v>
      </c>
      <c r="T44" s="770" t="s">
        <v>17</v>
      </c>
      <c r="U44" s="771">
        <f t="shared" si="13"/>
        <v>100</v>
      </c>
      <c r="V44" s="770" t="s">
        <v>17</v>
      </c>
      <c r="W44" s="771">
        <f t="shared" si="14"/>
        <v>100</v>
      </c>
      <c r="X44" s="1791"/>
      <c r="Y44" s="3654"/>
      <c r="Z44" s="1792" t="str">
        <f t="shared" si="15"/>
        <v>内部装修维护情况</v>
      </c>
      <c r="AA44" s="1789">
        <f t="shared" si="3"/>
        <v>1</v>
      </c>
      <c r="AB44" s="1789">
        <f t="shared" si="4"/>
        <v>1</v>
      </c>
      <c r="AC44" s="2644">
        <f t="shared" si="5"/>
        <v>1</v>
      </c>
    </row>
    <row r="45" spans="1:29" s="117" customFormat="1" ht="15">
      <c r="A45" s="472"/>
      <c r="B45" s="136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4"/>
      <c r="M45" s="1115"/>
      <c r="N45" s="1115"/>
      <c r="O45" s="1115"/>
      <c r="P45" s="3652"/>
      <c r="Q45" s="1773">
        <f t="shared" si="11"/>
        <v>111</v>
      </c>
      <c r="R45" s="766" t="s">
        <v>17</v>
      </c>
      <c r="S45" s="767">
        <f t="shared" si="12"/>
        <v>100</v>
      </c>
      <c r="T45" s="766" t="s">
        <v>17</v>
      </c>
      <c r="U45" s="767">
        <f t="shared" si="13"/>
        <v>100</v>
      </c>
      <c r="V45" s="766" t="s">
        <v>17</v>
      </c>
      <c r="W45" s="767">
        <f t="shared" si="14"/>
        <v>100</v>
      </c>
      <c r="X45" s="768"/>
      <c r="Y45" s="3654"/>
      <c r="Z45" s="55">
        <f t="shared" si="15"/>
        <v>111</v>
      </c>
      <c r="AA45" s="769">
        <f t="shared" si="3"/>
        <v>1</v>
      </c>
      <c r="AB45" s="769">
        <f t="shared" si="4"/>
        <v>1</v>
      </c>
      <c r="AC45" s="2641">
        <f t="shared" si="5"/>
        <v>1</v>
      </c>
    </row>
    <row r="46" spans="1:29" ht="15">
      <c r="A46" s="471"/>
      <c r="B46" s="136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2"/>
      <c r="M46" s="1113"/>
      <c r="N46" s="1113"/>
      <c r="O46" s="1113"/>
      <c r="P46" s="3652"/>
      <c r="Q46" s="1788">
        <f t="shared" si="11"/>
        <v>111</v>
      </c>
      <c r="R46" s="770" t="s">
        <v>17</v>
      </c>
      <c r="S46" s="771">
        <f t="shared" si="12"/>
        <v>100</v>
      </c>
      <c r="T46" s="770" t="s">
        <v>17</v>
      </c>
      <c r="U46" s="771">
        <f t="shared" si="13"/>
        <v>100</v>
      </c>
      <c r="V46" s="770" t="s">
        <v>17</v>
      </c>
      <c r="W46" s="771">
        <f t="shared" si="14"/>
        <v>100</v>
      </c>
      <c r="X46" s="1791"/>
      <c r="Y46" s="3654"/>
      <c r="Z46" s="1792">
        <f t="shared" si="15"/>
        <v>111</v>
      </c>
      <c r="AA46" s="1789">
        <f t="shared" si="3"/>
        <v>1</v>
      </c>
      <c r="AB46" s="1789">
        <f t="shared" si="4"/>
        <v>1</v>
      </c>
      <c r="AC46" s="2644">
        <f t="shared" si="5"/>
        <v>1</v>
      </c>
    </row>
    <row r="47" spans="1:29" ht="15.6" thickBot="1">
      <c r="A47" s="477"/>
      <c r="B47" s="2572">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2"/>
      <c r="M47" s="1113"/>
      <c r="N47" s="1113"/>
      <c r="O47" s="1113"/>
      <c r="P47" s="3653"/>
      <c r="Q47" s="1788">
        <f t="shared" si="11"/>
        <v>0.995</v>
      </c>
      <c r="R47" s="770" t="s">
        <v>17</v>
      </c>
      <c r="S47" s="771">
        <f t="shared" si="12"/>
        <v>100</v>
      </c>
      <c r="T47" s="770" t="s">
        <v>17</v>
      </c>
      <c r="U47" s="771">
        <f t="shared" si="13"/>
        <v>100</v>
      </c>
      <c r="V47" s="770" t="s">
        <v>17</v>
      </c>
      <c r="W47" s="771">
        <f t="shared" si="14"/>
        <v>100</v>
      </c>
      <c r="X47" s="1791"/>
      <c r="Y47" s="3655"/>
      <c r="Z47" s="1792">
        <f t="shared" si="15"/>
        <v>0.995</v>
      </c>
      <c r="AA47" s="1789">
        <f t="shared" si="3"/>
        <v>1</v>
      </c>
      <c r="AB47" s="1789">
        <f t="shared" si="4"/>
        <v>1</v>
      </c>
      <c r="AC47" s="2644">
        <f t="shared" si="5"/>
        <v>1</v>
      </c>
    </row>
    <row r="48" spans="1:29" ht="14.4">
      <c r="A48" s="478" t="s">
        <v>2560</v>
      </c>
      <c r="B48" s="479"/>
      <c r="C48" s="1387" t="s">
        <v>1</v>
      </c>
      <c r="D48" s="1388"/>
      <c r="E48" s="1389">
        <v>45000</v>
      </c>
      <c r="F48" s="1390"/>
      <c r="G48" s="1389">
        <v>45918</v>
      </c>
      <c r="H48" s="1392"/>
      <c r="I48" s="1389">
        <v>43810</v>
      </c>
      <c r="J48" s="484"/>
      <c r="K48" s="779"/>
      <c r="L48" s="1125"/>
      <c r="M48" s="1113"/>
      <c r="N48" s="1113"/>
      <c r="O48" s="1113"/>
      <c r="P48" s="3657" t="str">
        <f>A48</f>
        <v>成交单价（元/平方米）</v>
      </c>
      <c r="Q48" s="3642"/>
      <c r="R48" s="3643">
        <f>E48</f>
        <v>45000</v>
      </c>
      <c r="S48" s="3643"/>
      <c r="T48" s="3643">
        <f>G48</f>
        <v>45918</v>
      </c>
      <c r="U48" s="3643"/>
      <c r="V48" s="3643">
        <f>I48</f>
        <v>43810</v>
      </c>
      <c r="W48" s="3643"/>
      <c r="X48" s="445"/>
      <c r="Y48" s="777"/>
      <c r="Z48" s="445"/>
      <c r="AA48" s="445"/>
      <c r="AB48" s="445"/>
      <c r="AC48" s="629"/>
    </row>
    <row r="49" spans="1:29" ht="15" thickBot="1">
      <c r="A49" s="485" t="s">
        <v>2652</v>
      </c>
      <c r="B49" s="486"/>
      <c r="C49" s="1393">
        <f>R50</f>
        <v>44063</v>
      </c>
      <c r="D49" s="1394"/>
      <c r="E49" s="1395">
        <f>R49</f>
        <v>44152</v>
      </c>
      <c r="F49" s="1395"/>
      <c r="G49" s="1393">
        <f>T49</f>
        <v>45053</v>
      </c>
      <c r="H49" s="1394"/>
      <c r="I49" s="1395">
        <f>V49</f>
        <v>42985</v>
      </c>
      <c r="J49" s="488"/>
      <c r="K49" s="780"/>
      <c r="L49" s="1125"/>
      <c r="M49" s="1113"/>
      <c r="N49" s="1113"/>
      <c r="O49" s="1113"/>
      <c r="P49" s="3657" t="str">
        <f>A49</f>
        <v>比较价值（元/平方米）</v>
      </c>
      <c r="Q49" s="3642"/>
      <c r="R49" s="3643">
        <f>IF(F1="售价",ROUND(PRODUCT(R48,AA7:AA47),0),ROUND(PRODUCT(R48,AA7:AA47),1))</f>
        <v>44152</v>
      </c>
      <c r="S49" s="3643"/>
      <c r="T49" s="3643">
        <f>IF(F1="售价",ROUND(PRODUCT(T48,AB7:AB47),0),ROUND(PRODUCT(T48,AB7:AB47),1))</f>
        <v>45053</v>
      </c>
      <c r="U49" s="3643"/>
      <c r="V49" s="3643">
        <f>IF(F1="售价",ROUND(PRODUCT(V48,AC7:AC47),0),ROUND(PRODUCT(V48,AC7:AC47),1))</f>
        <v>42985</v>
      </c>
      <c r="W49" s="3643"/>
      <c r="X49" s="445"/>
      <c r="Y49" s="445"/>
      <c r="Z49" s="445"/>
      <c r="AA49" s="445"/>
      <c r="AB49" s="445"/>
      <c r="AC49" s="629"/>
    </row>
    <row r="50" spans="1:29" ht="15" thickBot="1">
      <c r="A50" s="491" t="s">
        <v>2653</v>
      </c>
      <c r="B50" s="492"/>
      <c r="C50" s="1397">
        <f>R50</f>
        <v>44063</v>
      </c>
      <c r="D50" s="1397"/>
      <c r="E50" s="1397"/>
      <c r="F50" s="1397"/>
      <c r="G50" s="1397"/>
      <c r="H50" s="1397"/>
      <c r="I50" s="1397"/>
      <c r="J50" s="493"/>
      <c r="K50" s="781"/>
      <c r="L50" s="1125"/>
      <c r="M50" s="1113"/>
      <c r="N50" s="1113"/>
      <c r="O50" s="1113"/>
      <c r="P50" s="3703" t="str">
        <f>A50</f>
        <v>估价对象XX用房的比较价值（楼面单价，元/平方米）</v>
      </c>
      <c r="Q50" s="3704"/>
      <c r="R50" s="3705">
        <f>IF(F1="售价",ROUND(AVERAGE(R49:V49),0),ROUND(AVERAGE(R49:V49),1))</f>
        <v>44063</v>
      </c>
      <c r="S50" s="3705"/>
      <c r="T50" s="3705"/>
      <c r="U50" s="3705"/>
      <c r="V50" s="3705"/>
      <c r="W50" s="3705"/>
      <c r="X50" s="2624"/>
      <c r="Y50" s="2624"/>
      <c r="Z50" s="2624"/>
      <c r="AA50" s="2624"/>
      <c r="AB50" s="2624"/>
      <c r="AC50" s="2625"/>
    </row>
    <row r="51" spans="1:29">
      <c r="A51" s="1126"/>
      <c r="B51" s="1126"/>
      <c r="C51" s="1126"/>
      <c r="D51" s="1126"/>
      <c r="E51" s="1126"/>
      <c r="F51" s="1126"/>
      <c r="G51" s="1129"/>
      <c r="H51" s="1126"/>
      <c r="I51" s="1126"/>
      <c r="J51" s="1126"/>
      <c r="K51" s="1094"/>
      <c r="L51" s="1095"/>
      <c r="M51" s="1126"/>
      <c r="N51" s="1126"/>
      <c r="O51" s="1126"/>
    </row>
    <row r="52" spans="1:29">
      <c r="A52" s="1126"/>
      <c r="B52" s="1126"/>
      <c r="C52" s="1126"/>
      <c r="D52" s="1126"/>
      <c r="E52" s="1126"/>
      <c r="F52" s="1126"/>
      <c r="G52" s="1126"/>
      <c r="H52" s="1126"/>
      <c r="I52" s="1126"/>
      <c r="J52" s="1126"/>
      <c r="K52" s="1094"/>
      <c r="L52" s="1095"/>
      <c r="M52" s="1126"/>
      <c r="N52" s="1126"/>
      <c r="O52" s="1126"/>
    </row>
    <row r="53" spans="1:29" ht="13.5" customHeight="1">
      <c r="A53" s="1126"/>
      <c r="B53" s="1126"/>
      <c r="C53" s="496" t="s">
        <v>2654</v>
      </c>
      <c r="D53" s="497"/>
      <c r="E53" s="498">
        <f>IF(E48&lt;E49,E49/E48-1,E48/E49-1)</f>
        <v>1.9206377967023069E-2</v>
      </c>
      <c r="F53" s="499" t="str">
        <f>IF(OR(E53&gt;=0.3,E53&lt;=-0.3),"超过30%","")</f>
        <v/>
      </c>
      <c r="G53" s="498">
        <f>IF(G48&lt;G49,G49/G48-1,G48/G49-1)</f>
        <v>1.9199609348989011E-2</v>
      </c>
      <c r="H53" s="499" t="str">
        <f>IF(OR(G53&gt;=0.3,G53&lt;=-0.3),"超过30%","")</f>
        <v/>
      </c>
      <c r="I53" s="498">
        <f>IF(I48&lt;I49,I49/I48-1,I48/I49-1)</f>
        <v>1.9192741654065371E-2</v>
      </c>
      <c r="J53" s="499" t="str">
        <f>IF(OR(I53&gt;=0.3,I53&lt;=-0.3),"超过30%","")</f>
        <v/>
      </c>
      <c r="K53" s="1094"/>
      <c r="L53" s="1095"/>
      <c r="M53" s="1126"/>
      <c r="N53" s="1126"/>
      <c r="O53" s="1126"/>
    </row>
    <row r="54" spans="1:29" ht="13.5" customHeight="1">
      <c r="A54" s="1126"/>
      <c r="B54" s="1126"/>
      <c r="C54" s="496" t="s">
        <v>2655</v>
      </c>
      <c r="D54" s="500"/>
      <c r="E54" s="498">
        <f>IF(E49&lt;G49,G49/E49-1,E49/G49-1)</f>
        <v>2.0406776589962039E-2</v>
      </c>
      <c r="F54" s="499" t="str">
        <f>IF(OR(E54&gt;=0.2,E54&lt;=-0.2),"超过20%","")</f>
        <v/>
      </c>
      <c r="G54" s="498">
        <f>IF(G49&lt;I49,I49/G49-1,G49/I49-1)</f>
        <v>4.8109805746190615E-2</v>
      </c>
      <c r="H54" s="499" t="str">
        <f>IF(OR(G54&gt;=0.2,G54&lt;=-0.2),"超过20%","")</f>
        <v/>
      </c>
      <c r="I54" s="498">
        <f>IF(I49&lt;E49,E49/I49-1,I49/E49-1)</f>
        <v>2.7149005467023368E-2</v>
      </c>
      <c r="J54" s="499" t="str">
        <f>IF(OR(I54&gt;=0.2,I54&lt;=-0.2),"超过20%","")</f>
        <v/>
      </c>
      <c r="K54" s="1094"/>
      <c r="L54" s="1095"/>
      <c r="M54" s="1126"/>
      <c r="N54" s="1126"/>
      <c r="O54" s="1126"/>
    </row>
    <row r="55" spans="1:29" s="501" customFormat="1" ht="13.5" customHeight="1">
      <c r="A55" s="1127"/>
      <c r="B55" s="1127"/>
      <c r="C55" s="496" t="s">
        <v>2656</v>
      </c>
      <c r="D55" s="500"/>
      <c r="E55" s="498">
        <f>IF(E48&lt;G48,G48/E48-1,E48/G48-1)</f>
        <v>2.0399999999999974E-2</v>
      </c>
      <c r="F55" s="499" t="str">
        <f>IF(OR(E55&gt;=0.3,E55&lt;=-0.3),"超过30%","")</f>
        <v/>
      </c>
      <c r="G55" s="498">
        <f>IF(G48&lt;I48,I48/G48-1,G48/I48-1)</f>
        <v>4.8116868294909798E-2</v>
      </c>
      <c r="H55" s="499" t="str">
        <f>IF(OR(G55&gt;=0.3,G55&lt;=-0.3),"超过30%","")</f>
        <v/>
      </c>
      <c r="I55" s="498">
        <f>IF(I48&lt;E48,E48/I48-1,I48/E48-1)</f>
        <v>2.7162748230997513E-2</v>
      </c>
      <c r="J55" s="499" t="str">
        <f>IF(OR(I55&gt;=0.3,I55&lt;=-0.3),"超过30%","")</f>
        <v/>
      </c>
      <c r="K55" s="1130"/>
      <c r="L55" s="1131"/>
      <c r="M55" s="1127"/>
      <c r="N55" s="1127"/>
      <c r="O55" s="1127"/>
      <c r="P55" s="2650"/>
    </row>
    <row r="56" spans="1:29" s="501" customFormat="1">
      <c r="A56" s="1127"/>
      <c r="B56" s="1128"/>
      <c r="C56" s="1132"/>
      <c r="D56" s="1127"/>
      <c r="E56" s="1127"/>
      <c r="F56" s="1127"/>
      <c r="G56" s="1127"/>
      <c r="H56" s="1127"/>
      <c r="I56" s="1127"/>
      <c r="J56" s="1127"/>
      <c r="K56" s="1130"/>
      <c r="L56" s="1131"/>
      <c r="M56" s="1127"/>
      <c r="N56" s="1127"/>
      <c r="O56" s="1127"/>
      <c r="P56" s="2650"/>
    </row>
    <row r="57" spans="1:29">
      <c r="A57" s="1126"/>
      <c r="B57" s="1128"/>
      <c r="C57" s="1132"/>
      <c r="D57" s="1126"/>
      <c r="E57" s="1126"/>
      <c r="F57" s="1126"/>
      <c r="G57" s="1126"/>
      <c r="H57" s="1126"/>
      <c r="I57" s="1126"/>
      <c r="J57" s="1126"/>
      <c r="K57" s="1094"/>
      <c r="L57" s="1095"/>
      <c r="M57" s="1126"/>
      <c r="N57" s="1126"/>
      <c r="O57" s="1126"/>
    </row>
    <row r="58" spans="1:29" ht="22.2" thickBot="1">
      <c r="A58" s="759" t="s">
        <v>2657</v>
      </c>
      <c r="B58" s="755"/>
      <c r="C58" s="760"/>
      <c r="D58" s="760"/>
      <c r="E58" s="760"/>
      <c r="F58" s="761"/>
      <c r="G58" s="761"/>
      <c r="H58" s="760"/>
      <c r="I58" s="760"/>
      <c r="J58" s="760"/>
      <c r="K58" s="762"/>
      <c r="L58" s="1143"/>
      <c r="M58" s="1141"/>
      <c r="N58" s="1141"/>
      <c r="O58" s="1141"/>
      <c r="P58" s="2651"/>
      <c r="Q58" s="503"/>
    </row>
    <row r="59" spans="1:29" s="507" customFormat="1" ht="14.4">
      <c r="A59" s="504" t="s">
        <v>2531</v>
      </c>
      <c r="B59" s="505"/>
      <c r="C59" s="1553" t="str">
        <f>YEAR(C7)&amp;"-"&amp;MONTH(C7)</f>
        <v>2020-3</v>
      </c>
      <c r="D59" s="1554">
        <f>EDATE(C59,-1)</f>
        <v>43862</v>
      </c>
      <c r="E59" s="1554">
        <f>EDATE(D59,-1)</f>
        <v>43831</v>
      </c>
      <c r="F59" s="1554">
        <f t="shared" ref="F59:O59" si="16">EDATE(E59,-1)</f>
        <v>43800</v>
      </c>
      <c r="G59" s="1554">
        <f t="shared" si="16"/>
        <v>43770</v>
      </c>
      <c r="H59" s="1554">
        <f t="shared" si="16"/>
        <v>43739</v>
      </c>
      <c r="I59" s="1554">
        <f t="shared" si="16"/>
        <v>43709</v>
      </c>
      <c r="J59" s="1554">
        <f t="shared" si="16"/>
        <v>43678</v>
      </c>
      <c r="K59" s="1554">
        <f t="shared" si="16"/>
        <v>43647</v>
      </c>
      <c r="L59" s="1554">
        <f t="shared" si="16"/>
        <v>43617</v>
      </c>
      <c r="M59" s="1554">
        <f t="shared" si="16"/>
        <v>43586</v>
      </c>
      <c r="N59" s="1554">
        <f t="shared" si="16"/>
        <v>43556</v>
      </c>
      <c r="O59" s="1554">
        <f t="shared" si="16"/>
        <v>43525</v>
      </c>
      <c r="P59" s="1550"/>
    </row>
    <row r="60" spans="1:29" s="117" customFormat="1">
      <c r="A60" s="508"/>
      <c r="B60" s="509"/>
      <c r="C60" s="1552">
        <v>100</v>
      </c>
      <c r="D60" s="511">
        <v>100</v>
      </c>
      <c r="E60" s="511">
        <v>99</v>
      </c>
      <c r="F60" s="511">
        <v>99</v>
      </c>
      <c r="G60" s="511">
        <v>99</v>
      </c>
      <c r="H60" s="511"/>
      <c r="I60" s="511"/>
      <c r="J60" s="511"/>
      <c r="K60" s="511"/>
      <c r="L60" s="511"/>
      <c r="M60" s="512"/>
      <c r="N60" s="511"/>
      <c r="O60" s="512"/>
      <c r="P60" s="2652"/>
    </row>
    <row r="61" spans="1:29" s="117" customFormat="1" ht="15" thickBot="1">
      <c r="A61" s="514" t="s">
        <v>2568</v>
      </c>
      <c r="B61" s="515"/>
      <c r="C61" s="516"/>
      <c r="D61" s="517"/>
      <c r="E61" s="517"/>
      <c r="F61" s="517"/>
      <c r="G61" s="517"/>
      <c r="H61" s="517"/>
      <c r="I61" s="517"/>
      <c r="J61" s="517"/>
      <c r="K61" s="517"/>
      <c r="L61" s="517"/>
      <c r="M61" s="518"/>
      <c r="N61" s="517"/>
      <c r="O61" s="518"/>
      <c r="P61" s="2652"/>
      <c r="Q61" s="503"/>
    </row>
    <row r="62" spans="1:29" s="117" customFormat="1" ht="14.4">
      <c r="A62" s="520" t="s">
        <v>2533</v>
      </c>
      <c r="B62" s="509"/>
      <c r="C62" s="521" t="s">
        <v>2635</v>
      </c>
      <c r="D62" s="522"/>
      <c r="E62" s="522"/>
      <c r="F62" s="522"/>
      <c r="G62" s="522"/>
      <c r="H62" s="522"/>
      <c r="I62" s="522"/>
      <c r="J62" s="522"/>
      <c r="K62" s="522"/>
      <c r="L62" s="523"/>
      <c r="M62" s="524"/>
      <c r="N62" s="1133"/>
      <c r="O62" s="1133"/>
      <c r="P62" s="2653"/>
      <c r="Q62" s="503"/>
    </row>
    <row r="63" spans="1:29" s="117" customFormat="1" ht="14.4" thickBot="1">
      <c r="A63" s="520"/>
      <c r="B63" s="509"/>
      <c r="C63" s="510">
        <v>100</v>
      </c>
      <c r="D63" s="511"/>
      <c r="E63" s="511"/>
      <c r="F63" s="511"/>
      <c r="G63" s="511"/>
      <c r="H63" s="511"/>
      <c r="I63" s="511"/>
      <c r="J63" s="511"/>
      <c r="K63" s="511"/>
      <c r="L63" s="511"/>
      <c r="M63" s="513"/>
      <c r="N63" s="1133"/>
      <c r="O63" s="1133"/>
      <c r="P63" s="2652"/>
      <c r="Q63" s="503"/>
    </row>
    <row r="64" spans="1:29" ht="14.4">
      <c r="A64" s="526" t="s">
        <v>2571</v>
      </c>
      <c r="B64" s="527" t="s">
        <v>2537</v>
      </c>
      <c r="C64" s="528" t="str">
        <f>C9</f>
        <v>办公</v>
      </c>
      <c r="D64" s="529"/>
      <c r="E64" s="529"/>
      <c r="F64" s="529"/>
      <c r="G64" s="529"/>
      <c r="H64" s="529"/>
      <c r="I64" s="529"/>
      <c r="J64" s="529"/>
      <c r="K64" s="530"/>
      <c r="L64" s="531"/>
      <c r="M64" s="532"/>
      <c r="N64" s="1134"/>
      <c r="O64" s="1134"/>
      <c r="P64" s="2654"/>
      <c r="Q64" s="503"/>
    </row>
    <row r="65" spans="1:17" ht="14.4" thickBot="1">
      <c r="A65" s="533"/>
      <c r="B65" s="534"/>
      <c r="C65" s="535">
        <v>100</v>
      </c>
      <c r="D65" s="535"/>
      <c r="E65" s="535"/>
      <c r="F65" s="535"/>
      <c r="G65" s="535"/>
      <c r="H65" s="535"/>
      <c r="I65" s="535"/>
      <c r="J65" s="535"/>
      <c r="K65" s="535"/>
      <c r="L65" s="535"/>
      <c r="M65" s="536"/>
      <c r="N65" s="1135"/>
      <c r="O65" s="1135"/>
      <c r="P65" s="2654"/>
      <c r="Q65" s="503"/>
    </row>
    <row r="66" spans="1:17" ht="29.4" thickTop="1">
      <c r="A66" s="533"/>
      <c r="B66" s="537" t="s">
        <v>2540</v>
      </c>
      <c r="C66" s="538" t="s">
        <v>2572</v>
      </c>
      <c r="D66" s="538" t="s">
        <v>2573</v>
      </c>
      <c r="E66" s="538" t="s">
        <v>2574</v>
      </c>
      <c r="F66" s="538" t="s">
        <v>2575</v>
      </c>
      <c r="G66" s="538" t="s">
        <v>2576</v>
      </c>
      <c r="H66" s="538" t="s">
        <v>2577</v>
      </c>
      <c r="I66" s="538" t="s">
        <v>2578</v>
      </c>
      <c r="J66" s="538"/>
      <c r="K66" s="539"/>
      <c r="L66" s="540"/>
      <c r="M66" s="541"/>
      <c r="N66" s="1134"/>
      <c r="O66" s="1134"/>
      <c r="P66" s="2654"/>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35"/>
      <c r="O67" s="1135"/>
      <c r="P67" s="2654"/>
      <c r="Q67" s="503"/>
    </row>
    <row r="68" spans="1:17" ht="15" thickTop="1">
      <c r="A68" s="533"/>
      <c r="B68" s="545" t="s">
        <v>2541</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5"/>
      <c r="O68" s="1135"/>
      <c r="P68" s="2654"/>
      <c r="Q68" s="503"/>
    </row>
    <row r="69" spans="1:17">
      <c r="A69" s="533"/>
      <c r="B69" s="547"/>
      <c r="C69" s="548">
        <v>0</v>
      </c>
      <c r="D69" s="548">
        <v>2</v>
      </c>
      <c r="E69" s="548">
        <v>4</v>
      </c>
      <c r="F69" s="548">
        <v>6</v>
      </c>
      <c r="G69" s="548">
        <v>8</v>
      </c>
      <c r="H69" s="548">
        <v>10</v>
      </c>
      <c r="I69" s="548">
        <v>12</v>
      </c>
      <c r="J69" s="548"/>
      <c r="K69" s="549"/>
      <c r="L69" s="550"/>
      <c r="M69" s="551"/>
      <c r="N69" s="1134"/>
      <c r="O69" s="1134"/>
      <c r="P69" s="2654"/>
      <c r="Q69" s="503"/>
    </row>
    <row r="70" spans="1:17" ht="14.4"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5"/>
      <c r="O70" s="1135"/>
      <c r="P70" s="2654"/>
      <c r="Q70" s="503"/>
    </row>
    <row r="71" spans="1:17" s="470" customFormat="1" ht="14.4" thickTop="1">
      <c r="A71" s="552"/>
      <c r="B71" s="537">
        <f>B12</f>
        <v>111</v>
      </c>
      <c r="C71" s="553"/>
      <c r="D71" s="553"/>
      <c r="E71" s="553"/>
      <c r="F71" s="553"/>
      <c r="G71" s="553"/>
      <c r="H71" s="554"/>
      <c r="I71" s="554"/>
      <c r="J71" s="554"/>
      <c r="K71" s="554"/>
      <c r="L71" s="555"/>
      <c r="M71" s="556"/>
      <c r="N71" s="1136"/>
      <c r="O71" s="1136"/>
      <c r="P71" s="2655"/>
      <c r="Q71" s="558"/>
    </row>
    <row r="72" spans="1:17" s="470" customFormat="1" ht="14.4" thickBot="1">
      <c r="A72" s="552"/>
      <c r="B72" s="542"/>
      <c r="C72" s="559"/>
      <c r="D72" s="535"/>
      <c r="E72" s="535"/>
      <c r="F72" s="535"/>
      <c r="G72" s="535"/>
      <c r="H72" s="535"/>
      <c r="I72" s="535"/>
      <c r="J72" s="535"/>
      <c r="K72" s="535"/>
      <c r="L72" s="535"/>
      <c r="M72" s="536"/>
      <c r="N72" s="1135"/>
      <c r="O72" s="1135"/>
      <c r="P72" s="2655"/>
      <c r="Q72" s="558"/>
    </row>
    <row r="73" spans="1:17" s="470" customFormat="1" ht="14.4" thickTop="1">
      <c r="A73" s="552"/>
      <c r="B73" s="537">
        <f>B13</f>
        <v>111</v>
      </c>
      <c r="C73" s="553"/>
      <c r="D73" s="553"/>
      <c r="E73" s="553"/>
      <c r="F73" s="553"/>
      <c r="G73" s="553"/>
      <c r="H73" s="554"/>
      <c r="I73" s="554"/>
      <c r="J73" s="554"/>
      <c r="K73" s="554"/>
      <c r="L73" s="555"/>
      <c r="M73" s="556"/>
      <c r="N73" s="1136"/>
      <c r="O73" s="1136"/>
      <c r="P73" s="2656"/>
      <c r="Q73" s="560"/>
    </row>
    <row r="74" spans="1:17" s="470" customFormat="1" ht="14.4" thickBot="1">
      <c r="A74" s="552"/>
      <c r="B74" s="542"/>
      <c r="C74" s="559"/>
      <c r="D74" s="559"/>
      <c r="E74" s="559"/>
      <c r="F74" s="559"/>
      <c r="G74" s="559"/>
      <c r="H74" s="561"/>
      <c r="I74" s="561"/>
      <c r="J74" s="561"/>
      <c r="K74" s="561"/>
      <c r="L74" s="561"/>
      <c r="M74" s="562"/>
      <c r="N74" s="1136"/>
      <c r="O74" s="1136"/>
      <c r="P74" s="2655"/>
      <c r="Q74" s="558"/>
    </row>
    <row r="75" spans="1:17" s="470" customFormat="1" ht="14.4" thickTop="1">
      <c r="A75" s="552"/>
      <c r="B75" s="545">
        <f>B14</f>
        <v>111</v>
      </c>
      <c r="C75" s="522"/>
      <c r="D75" s="522"/>
      <c r="E75" s="522"/>
      <c r="F75" s="522"/>
      <c r="G75" s="522"/>
      <c r="H75" s="563"/>
      <c r="I75" s="563"/>
      <c r="J75" s="563"/>
      <c r="K75" s="563"/>
      <c r="L75" s="564"/>
      <c r="M75" s="565"/>
      <c r="N75" s="1136"/>
      <c r="O75" s="1136"/>
      <c r="P75" s="2657"/>
      <c r="Q75" s="558"/>
    </row>
    <row r="76" spans="1:17" s="470" customFormat="1" ht="14.4" thickBot="1">
      <c r="A76" s="567"/>
      <c r="B76" s="568"/>
      <c r="C76" s="569"/>
      <c r="D76" s="569"/>
      <c r="E76" s="569"/>
      <c r="F76" s="569"/>
      <c r="G76" s="569"/>
      <c r="H76" s="570"/>
      <c r="I76" s="570"/>
      <c r="J76" s="570"/>
      <c r="K76" s="570"/>
      <c r="L76" s="570"/>
      <c r="M76" s="571"/>
      <c r="N76" s="1136"/>
      <c r="O76" s="1136"/>
      <c r="P76" s="2655"/>
      <c r="Q76" s="558"/>
    </row>
    <row r="77" spans="1:17" ht="14.4">
      <c r="A77" s="526" t="s">
        <v>2542</v>
      </c>
      <c r="B77" s="527" t="s">
        <v>2680</v>
      </c>
      <c r="C77" s="572" t="s">
        <v>2580</v>
      </c>
      <c r="D77" s="572" t="s">
        <v>2581</v>
      </c>
      <c r="E77" s="572" t="s">
        <v>2582</v>
      </c>
      <c r="F77" s="572" t="s">
        <v>2583</v>
      </c>
      <c r="G77" s="572" t="s">
        <v>2584</v>
      </c>
      <c r="H77" s="528"/>
      <c r="I77" s="528"/>
      <c r="J77" s="528"/>
      <c r="K77" s="573"/>
      <c r="L77" s="574"/>
      <c r="M77" s="575"/>
      <c r="N77" s="1134"/>
      <c r="O77" s="1134"/>
      <c r="P77" s="2658"/>
      <c r="Q77" s="503"/>
    </row>
    <row r="78" spans="1:17" ht="14.4" thickBot="1">
      <c r="A78" s="533"/>
      <c r="B78" s="542"/>
      <c r="C78" s="543">
        <v>100</v>
      </c>
      <c r="D78" s="543">
        <f>C78-$K15</f>
        <v>95</v>
      </c>
      <c r="E78" s="543">
        <f>D78-$K15</f>
        <v>90</v>
      </c>
      <c r="F78" s="543">
        <f>E78-$K15</f>
        <v>85</v>
      </c>
      <c r="G78" s="543">
        <f>F78-$K15</f>
        <v>80</v>
      </c>
      <c r="H78" s="543"/>
      <c r="I78" s="543"/>
      <c r="J78" s="543"/>
      <c r="K78" s="543"/>
      <c r="L78" s="543"/>
      <c r="M78" s="544"/>
      <c r="N78" s="1135"/>
      <c r="O78" s="1135"/>
      <c r="P78" s="2654"/>
      <c r="Q78" s="503"/>
    </row>
    <row r="79" spans="1:17" ht="15" thickTop="1">
      <c r="A79" s="533"/>
      <c r="B79" s="537" t="s">
        <v>2585</v>
      </c>
      <c r="C79" s="577" t="s">
        <v>2580</v>
      </c>
      <c r="D79" s="577" t="s">
        <v>2581</v>
      </c>
      <c r="E79" s="577" t="s">
        <v>2582</v>
      </c>
      <c r="F79" s="577" t="s">
        <v>2583</v>
      </c>
      <c r="G79" s="577" t="s">
        <v>2584</v>
      </c>
      <c r="H79" s="538"/>
      <c r="I79" s="538"/>
      <c r="J79" s="538"/>
      <c r="K79" s="539"/>
      <c r="L79" s="540"/>
      <c r="M79" s="541"/>
      <c r="N79" s="1134"/>
      <c r="O79" s="1134"/>
      <c r="P79" s="2654"/>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35"/>
      <c r="O80" s="1135"/>
      <c r="P80" s="2654"/>
      <c r="Q80" s="503"/>
    </row>
    <row r="81" spans="1:17" ht="15" thickTop="1">
      <c r="A81" s="533"/>
      <c r="B81" s="537" t="s">
        <v>2586</v>
      </c>
      <c r="C81" s="577" t="s">
        <v>2580</v>
      </c>
      <c r="D81" s="577" t="s">
        <v>2581</v>
      </c>
      <c r="E81" s="577" t="s">
        <v>2582</v>
      </c>
      <c r="F81" s="577" t="s">
        <v>2583</v>
      </c>
      <c r="G81" s="577" t="s">
        <v>2584</v>
      </c>
      <c r="H81" s="538"/>
      <c r="I81" s="538"/>
      <c r="J81" s="538"/>
      <c r="K81" s="539"/>
      <c r="L81" s="540"/>
      <c r="M81" s="541"/>
      <c r="N81" s="1134"/>
      <c r="O81" s="1134"/>
      <c r="P81" s="2654"/>
      <c r="Q81" s="503"/>
    </row>
    <row r="82" spans="1:17" ht="14.4" thickBot="1">
      <c r="A82" s="533"/>
      <c r="B82" s="542"/>
      <c r="C82" s="543">
        <v>100</v>
      </c>
      <c r="D82" s="543">
        <f>C82-$K19</f>
        <v>98</v>
      </c>
      <c r="E82" s="543">
        <f>D82-$K19</f>
        <v>96</v>
      </c>
      <c r="F82" s="543">
        <f>E82-$K19</f>
        <v>94</v>
      </c>
      <c r="G82" s="543">
        <f>F82-$K19</f>
        <v>92</v>
      </c>
      <c r="H82" s="543"/>
      <c r="I82" s="543"/>
      <c r="J82" s="543"/>
      <c r="K82" s="543"/>
      <c r="L82" s="543"/>
      <c r="M82" s="544"/>
      <c r="N82" s="1135"/>
      <c r="O82" s="1135"/>
      <c r="P82" s="2654"/>
      <c r="Q82" s="503"/>
    </row>
    <row r="83" spans="1:17" ht="15" thickTop="1">
      <c r="A83" s="533"/>
      <c r="B83" s="545" t="s">
        <v>2672</v>
      </c>
      <c r="C83" s="659" t="s">
        <v>2658</v>
      </c>
      <c r="D83" s="659" t="s">
        <v>2659</v>
      </c>
      <c r="E83" s="659" t="s">
        <v>2660</v>
      </c>
      <c r="F83" s="659" t="s">
        <v>2661</v>
      </c>
      <c r="G83" s="659" t="s">
        <v>2662</v>
      </c>
      <c r="H83" s="538"/>
      <c r="I83" s="538"/>
      <c r="J83" s="538"/>
      <c r="K83" s="538"/>
      <c r="L83" s="538"/>
      <c r="M83" s="1363"/>
      <c r="N83" s="1135"/>
      <c r="O83" s="1135"/>
      <c r="P83" s="2654"/>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35"/>
      <c r="O84" s="1135"/>
      <c r="P84" s="2654"/>
      <c r="Q84" s="503"/>
    </row>
    <row r="85" spans="1:17" ht="15" thickTop="1">
      <c r="A85" s="533"/>
      <c r="B85" s="537" t="s">
        <v>2681</v>
      </c>
      <c r="C85" s="577" t="s">
        <v>2580</v>
      </c>
      <c r="D85" s="577" t="s">
        <v>2581</v>
      </c>
      <c r="E85" s="577" t="s">
        <v>2582</v>
      </c>
      <c r="F85" s="577" t="s">
        <v>2583</v>
      </c>
      <c r="G85" s="577" t="s">
        <v>2584</v>
      </c>
      <c r="H85" s="538"/>
      <c r="I85" s="538"/>
      <c r="J85" s="538"/>
      <c r="K85" s="539"/>
      <c r="L85" s="540"/>
      <c r="M85" s="541"/>
      <c r="N85" s="1134"/>
      <c r="O85" s="1134"/>
      <c r="P85" s="2654"/>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35"/>
      <c r="O86" s="1135"/>
      <c r="P86" s="2654"/>
      <c r="Q86" s="503"/>
    </row>
    <row r="87" spans="1:17" s="117" customFormat="1" ht="29.4" thickTop="1">
      <c r="A87" s="578"/>
      <c r="B87" s="537" t="s">
        <v>2682</v>
      </c>
      <c r="C87" s="2966" t="s">
        <v>3107</v>
      </c>
      <c r="D87" s="2966" t="s">
        <v>3108</v>
      </c>
      <c r="E87" s="2966" t="s">
        <v>3109</v>
      </c>
      <c r="F87" s="2966" t="s">
        <v>3110</v>
      </c>
      <c r="G87" s="2966" t="s">
        <v>3111</v>
      </c>
      <c r="H87" s="553"/>
      <c r="I87" s="553"/>
      <c r="J87" s="553"/>
      <c r="K87" s="553"/>
      <c r="L87" s="579"/>
      <c r="M87" s="580"/>
      <c r="N87" s="1133"/>
      <c r="O87" s="1133"/>
      <c r="P87" s="2654"/>
      <c r="Q87" s="503"/>
    </row>
    <row r="88" spans="1:17" s="117" customFormat="1" ht="14.4"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5"/>
      <c r="O88" s="1135"/>
      <c r="P88" s="2654"/>
      <c r="Q88" s="503"/>
    </row>
    <row r="89" spans="1:17" s="117" customFormat="1" ht="15" thickTop="1">
      <c r="A89" s="578"/>
      <c r="B89" s="537" t="str">
        <f>B27</f>
        <v>楼层</v>
      </c>
      <c r="C89" s="2966" t="s">
        <v>3104</v>
      </c>
      <c r="D89" s="2966" t="s">
        <v>3105</v>
      </c>
      <c r="E89" s="2966" t="s">
        <v>3106</v>
      </c>
      <c r="F89" s="2605"/>
      <c r="G89" s="553"/>
      <c r="H89" s="553"/>
      <c r="I89" s="553"/>
      <c r="J89" s="553"/>
      <c r="K89" s="553"/>
      <c r="L89" s="553"/>
      <c r="M89" s="580"/>
      <c r="N89" s="1133"/>
      <c r="O89" s="1133"/>
      <c r="P89" s="2654"/>
      <c r="Q89" s="503"/>
    </row>
    <row r="90" spans="1:17" s="117" customFormat="1" ht="14.4"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5"/>
      <c r="O90" s="1135"/>
      <c r="P90" s="2654"/>
      <c r="Q90" s="503"/>
    </row>
    <row r="91" spans="1:17" s="470" customFormat="1" ht="14.4" thickTop="1">
      <c r="A91" s="552"/>
      <c r="B91" s="537" t="str">
        <f>B28</f>
        <v>朝向</v>
      </c>
      <c r="C91" s="553"/>
      <c r="D91" s="553"/>
      <c r="E91" s="553"/>
      <c r="F91" s="553"/>
      <c r="G91" s="553"/>
      <c r="H91" s="554"/>
      <c r="I91" s="554"/>
      <c r="J91" s="554"/>
      <c r="K91" s="554"/>
      <c r="L91" s="555"/>
      <c r="M91" s="556"/>
      <c r="N91" s="1136"/>
      <c r="O91" s="1136"/>
      <c r="P91" s="2655"/>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6"/>
      <c r="O92" s="1136"/>
      <c r="P92" s="2655"/>
      <c r="Q92" s="558"/>
    </row>
    <row r="93" spans="1:17" ht="14.4" thickTop="1">
      <c r="A93" s="533"/>
      <c r="B93" s="537">
        <f>B29</f>
        <v>111</v>
      </c>
      <c r="C93" s="553"/>
      <c r="D93" s="553"/>
      <c r="E93" s="553"/>
      <c r="F93" s="553"/>
      <c r="G93" s="553"/>
      <c r="H93" s="553"/>
      <c r="I93" s="553"/>
      <c r="J93" s="553"/>
      <c r="K93" s="553"/>
      <c r="L93" s="579"/>
      <c r="M93" s="580"/>
      <c r="N93" s="1134"/>
      <c r="O93" s="1134"/>
      <c r="P93" s="2654"/>
      <c r="Q93" s="503"/>
    </row>
    <row r="94" spans="1:17" ht="14.4" thickBot="1">
      <c r="A94" s="533"/>
      <c r="B94" s="542"/>
      <c r="C94" s="559"/>
      <c r="D94" s="535"/>
      <c r="E94" s="535"/>
      <c r="F94" s="535"/>
      <c r="G94" s="535"/>
      <c r="H94" s="535"/>
      <c r="I94" s="535"/>
      <c r="J94" s="535"/>
      <c r="K94" s="535"/>
      <c r="L94" s="535"/>
      <c r="M94" s="536"/>
      <c r="N94" s="1135"/>
      <c r="O94" s="1135"/>
      <c r="P94" s="2654"/>
      <c r="Q94" s="503"/>
    </row>
    <row r="95" spans="1:17" ht="14.4" thickTop="1">
      <c r="A95" s="533"/>
      <c r="B95" s="537">
        <f>B30</f>
        <v>111</v>
      </c>
      <c r="C95" s="553"/>
      <c r="D95" s="553"/>
      <c r="E95" s="553"/>
      <c r="F95" s="553"/>
      <c r="G95" s="582"/>
      <c r="H95" s="582"/>
      <c r="I95" s="582"/>
      <c r="J95" s="582"/>
      <c r="K95" s="583"/>
      <c r="L95" s="584"/>
      <c r="M95" s="585"/>
      <c r="N95" s="1134"/>
      <c r="O95" s="1134"/>
      <c r="P95" s="2654"/>
      <c r="Q95" s="503"/>
    </row>
    <row r="96" spans="1:17" ht="14.4" thickBot="1">
      <c r="A96" s="533"/>
      <c r="B96" s="542"/>
      <c r="C96" s="559"/>
      <c r="D96" s="559"/>
      <c r="E96" s="559"/>
      <c r="F96" s="559"/>
      <c r="G96" s="535"/>
      <c r="H96" s="535"/>
      <c r="I96" s="535"/>
      <c r="J96" s="535"/>
      <c r="K96" s="535"/>
      <c r="L96" s="535"/>
      <c r="M96" s="536"/>
      <c r="N96" s="1135"/>
      <c r="O96" s="1135"/>
      <c r="P96" s="2654"/>
      <c r="Q96" s="503"/>
    </row>
    <row r="97" spans="1:17" ht="14.4" thickTop="1">
      <c r="A97" s="533"/>
      <c r="B97" s="537">
        <f>B31</f>
        <v>111</v>
      </c>
      <c r="C97" s="553"/>
      <c r="D97" s="553"/>
      <c r="E97" s="553"/>
      <c r="F97" s="553"/>
      <c r="G97" s="582"/>
      <c r="H97" s="582"/>
      <c r="I97" s="582"/>
      <c r="J97" s="582"/>
      <c r="K97" s="583"/>
      <c r="L97" s="584"/>
      <c r="M97" s="585"/>
      <c r="N97" s="1134"/>
      <c r="O97" s="1134"/>
      <c r="P97" s="2654"/>
      <c r="Q97" s="503"/>
    </row>
    <row r="98" spans="1:17" ht="14.4" thickBot="1">
      <c r="A98" s="533"/>
      <c r="B98" s="542"/>
      <c r="C98" s="559"/>
      <c r="D98" s="535"/>
      <c r="E98" s="535"/>
      <c r="F98" s="535"/>
      <c r="G98" s="535"/>
      <c r="H98" s="535"/>
      <c r="I98" s="535"/>
      <c r="J98" s="535"/>
      <c r="K98" s="535"/>
      <c r="L98" s="535"/>
      <c r="M98" s="536"/>
      <c r="N98" s="1135"/>
      <c r="O98" s="1135"/>
      <c r="P98" s="2654"/>
      <c r="Q98" s="503"/>
    </row>
    <row r="99" spans="1:17" ht="14.4" thickTop="1">
      <c r="A99" s="533"/>
      <c r="B99" s="545">
        <f>B32</f>
        <v>111</v>
      </c>
      <c r="C99" s="522"/>
      <c r="D99" s="522"/>
      <c r="E99" s="522"/>
      <c r="F99" s="522"/>
      <c r="G99" s="586"/>
      <c r="H99" s="586"/>
      <c r="I99" s="586"/>
      <c r="J99" s="586"/>
      <c r="K99" s="587"/>
      <c r="L99" s="588"/>
      <c r="M99" s="589"/>
      <c r="N99" s="1134"/>
      <c r="O99" s="1134"/>
      <c r="P99" s="2654"/>
      <c r="Q99" s="503"/>
    </row>
    <row r="100" spans="1:17" ht="14.4" thickBot="1">
      <c r="A100" s="2606"/>
      <c r="B100" s="568"/>
      <c r="C100" s="569"/>
      <c r="D100" s="569"/>
      <c r="E100" s="569"/>
      <c r="F100" s="569"/>
      <c r="G100" s="590"/>
      <c r="H100" s="590"/>
      <c r="I100" s="590"/>
      <c r="J100" s="590"/>
      <c r="K100" s="590"/>
      <c r="L100" s="590"/>
      <c r="M100" s="591"/>
      <c r="N100" s="1135"/>
      <c r="O100" s="1135"/>
      <c r="P100" s="2654"/>
      <c r="Q100" s="503"/>
    </row>
    <row r="101" spans="1:17" ht="14.4">
      <c r="A101" s="526" t="s">
        <v>2546</v>
      </c>
      <c r="B101" s="527" t="s">
        <v>2595</v>
      </c>
      <c r="C101" s="2975" t="s">
        <v>3132</v>
      </c>
      <c r="D101" s="529"/>
      <c r="E101" s="529"/>
      <c r="F101" s="529"/>
      <c r="G101" s="529"/>
      <c r="H101" s="529"/>
      <c r="I101" s="529"/>
      <c r="J101" s="529"/>
      <c r="K101" s="530"/>
      <c r="L101" s="531"/>
      <c r="M101" s="532"/>
      <c r="N101" s="1134"/>
      <c r="O101" s="1134"/>
      <c r="P101" s="2654"/>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5"/>
      <c r="O102" s="1135"/>
      <c r="P102" s="2654"/>
      <c r="Q102" s="503"/>
    </row>
    <row r="103" spans="1:17" ht="28.2" thickTop="1">
      <c r="A103" s="533"/>
      <c r="B103" s="537" t="s">
        <v>2596</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3"/>
      <c r="O103" s="1133"/>
      <c r="P103" s="2654"/>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6"/>
      <c r="O104" s="1136"/>
      <c r="P104" s="2655"/>
      <c r="Q104" s="558"/>
    </row>
    <row r="105" spans="1:17" s="470" customFormat="1" ht="14.4" thickBot="1">
      <c r="A105" s="552"/>
      <c r="B105" s="542"/>
      <c r="C105" s="559">
        <v>98</v>
      </c>
      <c r="D105" s="535">
        <v>99</v>
      </c>
      <c r="E105" s="535">
        <v>100</v>
      </c>
      <c r="F105" s="535">
        <v>99</v>
      </c>
      <c r="G105" s="535">
        <v>98</v>
      </c>
      <c r="H105" s="535">
        <v>97</v>
      </c>
      <c r="I105" s="535">
        <v>96</v>
      </c>
      <c r="J105" s="535"/>
      <c r="K105" s="535"/>
      <c r="L105" s="535"/>
      <c r="M105" s="536"/>
      <c r="N105" s="1135"/>
      <c r="O105" s="1135"/>
      <c r="P105" s="2655"/>
      <c r="Q105" s="558"/>
    </row>
    <row r="106" spans="1:17" ht="15" thickTop="1">
      <c r="A106" s="598"/>
      <c r="B106" s="537" t="s">
        <v>2597</v>
      </c>
      <c r="C106" s="2966" t="s">
        <v>3112</v>
      </c>
      <c r="D106" s="553"/>
      <c r="E106" s="582"/>
      <c r="F106" s="582"/>
      <c r="G106" s="582"/>
      <c r="H106" s="582"/>
      <c r="I106" s="582"/>
      <c r="J106" s="582"/>
      <c r="K106" s="583"/>
      <c r="L106" s="584"/>
      <c r="M106" s="585"/>
      <c r="N106" s="1134"/>
      <c r="O106" s="1134"/>
      <c r="P106" s="2654"/>
      <c r="Q106" s="503"/>
    </row>
    <row r="107" spans="1:17" ht="14.4"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35"/>
      <c r="O107" s="1135"/>
      <c r="P107" s="2654"/>
      <c r="Q107" s="503"/>
    </row>
    <row r="108" spans="1:17" ht="15" thickTop="1">
      <c r="A108" s="598"/>
      <c r="B108" s="537" t="s">
        <v>2599</v>
      </c>
      <c r="C108" s="2966" t="s">
        <v>3113</v>
      </c>
      <c r="D108" s="2966" t="s">
        <v>3114</v>
      </c>
      <c r="E108" s="2966" t="s">
        <v>3115</v>
      </c>
      <c r="F108" s="2969" t="s">
        <v>3116</v>
      </c>
      <c r="G108" s="582"/>
      <c r="H108" s="582"/>
      <c r="I108" s="582"/>
      <c r="J108" s="582"/>
      <c r="K108" s="583"/>
      <c r="L108" s="584"/>
      <c r="M108" s="585"/>
      <c r="N108" s="1134"/>
      <c r="O108" s="1134"/>
      <c r="P108" s="2654"/>
      <c r="Q108" s="503"/>
    </row>
    <row r="109" spans="1:17" ht="14.4"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35"/>
      <c r="O109" s="1135"/>
      <c r="P109" s="2654"/>
      <c r="Q109" s="503"/>
    </row>
    <row r="110" spans="1:17" ht="15" thickTop="1">
      <c r="A110" s="598"/>
      <c r="B110" s="537" t="s">
        <v>1981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4"/>
      <c r="O110" s="1134"/>
      <c r="P110" s="2654"/>
      <c r="Q110" s="503"/>
    </row>
    <row r="111" spans="1:17">
      <c r="A111" s="598"/>
      <c r="B111" s="545"/>
      <c r="C111" s="602">
        <v>0.5</v>
      </c>
      <c r="D111" s="602">
        <v>0.6</v>
      </c>
      <c r="E111" s="602">
        <v>0.7</v>
      </c>
      <c r="F111" s="602">
        <v>0.8</v>
      </c>
      <c r="G111" s="602">
        <v>0.9</v>
      </c>
      <c r="H111" s="602">
        <v>1.0001</v>
      </c>
      <c r="I111" s="622"/>
      <c r="J111" s="622"/>
      <c r="K111" s="623"/>
      <c r="L111" s="624"/>
      <c r="M111" s="625"/>
      <c r="N111" s="1134"/>
      <c r="O111" s="1134"/>
      <c r="P111" s="2654"/>
      <c r="Q111" s="503"/>
    </row>
    <row r="112" spans="1:17" ht="14.4"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35"/>
      <c r="O112" s="1135"/>
      <c r="P112" s="2654"/>
      <c r="Q112" s="503"/>
    </row>
    <row r="113" spans="1:17" s="470" customFormat="1" ht="15" thickTop="1">
      <c r="A113" s="592"/>
      <c r="B113" s="537" t="s">
        <v>2683</v>
      </c>
      <c r="C113" s="2966" t="s">
        <v>3117</v>
      </c>
      <c r="D113" s="2966" t="s">
        <v>3118</v>
      </c>
      <c r="E113" s="2966" t="s">
        <v>3119</v>
      </c>
      <c r="F113" s="553"/>
      <c r="G113" s="553"/>
      <c r="H113" s="582"/>
      <c r="I113" s="582"/>
      <c r="J113" s="582"/>
      <c r="K113" s="583"/>
      <c r="L113" s="584"/>
      <c r="M113" s="585"/>
      <c r="N113" s="1136"/>
      <c r="O113" s="1136"/>
      <c r="P113" s="2655"/>
      <c r="Q113" s="558"/>
    </row>
    <row r="114" spans="1:17" s="470" customFormat="1" ht="14.4"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36"/>
      <c r="O114" s="1136"/>
      <c r="P114" s="2655"/>
      <c r="Q114" s="558"/>
    </row>
    <row r="115" spans="1:17" ht="15" thickTop="1">
      <c r="A115" s="598"/>
      <c r="B115" s="537" t="s">
        <v>2600</v>
      </c>
      <c r="C115" s="2973" t="s">
        <v>3121</v>
      </c>
      <c r="D115" s="553"/>
      <c r="E115" s="582"/>
      <c r="F115" s="582"/>
      <c r="G115" s="582"/>
      <c r="H115" s="582"/>
      <c r="I115" s="582"/>
      <c r="J115" s="582"/>
      <c r="K115" s="583"/>
      <c r="L115" s="584"/>
      <c r="M115" s="585"/>
      <c r="N115" s="1134"/>
      <c r="O115" s="1134"/>
      <c r="P115" s="2654"/>
      <c r="Q115" s="503"/>
    </row>
    <row r="116" spans="1:17" ht="14.4"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35"/>
      <c r="O116" s="1135"/>
      <c r="P116" s="2654"/>
      <c r="Q116" s="503"/>
    </row>
    <row r="117" spans="1:17" ht="15" thickTop="1">
      <c r="A117" s="598"/>
      <c r="B117" s="537" t="s">
        <v>2601</v>
      </c>
      <c r="C117" s="2966" t="s">
        <v>3122</v>
      </c>
      <c r="D117" s="2966" t="s">
        <v>3123</v>
      </c>
      <c r="E117" s="2966" t="s">
        <v>3124</v>
      </c>
      <c r="F117" s="2966" t="s">
        <v>3125</v>
      </c>
      <c r="G117" s="2966" t="s">
        <v>3126</v>
      </c>
      <c r="H117" s="582"/>
      <c r="I117" s="582"/>
      <c r="J117" s="582"/>
      <c r="K117" s="583"/>
      <c r="L117" s="584"/>
      <c r="M117" s="585"/>
      <c r="N117" s="1134"/>
      <c r="O117" s="1134"/>
      <c r="P117" s="2654"/>
      <c r="Q117" s="503"/>
    </row>
    <row r="118" spans="1:17" ht="14.4" thickBot="1">
      <c r="A118" s="533"/>
      <c r="B118" s="542"/>
      <c r="C118" s="543">
        <v>100</v>
      </c>
      <c r="D118" s="543">
        <f>C118-$K40</f>
        <v>99</v>
      </c>
      <c r="E118" s="543">
        <f>D118-$K40</f>
        <v>98</v>
      </c>
      <c r="F118" s="543">
        <f>E118-$K40</f>
        <v>97</v>
      </c>
      <c r="G118" s="543">
        <f>F118-$K40</f>
        <v>96</v>
      </c>
      <c r="H118" s="543"/>
      <c r="I118" s="543"/>
      <c r="J118" s="543"/>
      <c r="K118" s="543"/>
      <c r="L118" s="543"/>
      <c r="M118" s="544"/>
      <c r="N118" s="1135"/>
      <c r="O118" s="1135"/>
      <c r="P118" s="2654"/>
      <c r="Q118" s="503"/>
    </row>
    <row r="119" spans="1:17" ht="15" thickTop="1">
      <c r="A119" s="598"/>
      <c r="B119" s="635" t="s">
        <v>2684</v>
      </c>
      <c r="C119" s="2969" t="s">
        <v>3127</v>
      </c>
      <c r="D119" s="582"/>
      <c r="E119" s="582"/>
      <c r="F119" s="582"/>
      <c r="G119" s="582"/>
      <c r="H119" s="582"/>
      <c r="I119" s="582"/>
      <c r="J119" s="582"/>
      <c r="K119" s="582"/>
      <c r="L119" s="2659"/>
      <c r="M119" s="2660"/>
      <c r="N119" s="1135"/>
      <c r="O119" s="1135"/>
      <c r="P119" s="2661"/>
      <c r="Q119" s="637"/>
    </row>
    <row r="120" spans="1:17" ht="14.4"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35"/>
      <c r="O120" s="1135"/>
      <c r="P120" s="2654"/>
      <c r="Q120" s="503"/>
    </row>
    <row r="121" spans="1:17" s="470" customFormat="1" ht="15" thickTop="1">
      <c r="A121" s="592"/>
      <c r="B121" s="537" t="s">
        <v>2667</v>
      </c>
      <c r="C121" s="553"/>
      <c r="D121" s="553"/>
      <c r="E121" s="553"/>
      <c r="F121" s="582"/>
      <c r="G121" s="554"/>
      <c r="H121" s="554"/>
      <c r="I121" s="554"/>
      <c r="J121" s="554"/>
      <c r="K121" s="554"/>
      <c r="L121" s="555"/>
      <c r="M121" s="556"/>
      <c r="N121" s="1136"/>
      <c r="O121" s="1136"/>
      <c r="P121" s="2655"/>
      <c r="Q121" s="558"/>
    </row>
    <row r="122" spans="1:17" s="470" customFormat="1" ht="14.4" thickBot="1">
      <c r="A122" s="552"/>
      <c r="B122" s="534"/>
      <c r="C122" s="559"/>
      <c r="D122" s="559"/>
      <c r="E122" s="559"/>
      <c r="F122" s="559"/>
      <c r="G122" s="559"/>
      <c r="H122" s="559"/>
      <c r="I122" s="559"/>
      <c r="J122" s="559"/>
      <c r="K122" s="559"/>
      <c r="L122" s="559"/>
      <c r="M122" s="559"/>
      <c r="N122" s="1136"/>
      <c r="O122" s="1136"/>
      <c r="P122" s="2655"/>
      <c r="Q122" s="558"/>
    </row>
    <row r="123" spans="1:17" ht="15" thickTop="1">
      <c r="A123" s="598"/>
      <c r="B123" s="537" t="s">
        <v>2603</v>
      </c>
      <c r="C123" s="2966" t="s">
        <v>3113</v>
      </c>
      <c r="D123" s="2966" t="s">
        <v>3114</v>
      </c>
      <c r="E123" s="2966" t="s">
        <v>3128</v>
      </c>
      <c r="F123" s="2969" t="s">
        <v>3129</v>
      </c>
      <c r="G123" s="582"/>
      <c r="H123" s="582"/>
      <c r="I123" s="582"/>
      <c r="J123" s="582"/>
      <c r="K123" s="583"/>
      <c r="L123" s="584"/>
      <c r="M123" s="585"/>
      <c r="N123" s="1134"/>
      <c r="O123" s="1134"/>
      <c r="P123" s="2654"/>
      <c r="Q123" s="503"/>
    </row>
    <row r="124" spans="1:17" ht="14.4"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35"/>
      <c r="O124" s="1135"/>
      <c r="P124" s="2654"/>
      <c r="Q124" s="503"/>
    </row>
    <row r="125" spans="1:17" ht="29.4" thickTop="1">
      <c r="A125" s="598"/>
      <c r="B125" s="537" t="s">
        <v>2604</v>
      </c>
      <c r="C125" s="577" t="s">
        <v>2580</v>
      </c>
      <c r="D125" s="577" t="s">
        <v>2581</v>
      </c>
      <c r="E125" s="577" t="s">
        <v>2582</v>
      </c>
      <c r="F125" s="577" t="s">
        <v>2583</v>
      </c>
      <c r="G125" s="577" t="s">
        <v>2584</v>
      </c>
      <c r="H125" s="538"/>
      <c r="I125" s="538"/>
      <c r="J125" s="538"/>
      <c r="K125" s="539"/>
      <c r="L125" s="540"/>
      <c r="M125" s="541"/>
      <c r="N125" s="1134"/>
      <c r="O125" s="1134"/>
      <c r="P125" s="2655"/>
      <c r="Q125" s="503"/>
    </row>
    <row r="126" spans="1:17" ht="14.4" thickBot="1">
      <c r="A126" s="533"/>
      <c r="B126" s="542"/>
      <c r="C126" s="543">
        <v>100</v>
      </c>
      <c r="D126" s="543">
        <f>C126-$K44</f>
        <v>98</v>
      </c>
      <c r="E126" s="543">
        <f>D126-$K44</f>
        <v>96</v>
      </c>
      <c r="F126" s="543">
        <f>E126-$K44</f>
        <v>94</v>
      </c>
      <c r="G126" s="543">
        <f>F126-$K44</f>
        <v>92</v>
      </c>
      <c r="H126" s="543"/>
      <c r="I126" s="543"/>
      <c r="J126" s="543"/>
      <c r="K126" s="543"/>
      <c r="L126" s="543"/>
      <c r="M126" s="544"/>
      <c r="N126" s="1135"/>
      <c r="O126" s="1135"/>
      <c r="P126" s="2654"/>
      <c r="Q126" s="503"/>
    </row>
    <row r="127" spans="1:17" s="470" customFormat="1" ht="14.4" thickTop="1">
      <c r="A127" s="592"/>
      <c r="B127" s="537">
        <f>B45</f>
        <v>111</v>
      </c>
      <c r="C127" s="553"/>
      <c r="D127" s="553"/>
      <c r="E127" s="553"/>
      <c r="F127" s="553"/>
      <c r="G127" s="553"/>
      <c r="H127" s="554"/>
      <c r="I127" s="554"/>
      <c r="J127" s="554"/>
      <c r="K127" s="554"/>
      <c r="L127" s="555"/>
      <c r="M127" s="556"/>
      <c r="N127" s="1136"/>
      <c r="O127" s="1136"/>
      <c r="P127" s="2655"/>
      <c r="Q127" s="558"/>
    </row>
    <row r="128" spans="1:17" s="470" customFormat="1" ht="14.4" thickBot="1">
      <c r="A128" s="552"/>
      <c r="B128" s="542"/>
      <c r="C128" s="559"/>
      <c r="D128" s="535"/>
      <c r="E128" s="535"/>
      <c r="F128" s="535"/>
      <c r="G128" s="559"/>
      <c r="H128" s="561"/>
      <c r="I128" s="561"/>
      <c r="J128" s="561"/>
      <c r="K128" s="561"/>
      <c r="L128" s="561"/>
      <c r="M128" s="562"/>
      <c r="N128" s="1136"/>
      <c r="O128" s="1136"/>
      <c r="P128" s="2655"/>
      <c r="Q128" s="558"/>
    </row>
    <row r="129" spans="1:17" ht="14.4" thickTop="1">
      <c r="A129" s="598"/>
      <c r="B129" s="537">
        <f>B46</f>
        <v>111</v>
      </c>
      <c r="C129" s="553"/>
      <c r="D129" s="553"/>
      <c r="E129" s="553"/>
      <c r="F129" s="553"/>
      <c r="G129" s="582"/>
      <c r="H129" s="582"/>
      <c r="I129" s="582"/>
      <c r="J129" s="582"/>
      <c r="K129" s="583"/>
      <c r="L129" s="584"/>
      <c r="M129" s="585"/>
      <c r="N129" s="1134"/>
      <c r="O129" s="1134"/>
      <c r="P129" s="2654"/>
      <c r="Q129" s="503"/>
    </row>
    <row r="130" spans="1:17" ht="14.4" thickBot="1">
      <c r="A130" s="533"/>
      <c r="B130" s="542"/>
      <c r="C130" s="559"/>
      <c r="D130" s="559"/>
      <c r="E130" s="559"/>
      <c r="F130" s="559"/>
      <c r="G130" s="535"/>
      <c r="H130" s="535"/>
      <c r="I130" s="535"/>
      <c r="J130" s="535"/>
      <c r="K130" s="535"/>
      <c r="L130" s="535"/>
      <c r="M130" s="536"/>
      <c r="N130" s="1135"/>
      <c r="O130" s="1135"/>
      <c r="P130" s="2654"/>
      <c r="Q130" s="503"/>
    </row>
    <row r="131" spans="1:17" ht="14.4" thickTop="1">
      <c r="A131" s="598"/>
      <c r="B131" s="545">
        <f>B47</f>
        <v>0.995</v>
      </c>
      <c r="C131" s="522"/>
      <c r="D131" s="522"/>
      <c r="E131" s="522"/>
      <c r="F131" s="522"/>
      <c r="G131" s="586"/>
      <c r="H131" s="586"/>
      <c r="I131" s="586"/>
      <c r="J131" s="586"/>
      <c r="K131" s="522"/>
      <c r="L131" s="523"/>
      <c r="M131" s="589"/>
      <c r="N131" s="1134"/>
      <c r="O131" s="1134"/>
      <c r="P131" s="2654"/>
      <c r="Q131" s="503"/>
    </row>
    <row r="132" spans="1:17" ht="14.4" thickBot="1">
      <c r="A132" s="2606"/>
      <c r="B132" s="568"/>
      <c r="C132" s="569"/>
      <c r="D132" s="569"/>
      <c r="E132" s="569"/>
      <c r="F132" s="569"/>
      <c r="G132" s="590"/>
      <c r="H132" s="590"/>
      <c r="I132" s="590"/>
      <c r="J132" s="590"/>
      <c r="K132" s="590"/>
      <c r="L132" s="590"/>
      <c r="M132" s="591"/>
      <c r="N132" s="1135"/>
      <c r="O132" s="1135"/>
      <c r="P132" s="265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2309</v>
      </c>
      <c r="B1" s="1914"/>
      <c r="C1" s="2523" t="s">
        <v>2411</v>
      </c>
      <c r="D1" s="242"/>
      <c r="E1" s="242"/>
      <c r="F1" s="242"/>
      <c r="G1" s="1360">
        <f>MATCH(B1,'数据-取费表'!A6:A16,0)+5</f>
        <v>7</v>
      </c>
      <c r="H1" s="1263" t="str">
        <f>IF(ISERROR(FIND("住宅",B1)),"非住宅","住宅")</f>
        <v>非住宅</v>
      </c>
    </row>
    <row r="2" spans="1:8" s="244" customFormat="1" ht="18" customHeight="1">
      <c r="A2" s="245" t="s">
        <v>2310</v>
      </c>
      <c r="B2" s="246">
        <f ca="1">ROUND(IF(D2="——",C52/10000,C52/10000-E2),0)</f>
        <v>142193</v>
      </c>
      <c r="C2" s="243" t="s">
        <v>2311</v>
      </c>
      <c r="D2" s="2517" t="s">
        <v>70</v>
      </c>
      <c r="E2" s="1420" t="e">
        <f ca="1">SUMIF(INDIRECT("'"&amp;G2&amp;"'"&amp;"!A:A"),"承租人权益价值",INDIRECT("'"&amp;G2&amp;"'"&amp;"!c:c"))</f>
        <v>#REF!</v>
      </c>
      <c r="F2" s="2518" t="s">
        <v>2311</v>
      </c>
      <c r="G2" s="2519"/>
    </row>
    <row r="3" spans="1:8" s="244" customFormat="1" ht="18" customHeight="1" thickBot="1">
      <c r="A3" s="247" t="s">
        <v>2312</v>
      </c>
      <c r="B3" s="248">
        <f ca="1">ROUND(B2*10000/(IF(B1="",'数据-汇总表'!E3,INDIRECT("'数据-取费表'!k"&amp;$G$1))),0)</f>
        <v>8543</v>
      </c>
      <c r="C3" s="243" t="s">
        <v>2313</v>
      </c>
      <c r="D3" s="243"/>
      <c r="E3" s="243"/>
      <c r="F3" s="243"/>
      <c r="G3" s="243"/>
    </row>
    <row r="4" spans="1:8" s="252" customFormat="1" ht="16.2">
      <c r="A4" s="249" t="s">
        <v>2314</v>
      </c>
      <c r="B4" s="250"/>
      <c r="C4" s="250"/>
      <c r="D4" s="250"/>
      <c r="E4" s="250"/>
      <c r="F4" s="250"/>
      <c r="G4" s="251"/>
    </row>
    <row r="5" spans="1:8" s="258" customFormat="1" ht="13.5" customHeight="1">
      <c r="A5" s="299" t="s">
        <v>2315</v>
      </c>
      <c r="B5" s="254" t="s">
        <v>2316</v>
      </c>
      <c r="C5" s="255">
        <f ca="1">C6+C7+C8</f>
        <v>36619240</v>
      </c>
      <c r="D5" s="255" t="s">
        <v>2317</v>
      </c>
      <c r="E5" s="256" t="s">
        <v>2318</v>
      </c>
      <c r="F5" s="256" t="s">
        <v>2319</v>
      </c>
      <c r="G5" s="257"/>
    </row>
    <row r="6" spans="1:8" s="258" customFormat="1" ht="13.5" customHeight="1">
      <c r="A6" s="938" t="s">
        <v>2320</v>
      </c>
      <c r="B6" s="259" t="s">
        <v>2321</v>
      </c>
      <c r="C6" s="260"/>
      <c r="D6" s="261"/>
      <c r="E6" s="262"/>
      <c r="F6" s="262"/>
      <c r="G6" s="263"/>
    </row>
    <row r="7" spans="1:8" s="258" customFormat="1" ht="13.5" customHeight="1">
      <c r="A7" s="938" t="s">
        <v>2322</v>
      </c>
      <c r="B7" s="259" t="s">
        <v>2323</v>
      </c>
      <c r="C7" s="264">
        <f>ROUND(C6*F7,0)</f>
        <v>0</v>
      </c>
      <c r="D7" s="264"/>
      <c r="E7" s="262"/>
      <c r="F7" s="265">
        <f>IF(项目基本情况!B8="出让",0,'数据-取费表'!B48+'数据-取费表'!B49)</f>
        <v>3.0499999999999999E-2</v>
      </c>
      <c r="G7" s="263"/>
    </row>
    <row r="8" spans="1:8" s="267" customFormat="1">
      <c r="A8" s="938" t="s">
        <v>2324</v>
      </c>
      <c r="B8" s="259" t="s">
        <v>2325</v>
      </c>
      <c r="C8" s="264">
        <f ca="1">IF(G8="已包含在土地购买价格中",0,C9+C10)</f>
        <v>36619240</v>
      </c>
      <c r="D8" s="266"/>
      <c r="E8" s="264"/>
      <c r="F8" s="265"/>
      <c r="G8" s="2520"/>
    </row>
    <row r="9" spans="1:8" s="258" customFormat="1" ht="13.5" customHeight="1">
      <c r="A9" s="939" t="s">
        <v>800</v>
      </c>
      <c r="B9" s="268" t="s">
        <v>2326</v>
      </c>
      <c r="C9" s="269">
        <f ca="1">ROUND(D9*E9,0)</f>
        <v>0</v>
      </c>
      <c r="D9" s="1021">
        <f ca="1">IF(B1="",'数据-汇总表'!E5,IF(INDIRECT("'数据-取费表'!c"&amp;$G$1)="住宅",INDIRECT("'数据-取费表'!k"&amp;$G$1),0))</f>
        <v>0</v>
      </c>
      <c r="E9" s="269">
        <f>'数据-取费表'!B27</f>
        <v>220</v>
      </c>
      <c r="F9" s="265"/>
      <c r="G9" s="270"/>
    </row>
    <row r="10" spans="1:8" s="258" customFormat="1" ht="13.5" customHeight="1">
      <c r="A10" s="939" t="s">
        <v>801</v>
      </c>
      <c r="B10" s="268" t="s">
        <v>2328</v>
      </c>
      <c r="C10" s="269">
        <f ca="1">ROUND(D10*E10,0)</f>
        <v>36619240</v>
      </c>
      <c r="D10" s="1021">
        <f ca="1">IF(B1="",'数据-汇总表'!E6,IF(INDIRECT("'数据-取费表'!c"&amp;$G$1)="住宅",INDIRECT("'数据-取费表'!s"&amp;$G$1),INDIRECT("'数据-取费表'!k"&amp;$G$1)+INDIRECT("'数据-取费表'!s"&amp;$G$1)))</f>
        <v>166451.09</v>
      </c>
      <c r="E10" s="269">
        <f>'数据-取费表'!B28</f>
        <v>220</v>
      </c>
      <c r="F10" s="265"/>
      <c r="G10" s="270"/>
    </row>
    <row r="11" spans="1:8" s="258" customFormat="1" ht="13.5" hidden="1" customHeight="1">
      <c r="A11" s="271" t="s">
        <v>7</v>
      </c>
      <c r="B11" s="259" t="s">
        <v>2329</v>
      </c>
      <c r="C11" s="255"/>
      <c r="D11" s="1023"/>
      <c r="E11" s="262"/>
      <c r="F11" s="262"/>
      <c r="G11" s="263"/>
    </row>
    <row r="12" spans="1:8" s="258" customFormat="1" ht="13.5" hidden="1" customHeight="1">
      <c r="A12" s="271" t="s">
        <v>8</v>
      </c>
      <c r="B12" s="259" t="s">
        <v>2412</v>
      </c>
      <c r="C12" s="255">
        <v>0</v>
      </c>
      <c r="D12" s="1023"/>
      <c r="E12" s="272"/>
      <c r="F12" s="265">
        <v>3.0499999999999999E-2</v>
      </c>
      <c r="G12" s="263"/>
    </row>
    <row r="13" spans="1:8" s="258" customFormat="1" ht="13.5" hidden="1" customHeight="1">
      <c r="A13" s="271" t="s">
        <v>9</v>
      </c>
      <c r="B13" s="259" t="s">
        <v>2413</v>
      </c>
      <c r="C13" s="255"/>
      <c r="D13" s="1023"/>
      <c r="E13" s="262"/>
      <c r="F13" s="262"/>
      <c r="G13" s="263"/>
    </row>
    <row r="14" spans="1:8" s="258" customFormat="1" ht="13.5" hidden="1" customHeight="1">
      <c r="A14" s="271" t="s">
        <v>10</v>
      </c>
      <c r="B14" s="259" t="s">
        <v>2325</v>
      </c>
      <c r="C14" s="255"/>
      <c r="D14" s="1023"/>
      <c r="E14" s="262"/>
      <c r="F14" s="262"/>
      <c r="G14" s="263" t="s">
        <v>2414</v>
      </c>
    </row>
    <row r="15" spans="1:8" s="258" customFormat="1" ht="13.5" hidden="1" customHeight="1">
      <c r="A15" s="271" t="s">
        <v>11</v>
      </c>
      <c r="B15" s="259" t="s">
        <v>2415</v>
      </c>
      <c r="C15" s="264"/>
      <c r="D15" s="1023"/>
      <c r="E15" s="262"/>
      <c r="F15" s="262"/>
      <c r="G15" s="263" t="s">
        <v>2416</v>
      </c>
    </row>
    <row r="16" spans="1:8" s="258" customFormat="1" ht="13.5" hidden="1" customHeight="1">
      <c r="A16" s="271" t="s">
        <v>12</v>
      </c>
      <c r="B16" s="259" t="s">
        <v>2325</v>
      </c>
      <c r="C16" s="264"/>
      <c r="D16" s="1023"/>
      <c r="E16" s="262"/>
      <c r="F16" s="262"/>
      <c r="G16" s="263"/>
    </row>
    <row r="17" spans="1:7" s="258" customFormat="1" ht="13.5" hidden="1" customHeight="1">
      <c r="A17" s="271" t="s">
        <v>13</v>
      </c>
      <c r="B17" s="259" t="s">
        <v>2417</v>
      </c>
      <c r="C17" s="273"/>
      <c r="D17" s="1024"/>
      <c r="E17" s="273"/>
      <c r="F17" s="273"/>
      <c r="G17" s="263" t="s">
        <v>2416</v>
      </c>
    </row>
    <row r="18" spans="1:7" s="258" customFormat="1" ht="13.5" hidden="1" customHeight="1">
      <c r="A18" s="271" t="s">
        <v>14</v>
      </c>
      <c r="B18" s="259" t="s">
        <v>2418</v>
      </c>
      <c r="C18" s="264">
        <v>0</v>
      </c>
      <c r="D18" s="1023"/>
      <c r="E18" s="262"/>
      <c r="F18" s="265">
        <v>3.0499999999999999E-2</v>
      </c>
      <c r="G18" s="263" t="s">
        <v>2419</v>
      </c>
    </row>
    <row r="19" spans="1:7" s="267" customFormat="1" ht="13.5" customHeight="1">
      <c r="A19" s="299" t="s">
        <v>2420</v>
      </c>
      <c r="B19" s="254" t="s">
        <v>2421</v>
      </c>
      <c r="C19" s="255">
        <f ca="1">IF(G19="已包含在土地取得成本中","0",ROUND(D19*E19,0))</f>
        <v>33290218</v>
      </c>
      <c r="D19" s="1025">
        <f ca="1">D9+D10</f>
        <v>166451.09</v>
      </c>
      <c r="E19" s="255">
        <f>'数据-取费表'!B31</f>
        <v>200</v>
      </c>
      <c r="F19" s="275"/>
      <c r="G19" s="2520"/>
    </row>
    <row r="20" spans="1:7" s="258" customFormat="1" ht="13.5" customHeight="1">
      <c r="A20" s="299" t="s">
        <v>2422</v>
      </c>
      <c r="B20" s="254" t="s">
        <v>2423</v>
      </c>
      <c r="C20" s="276">
        <f ca="1">ROUND((C5+C19)*F20,0)</f>
        <v>1398189</v>
      </c>
      <c r="D20" s="276"/>
      <c r="E20" s="276"/>
      <c r="F20" s="277">
        <f>'数据-取费表'!B37</f>
        <v>0.02</v>
      </c>
      <c r="G20" s="278" t="s">
        <v>2424</v>
      </c>
    </row>
    <row r="21" spans="1:7" s="258" customFormat="1" ht="13.5" customHeight="1">
      <c r="A21" s="299" t="s">
        <v>2425</v>
      </c>
      <c r="B21" s="254" t="s">
        <v>2426</v>
      </c>
      <c r="C21" s="279">
        <f>F21</f>
        <v>0.02</v>
      </c>
      <c r="D21" s="280" t="s">
        <v>2427</v>
      </c>
      <c r="E21" s="276"/>
      <c r="F21" s="277">
        <f>'数据-取费表'!B38</f>
        <v>0.02</v>
      </c>
      <c r="G21" s="278" t="s">
        <v>2428</v>
      </c>
    </row>
    <row r="22" spans="1:7" s="258" customFormat="1" ht="13.5" customHeight="1">
      <c r="A22" s="299" t="s">
        <v>2429</v>
      </c>
      <c r="B22" s="254" t="s">
        <v>2430</v>
      </c>
      <c r="C22" s="1361">
        <f ca="1">ROUND(SUM(C23:C25),0)</f>
        <v>10543585</v>
      </c>
      <c r="D22" s="279">
        <f ca="1">C26</f>
        <v>1.4E-3</v>
      </c>
      <c r="E22" s="280" t="s">
        <v>2427</v>
      </c>
      <c r="F22" s="281">
        <f ca="1">'数据-取费表'!B40</f>
        <v>4.7500000000000001E-2</v>
      </c>
      <c r="G22" s="278" t="str">
        <f>IF('数据-取费表'!B22&lt;=1,"单利计息","复利计息")</f>
        <v>复利计息</v>
      </c>
    </row>
    <row r="23" spans="1:7" s="258" customFormat="1" ht="13.5" customHeight="1">
      <c r="A23" s="940" t="s">
        <v>2320</v>
      </c>
      <c r="B23" s="259" t="s">
        <v>2431</v>
      </c>
      <c r="C23" s="1362">
        <f ca="1">ROUND(IF('数据-取费表'!B22&lt;=1,C5*F22*'数据-取费表'!B22,C5*(POWER((1+F22),'数据-取费表'!B22)-1)),0)</f>
        <v>5470033</v>
      </c>
      <c r="D23" s="282"/>
      <c r="E23" s="282"/>
      <c r="F23" s="283"/>
      <c r="G23" s="284" t="s">
        <v>2432</v>
      </c>
    </row>
    <row r="24" spans="1:7" s="258" customFormat="1" ht="13.5" customHeight="1">
      <c r="A24" s="940" t="s">
        <v>2322</v>
      </c>
      <c r="B24" s="259" t="s">
        <v>2433</v>
      </c>
      <c r="C24" s="1362">
        <f ca="1">ROUND(IF('数据-取费表'!B22&lt;=1,C19*F22*('数据-取费表'!B19/2+'数据-取费表'!B20),C19*(POWER((1+F22),('数据-取费表'!B19/2+'数据-取费表'!B20))-1)),0)</f>
        <v>4972757</v>
      </c>
      <c r="D24" s="282"/>
      <c r="E24" s="282"/>
      <c r="F24" s="283"/>
      <c r="G24" s="284" t="s">
        <v>2434</v>
      </c>
    </row>
    <row r="25" spans="1:7" s="258" customFormat="1" ht="24">
      <c r="A25" s="940" t="s">
        <v>2324</v>
      </c>
      <c r="B25" s="259" t="s">
        <v>2435</v>
      </c>
      <c r="C25" s="1362">
        <f ca="1">ROUND(IF('数据-取费表'!B22&lt;=1,C20*F22*'数据-取费表'!B22/2,C20*(POWER((1+F22),'数据-取费表'!B22/2)-1)),0)</f>
        <v>100795</v>
      </c>
      <c r="D25" s="282"/>
      <c r="E25" s="285"/>
      <c r="F25" s="283"/>
      <c r="G25" s="286" t="s">
        <v>2436</v>
      </c>
    </row>
    <row r="26" spans="1:7" s="258" customFormat="1">
      <c r="A26" s="940" t="s">
        <v>795</v>
      </c>
      <c r="B26" s="259" t="s">
        <v>2359</v>
      </c>
      <c r="C26" s="282">
        <f ca="1">ROUND(IF('数据-取费表'!B22&lt;=1,F21*F22*'数据-取费表'!B22/2,F21*(POWER((1+F22),'数据-取费表'!B22/2)-1)),4)</f>
        <v>1.4E-3</v>
      </c>
      <c r="D26" s="282"/>
      <c r="E26" s="285"/>
      <c r="F26" s="283"/>
      <c r="G26" s="287"/>
    </row>
    <row r="27" spans="1:7" s="258" customFormat="1" ht="26.4">
      <c r="A27" s="299" t="s">
        <v>2360</v>
      </c>
      <c r="B27" s="288" t="s">
        <v>2361</v>
      </c>
      <c r="C27" s="289">
        <f ca="1">C28</f>
        <v>11409224</v>
      </c>
      <c r="D27" s="279">
        <f ca="1">C29</f>
        <v>3.2000000000000002E-3</v>
      </c>
      <c r="E27" s="280" t="s">
        <v>2362</v>
      </c>
      <c r="F27" s="290">
        <f ca="1">IF(B1="",'数据-取费表'!Q16,INDIRECT("'数据-取费表'!q"&amp;$G$1))</f>
        <v>0.16</v>
      </c>
      <c r="G27" s="291" t="s">
        <v>2363</v>
      </c>
    </row>
    <row r="28" spans="1:7" s="258" customFormat="1" ht="13.5" customHeight="1">
      <c r="A28" s="940" t="s">
        <v>791</v>
      </c>
      <c r="B28" s="292" t="s">
        <v>2364</v>
      </c>
      <c r="C28" s="293">
        <f ca="1">ROUND((C5+C19+C20)*F27,0)</f>
        <v>11409224</v>
      </c>
      <c r="D28" s="279"/>
      <c r="E28" s="280"/>
      <c r="F28" s="290"/>
      <c r="G28" s="291"/>
    </row>
    <row r="29" spans="1:7" s="258" customFormat="1" ht="13.5" customHeight="1">
      <c r="A29" s="940" t="s">
        <v>792</v>
      </c>
      <c r="B29" s="292" t="s">
        <v>2365</v>
      </c>
      <c r="C29" s="282">
        <f ca="1">ROUND(C21*F27,4)</f>
        <v>3.2000000000000002E-3</v>
      </c>
      <c r="D29" s="279"/>
      <c r="E29" s="280"/>
      <c r="F29" s="290"/>
      <c r="G29" s="291"/>
    </row>
    <row r="30" spans="1:7" s="258" customFormat="1" ht="13.5" customHeight="1">
      <c r="A30" s="299" t="s">
        <v>2366</v>
      </c>
      <c r="B30" s="254" t="s">
        <v>2367</v>
      </c>
      <c r="C30" s="279">
        <f>ROUND(F30/(1+'数据-取费表'!C42),4)</f>
        <v>5.33E-2</v>
      </c>
      <c r="D30" s="280" t="s">
        <v>2362</v>
      </c>
      <c r="E30" s="285"/>
      <c r="F30" s="281">
        <f>'数据-取费表'!B41</f>
        <v>5.6000000000000001E-2</v>
      </c>
      <c r="G30" s="278" t="s">
        <v>2368</v>
      </c>
    </row>
    <row r="31" spans="1:7" ht="16.5" customHeight="1">
      <c r="A31" s="253">
        <v>1</v>
      </c>
      <c r="B31" s="254" t="s">
        <v>2369</v>
      </c>
      <c r="C31" s="255">
        <f ca="1">ROUND((C5+C19+C20+C22+C27)/(1-C21-D22-D27-C30),0)</f>
        <v>101139200</v>
      </c>
      <c r="D31" s="274"/>
      <c r="E31" s="255"/>
      <c r="F31" s="294"/>
      <c r="G31" s="278" t="s">
        <v>2370</v>
      </c>
    </row>
    <row r="32" spans="1:7" s="252" customFormat="1" ht="16.2">
      <c r="A32" s="296" t="s">
        <v>2437</v>
      </c>
      <c r="B32" s="297"/>
      <c r="C32" s="297"/>
      <c r="D32" s="297"/>
      <c r="E32" s="297"/>
      <c r="F32" s="297"/>
      <c r="G32" s="298"/>
    </row>
    <row r="33" spans="1:7" s="258" customFormat="1" ht="13.5" customHeight="1">
      <c r="A33" s="299" t="s">
        <v>782</v>
      </c>
      <c r="B33" s="254" t="s">
        <v>2438</v>
      </c>
      <c r="C33" s="300">
        <f ca="1">SUM(C34:C38)</f>
        <v>1020104116</v>
      </c>
      <c r="D33" s="276"/>
      <c r="E33" s="256"/>
      <c r="F33" s="285"/>
      <c r="G33" s="278"/>
    </row>
    <row r="34" spans="1:7" s="302" customFormat="1" ht="13.5" customHeight="1">
      <c r="A34" s="940" t="s">
        <v>791</v>
      </c>
      <c r="B34" s="259" t="s">
        <v>2373</v>
      </c>
      <c r="C34" s="264">
        <f ca="1">ROUND(IF(B1="",SUMPRODUCT('数据-取费表'!K6:K14,'数据-取费表'!L6:L14),INDIRECT("'数据-取费表'!l"&amp;$G$1)*INDIRECT("'数据-取费表'!k"&amp;$G$1)+'数据-取费表'!L14*INDIRECT("'数据-取费表'!S"&amp;$G$1)),0)</f>
        <v>926585820</v>
      </c>
      <c r="D34" s="261"/>
      <c r="E34" s="264"/>
      <c r="F34" s="301"/>
      <c r="G34" s="263"/>
    </row>
    <row r="35" spans="1:7" ht="13.5" customHeight="1">
      <c r="A35" s="940" t="s">
        <v>796</v>
      </c>
      <c r="B35" s="259" t="s">
        <v>2375</v>
      </c>
      <c r="C35" s="264">
        <f ca="1">ROUND(C34*F35,0)</f>
        <v>46329291</v>
      </c>
      <c r="D35" s="264"/>
      <c r="E35" s="264"/>
      <c r="F35" s="303">
        <f>'数据-取费表'!B33</f>
        <v>0.05</v>
      </c>
      <c r="G35" s="263" t="s">
        <v>2376</v>
      </c>
    </row>
    <row r="36" spans="1:7" ht="24">
      <c r="A36" s="940"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40" t="s">
        <v>798</v>
      </c>
      <c r="B37" s="259" t="s">
        <v>2379</v>
      </c>
      <c r="C37" s="293">
        <f ca="1">ROUND(E37*D37,0)</f>
        <v>33290218</v>
      </c>
      <c r="D37" s="261">
        <f ca="1">D19</f>
        <v>166451.09</v>
      </c>
      <c r="E37" s="293">
        <f>'数据-取费表'!B35</f>
        <v>200</v>
      </c>
      <c r="F37" s="303"/>
      <c r="G37" s="305"/>
    </row>
    <row r="38" spans="1:7" ht="13.5" customHeight="1">
      <c r="A38" s="940" t="s">
        <v>799</v>
      </c>
      <c r="B38" s="259" t="s">
        <v>2381</v>
      </c>
      <c r="C38" s="264">
        <f ca="1">ROUND(C34*F38,0)</f>
        <v>13898787</v>
      </c>
      <c r="D38" s="264"/>
      <c r="E38" s="264"/>
      <c r="F38" s="303">
        <f>'数据-取费表'!B36</f>
        <v>1.4999999999999999E-2</v>
      </c>
      <c r="G38" s="263" t="s">
        <v>2376</v>
      </c>
    </row>
    <row r="39" spans="1:7" s="258" customFormat="1" ht="13.5" customHeight="1">
      <c r="A39" s="299" t="s">
        <v>2382</v>
      </c>
      <c r="B39" s="254" t="s">
        <v>2383</v>
      </c>
      <c r="C39" s="276">
        <f ca="1">ROUND(C33*F20,0)</f>
        <v>20402082</v>
      </c>
      <c r="D39" s="276"/>
      <c r="E39" s="276"/>
      <c r="F39" s="277"/>
      <c r="G39" s="278" t="s">
        <v>2384</v>
      </c>
    </row>
    <row r="40" spans="1:7" s="258" customFormat="1" ht="13.5" customHeight="1">
      <c r="A40" s="299" t="s">
        <v>2385</v>
      </c>
      <c r="B40" s="254" t="s">
        <v>2386</v>
      </c>
      <c r="C40" s="1707">
        <f>F21</f>
        <v>0.02</v>
      </c>
      <c r="D40" s="280" t="s">
        <v>2387</v>
      </c>
      <c r="E40" s="276"/>
      <c r="F40" s="277"/>
      <c r="G40" s="278" t="s">
        <v>2388</v>
      </c>
    </row>
    <row r="41" spans="1:7" s="258" customFormat="1" ht="13.5" customHeight="1">
      <c r="A41" s="299" t="s">
        <v>2389</v>
      </c>
      <c r="B41" s="254" t="s">
        <v>2390</v>
      </c>
      <c r="C41" s="276">
        <f ca="1">ROUND(SUM(C42:C43),0)</f>
        <v>75009584</v>
      </c>
      <c r="D41" s="279">
        <f ca="1">C44</f>
        <v>1.4E-3</v>
      </c>
      <c r="E41" s="280" t="s">
        <v>2387</v>
      </c>
      <c r="F41" s="281"/>
      <c r="G41" s="278" t="str">
        <f>IF('数据-取费表'!B22&lt;=1,"单利计息","复利计息")</f>
        <v>复利计息</v>
      </c>
    </row>
    <row r="42" spans="1:7" ht="13.5" customHeight="1">
      <c r="A42" s="940" t="s">
        <v>791</v>
      </c>
      <c r="B42" s="259" t="s">
        <v>2391</v>
      </c>
      <c r="C42" s="282">
        <f ca="1">ROUND(IF('数据-取费表'!B22&lt;=1,C33*F22*'数据-取费表'!B20/2,C33*(POWER((1+F22),'数据-取费表'!B20/2)-1)),0)</f>
        <v>73538808</v>
      </c>
      <c r="D42" s="282"/>
      <c r="E42" s="282"/>
      <c r="F42" s="283"/>
      <c r="G42" s="3639" t="s">
        <v>2439</v>
      </c>
    </row>
    <row r="43" spans="1:7" ht="13.5" customHeight="1">
      <c r="A43" s="940" t="s">
        <v>792</v>
      </c>
      <c r="B43" s="259" t="s">
        <v>2393</v>
      </c>
      <c r="C43" s="282">
        <f ca="1">ROUND(IF('数据-取费表'!B22&lt;=1,C39*F22*'数据-取费表'!B20/2,C39*(POWER((1+F22),'数据-取费表'!B20/2)-1)),0)</f>
        <v>1470776</v>
      </c>
      <c r="D43" s="282"/>
      <c r="E43" s="282"/>
      <c r="F43" s="283"/>
      <c r="G43" s="3640"/>
    </row>
    <row r="44" spans="1:7" ht="13.5" customHeight="1">
      <c r="A44" s="940" t="s">
        <v>793</v>
      </c>
      <c r="B44" s="259" t="s">
        <v>2394</v>
      </c>
      <c r="C44" s="282">
        <f ca="1">ROUND(IF('数据-取费表'!B22&lt;=1,C40*F22*'数据-取费表'!B20/2,C40*(POWER((1+F22),'数据-取费表'!B20/2)-1)),4)</f>
        <v>1.4E-3</v>
      </c>
      <c r="D44" s="282"/>
      <c r="E44" s="282"/>
      <c r="F44" s="283"/>
      <c r="G44" s="3641"/>
    </row>
    <row r="45" spans="1:7" s="258" customFormat="1" ht="13.5" customHeight="1">
      <c r="A45" s="299" t="s">
        <v>2395</v>
      </c>
      <c r="B45" s="288" t="s">
        <v>2361</v>
      </c>
      <c r="C45" s="289">
        <f ca="1">C46</f>
        <v>166480992</v>
      </c>
      <c r="D45" s="279">
        <f ca="1">C47</f>
        <v>3.2000000000000002E-3</v>
      </c>
      <c r="E45" s="280" t="s">
        <v>2387</v>
      </c>
      <c r="F45" s="290"/>
      <c r="G45" s="291" t="s">
        <v>2396</v>
      </c>
    </row>
    <row r="46" spans="1:7" s="258" customFormat="1" ht="13.5" customHeight="1">
      <c r="A46" s="940" t="s">
        <v>791</v>
      </c>
      <c r="B46" s="292" t="s">
        <v>2397</v>
      </c>
      <c r="C46" s="293">
        <f ca="1">ROUND((C33+C39)*F27,0)</f>
        <v>166480992</v>
      </c>
      <c r="D46" s="307"/>
      <c r="E46" s="280"/>
      <c r="F46" s="290"/>
      <c r="G46" s="291"/>
    </row>
    <row r="47" spans="1:7" s="258" customFormat="1" ht="13.5" customHeight="1">
      <c r="A47" s="940" t="s">
        <v>792</v>
      </c>
      <c r="B47" s="292" t="s">
        <v>2398</v>
      </c>
      <c r="C47" s="282">
        <f ca="1">ROUND(C40*F27,4)</f>
        <v>3.2000000000000002E-3</v>
      </c>
      <c r="D47" s="307"/>
      <c r="E47" s="280"/>
      <c r="F47" s="290"/>
      <c r="G47" s="291"/>
    </row>
    <row r="48" spans="1:7" s="258" customFormat="1" ht="13.5" customHeight="1">
      <c r="A48" s="299" t="s">
        <v>2360</v>
      </c>
      <c r="B48" s="254" t="s">
        <v>2399</v>
      </c>
      <c r="C48" s="306">
        <f>ROUND(F30/(1+'数据-取费表'!C42),4)</f>
        <v>5.33E-2</v>
      </c>
      <c r="D48" s="280" t="s">
        <v>2387</v>
      </c>
      <c r="E48" s="276"/>
      <c r="F48" s="281"/>
      <c r="G48" s="278" t="s">
        <v>2400</v>
      </c>
    </row>
    <row r="49" spans="1:7" ht="16.5" customHeight="1">
      <c r="A49" s="299" t="s">
        <v>2366</v>
      </c>
      <c r="B49" s="254" t="s">
        <v>2440</v>
      </c>
      <c r="C49" s="276">
        <f ca="1">ROUND((C33+C39+C41+C45)/(1-C40-D41-D45-C48),0)</f>
        <v>1390301241</v>
      </c>
      <c r="D49" s="276"/>
      <c r="E49" s="276"/>
      <c r="F49" s="308"/>
      <c r="G49" s="278" t="s">
        <v>2402</v>
      </c>
    </row>
    <row r="50" spans="1:7" s="302" customFormat="1">
      <c r="A50" s="299" t="s">
        <v>2403</v>
      </c>
      <c r="B50" s="254" t="s">
        <v>2404</v>
      </c>
      <c r="C50" s="276"/>
      <c r="D50" s="276"/>
      <c r="E50" s="276"/>
      <c r="F50" s="308">
        <f>IF('数据-取费表'!B24=0,'数据-取费表'!N16,1)</f>
        <v>0.95</v>
      </c>
      <c r="G50" s="291"/>
    </row>
    <row r="51" spans="1:7" ht="16.5" customHeight="1">
      <c r="A51" s="299" t="s">
        <v>2406</v>
      </c>
      <c r="B51" s="254" t="s">
        <v>2441</v>
      </c>
      <c r="C51" s="276">
        <f ca="1">ROUND(C49*F50,0)</f>
        <v>1320786179</v>
      </c>
      <c r="D51" s="276"/>
      <c r="E51" s="276"/>
      <c r="F51" s="308"/>
      <c r="G51" s="278" t="s">
        <v>2408</v>
      </c>
    </row>
    <row r="52" spans="1:7" s="252" customFormat="1" ht="16.8" thickBot="1">
      <c r="A52" s="309" t="s">
        <v>2409</v>
      </c>
      <c r="B52" s="310"/>
      <c r="C52" s="311">
        <f ca="1">C31+C51</f>
        <v>1421925379</v>
      </c>
      <c r="D52" s="310"/>
      <c r="E52" s="310"/>
      <c r="F52" s="310"/>
      <c r="G52" s="312"/>
    </row>
    <row r="55" spans="1:7" ht="15">
      <c r="B55" s="314" t="s">
        <v>2410</v>
      </c>
      <c r="C55" s="315"/>
    </row>
    <row r="56" spans="1:7">
      <c r="B56" s="317" t="s">
        <v>1497</v>
      </c>
      <c r="C56" s="319">
        <f ca="1">1-C57</f>
        <v>7.0999999999999952E-2</v>
      </c>
    </row>
    <row r="57" spans="1:7">
      <c r="B57" s="317" t="s">
        <v>1498</v>
      </c>
      <c r="C57" s="318">
        <f ca="1">ROUND(C51/C52,3)</f>
        <v>0.92900000000000005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G19" xr:uid="{00000000-0002-0000-1F00-000001000000}">
      <formula1>"已包含在土地取得成本中,未包含在土地取得成本中"</formula1>
    </dataValidation>
    <dataValidation type="list" allowBlank="1" showInputMessage="1" showErrorMessage="1" sqref="B1" xr:uid="{00000000-0002-0000-1F00-000002000000}">
      <formula1>项目类型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3" customWidth="1"/>
    <col min="2" max="2" width="25.77734375" style="941" customWidth="1"/>
    <col min="3" max="3" width="10.33203125" style="984" customWidth="1"/>
    <col min="4" max="4" width="9.88671875" style="941" customWidth="1"/>
    <col min="5" max="5" width="9.44140625" style="793" customWidth="1"/>
    <col min="6" max="6" width="10.109375" style="941" customWidth="1"/>
    <col min="7" max="7" width="10.77734375" style="941" customWidth="1"/>
    <col min="8" max="8" width="10" style="941" customWidth="1"/>
    <col min="9" max="11" width="9.44140625" style="941" customWidth="1"/>
    <col min="12" max="12" width="9" style="941" customWidth="1"/>
    <col min="13" max="13" width="10.44140625" style="941" bestFit="1" customWidth="1"/>
    <col min="14" max="254" width="9" style="941" customWidth="1"/>
    <col min="255" max="16384" width="6.6640625" style="941"/>
  </cols>
  <sheetData>
    <row r="1" spans="1:33" ht="21">
      <c r="A1" s="240" t="s">
        <v>2442</v>
      </c>
      <c r="B1" s="1560"/>
      <c r="C1" s="1561"/>
      <c r="D1" s="1559"/>
      <c r="E1" s="320"/>
      <c r="F1" s="320"/>
      <c r="G1" s="1560"/>
      <c r="H1" s="320"/>
      <c r="I1" s="320"/>
      <c r="J1" s="320"/>
      <c r="K1" s="320">
        <f>MATCH(C1,'数据-取费表'!A6:A16,0)+5</f>
        <v>7</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45" customFormat="1" ht="16.5" customHeight="1">
      <c r="A4" s="942" t="s">
        <v>2445</v>
      </c>
      <c r="B4" s="943"/>
      <c r="C4" s="985">
        <f>SUM(C8:K8)</f>
        <v>0</v>
      </c>
      <c r="D4" s="943"/>
      <c r="E4" s="943"/>
      <c r="F4" s="943"/>
      <c r="G4" s="943"/>
      <c r="H4" s="943"/>
      <c r="I4" s="943"/>
      <c r="J4" s="943"/>
      <c r="K4" s="944"/>
    </row>
    <row r="5" spans="1:33" s="949" customFormat="1" ht="25.2">
      <c r="A5" s="946" t="s">
        <v>2446</v>
      </c>
      <c r="B5" s="947" t="s">
        <v>2447</v>
      </c>
      <c r="C5" s="2524" t="s">
        <v>2448</v>
      </c>
      <c r="D5" s="2524" t="s">
        <v>2449</v>
      </c>
      <c r="E5" s="2524" t="s">
        <v>2450</v>
      </c>
      <c r="F5" s="2524"/>
      <c r="G5" s="2524"/>
      <c r="H5" s="2524"/>
      <c r="I5" s="2524"/>
      <c r="J5" s="2524"/>
      <c r="K5" s="2524"/>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40" t="s">
        <v>2451</v>
      </c>
      <c r="C6" s="951"/>
      <c r="D6" s="951"/>
      <c r="E6" s="951"/>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34125.879999999997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25" t="s">
        <v>2454</v>
      </c>
      <c r="B8" s="177" t="s">
        <v>2455</v>
      </c>
      <c r="C8" s="986"/>
      <c r="D8" s="986"/>
      <c r="E8" s="986"/>
      <c r="F8" s="987"/>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2456</v>
      </c>
      <c r="B9" s="943"/>
      <c r="C9" s="943"/>
      <c r="D9" s="943"/>
      <c r="E9" s="943"/>
      <c r="F9" s="943"/>
      <c r="G9" s="943"/>
      <c r="H9" s="943"/>
      <c r="I9" s="943"/>
      <c r="J9" s="943"/>
      <c r="K9" s="944"/>
    </row>
    <row r="10" spans="1:33" s="959" customFormat="1" ht="13.5" customHeight="1">
      <c r="A10" s="946" t="s">
        <v>2457</v>
      </c>
      <c r="B10" s="8" t="s">
        <v>2458</v>
      </c>
      <c r="C10" s="955" t="s">
        <v>2459</v>
      </c>
      <c r="D10" s="956" t="s">
        <v>2460</v>
      </c>
      <c r="E10" s="956" t="s">
        <v>2461</v>
      </c>
      <c r="F10" s="956" t="s">
        <v>2462</v>
      </c>
      <c r="G10" s="8"/>
      <c r="H10" s="957"/>
      <c r="I10" s="957"/>
      <c r="J10" s="957"/>
      <c r="K10" s="958"/>
    </row>
    <row r="11" spans="1:33" s="964" customFormat="1" ht="13.5" customHeight="1">
      <c r="A11" s="960" t="s">
        <v>1323</v>
      </c>
      <c r="B11" s="961" t="s">
        <v>2463</v>
      </c>
      <c r="C11" s="323">
        <f ca="1">IF(C1="",'数据-取费表'!P16,INDIRECT("'数据-取费表'!p"&amp;$K$1)+INDIRECT("'数据-取费表'!ar"&amp;$K$1))</f>
        <v>0</v>
      </c>
      <c r="D11" s="962"/>
      <c r="E11" s="375"/>
      <c r="F11" s="963">
        <f ca="1">1-IF('数据-取费表'!B24=0,1,IF(C1="",'数据-取费表'!N16,INDIRECT("'数据-取费表'!n"&amp;$K$1)))</f>
        <v>0</v>
      </c>
      <c r="G11" s="8"/>
      <c r="H11" s="957"/>
      <c r="I11" s="957"/>
      <c r="J11" s="957"/>
      <c r="K11" s="958"/>
    </row>
    <row r="12" spans="1:33" s="964" customFormat="1" ht="13.5" customHeight="1">
      <c r="A12" s="960" t="s">
        <v>1324</v>
      </c>
      <c r="B12" s="961" t="s">
        <v>2464</v>
      </c>
      <c r="C12" s="24">
        <f ca="1">ROUND(C11*F12,0)</f>
        <v>0</v>
      </c>
      <c r="D12" s="962"/>
      <c r="E12" s="375"/>
      <c r="F12" s="965">
        <f>'数据-取费表'!B33</f>
        <v>0.05</v>
      </c>
      <c r="G12" s="8" t="s">
        <v>2465</v>
      </c>
      <c r="H12" s="957"/>
      <c r="I12" s="957"/>
      <c r="J12" s="957"/>
      <c r="K12" s="958"/>
    </row>
    <row r="13" spans="1:33" s="964" customFormat="1" ht="13.5" customHeight="1">
      <c r="A13" s="960" t="s">
        <v>1325</v>
      </c>
      <c r="B13" s="961" t="s">
        <v>2466</v>
      </c>
      <c r="C13" s="24">
        <f ca="1">ROUND(IF(C1="",SUMIF('数据-取费表'!C:C,"住宅",'数据-取费表'!P:P)*F13,IF(INDIRECT("'数据-取费表'!c"&amp;$K$1)="住宅",INDIRECT("'数据-取费表'!P"&amp;$K$1)*F13,0)),0)</f>
        <v>0</v>
      </c>
      <c r="D13" s="1022"/>
      <c r="E13" s="375"/>
      <c r="F13" s="965">
        <f>'数据-取费表'!B34</f>
        <v>0</v>
      </c>
      <c r="G13" s="8" t="s">
        <v>2467</v>
      </c>
      <c r="H13" s="957"/>
      <c r="I13" s="957"/>
      <c r="J13" s="957"/>
      <c r="K13" s="958"/>
    </row>
    <row r="14" spans="1:33" s="966" customFormat="1" ht="13.5" customHeight="1">
      <c r="A14" s="960" t="s">
        <v>1326</v>
      </c>
      <c r="B14" s="961" t="s">
        <v>2468</v>
      </c>
      <c r="C14" s="24">
        <f ca="1">ROUND(D14*E14*F11/10000,0)</f>
        <v>0</v>
      </c>
      <c r="D14" s="1022">
        <f ca="1">IF(C1="",'数据-汇总表'!E3,INDIRECT("'数据-取费表'!K"&amp;$K$1)+INDIRECT("'数据-取费表'!S"&amp;$K$1))</f>
        <v>166451.09</v>
      </c>
      <c r="E14" s="24">
        <f>'数据-取费表'!B35</f>
        <v>200</v>
      </c>
      <c r="F14" s="965"/>
      <c r="G14" s="8" t="s">
        <v>2469</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1327</v>
      </c>
      <c r="B15" s="961" t="s">
        <v>2470</v>
      </c>
      <c r="C15" s="972">
        <f ca="1">ROUND(C11*F15,0)</f>
        <v>0</v>
      </c>
      <c r="D15" s="967"/>
      <c r="E15" s="972"/>
      <c r="F15" s="973">
        <f>'数据-取费表'!B36</f>
        <v>1.4999999999999999E-2</v>
      </c>
      <c r="G15" s="140" t="s">
        <v>2471</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2472</v>
      </c>
      <c r="C16" s="972">
        <f ca="1">SUM(C11:C15)</f>
        <v>0</v>
      </c>
      <c r="D16" s="967"/>
      <c r="E16" s="972"/>
      <c r="F16" s="973"/>
      <c r="G16" s="140"/>
      <c r="H16" s="1557"/>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2473</v>
      </c>
      <c r="C17" s="24">
        <f ca="1">ROUND(D17*E17/10000,0)</f>
        <v>0</v>
      </c>
      <c r="D17" s="1022">
        <f ca="1">D14</f>
        <v>166451.09</v>
      </c>
      <c r="E17" s="24">
        <f>'数据-取费表'!B32</f>
        <v>0</v>
      </c>
      <c r="F17" s="967"/>
      <c r="G17" s="140" t="s">
        <v>2474</v>
      </c>
      <c r="H17" s="1557"/>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1328</v>
      </c>
      <c r="B18" s="961" t="s">
        <v>2475</v>
      </c>
      <c r="C18" s="24">
        <f ca="1">C19+C20-IF(C1="",'数据-取费表'!B29,IF(G18="已全部缴纳",C19+C20,H18))</f>
        <v>0</v>
      </c>
      <c r="D18" s="1022"/>
      <c r="E18" s="24"/>
      <c r="F18" s="965"/>
      <c r="G18" s="2526"/>
      <c r="H18" s="1556"/>
      <c r="I18" s="2527" t="s">
        <v>2476</v>
      </c>
      <c r="J18" s="968"/>
      <c r="K18" s="969"/>
    </row>
    <row r="19" spans="1:33" s="964" customFormat="1" ht="13.5" customHeight="1">
      <c r="A19" s="960" t="s">
        <v>805</v>
      </c>
      <c r="B19" s="961" t="s">
        <v>2477</v>
      </c>
      <c r="C19" s="24">
        <f ca="1">ROUND(D19*E19/10000,0)</f>
        <v>0</v>
      </c>
      <c r="D19" s="1022">
        <f ca="1">IF(C1="",'数据-汇总表'!E5,IF(INDIRECT("'数据-取费表'!c"&amp;$K$1)="住宅",INDIRECT("'数据-取费表'!k"&amp;$K$1),0))</f>
        <v>0</v>
      </c>
      <c r="E19" s="24">
        <f>'数据-取费表'!B27</f>
        <v>220</v>
      </c>
      <c r="F19" s="965"/>
      <c r="G19" s="15"/>
      <c r="H19" s="1558"/>
      <c r="I19" s="970"/>
      <c r="J19" s="970"/>
      <c r="K19" s="971"/>
    </row>
    <row r="20" spans="1:33" s="964" customFormat="1" ht="13.5" customHeight="1">
      <c r="A20" s="960" t="s">
        <v>806</v>
      </c>
      <c r="B20" s="961" t="s">
        <v>2478</v>
      </c>
      <c r="C20" s="24">
        <f ca="1">ROUND(D20*E20/10000,0)</f>
        <v>3662</v>
      </c>
      <c r="D20" s="1022">
        <f ca="1">IF(C1="",'数据-汇总表'!E6,IF(INDIRECT("'数据-取费表'!c"&amp;$K$1)="住宅",INDIRECT("'数据-取费表'!s"&amp;$K$1),INDIRECT("'数据-取费表'!k"&amp;$K$1)+INDIRECT("'数据-取费表'!s"&amp;$K$1)))</f>
        <v>166451.09</v>
      </c>
      <c r="E20" s="24">
        <f>'数据-取费表'!B28</f>
        <v>220</v>
      </c>
      <c r="F20" s="965"/>
      <c r="G20" s="15"/>
      <c r="H20" s="970"/>
      <c r="I20" s="970"/>
      <c r="J20" s="970"/>
      <c r="K20" s="971"/>
    </row>
    <row r="21" spans="1:33" s="964" customFormat="1" ht="13.5" customHeight="1">
      <c r="A21" s="950" t="s">
        <v>802</v>
      </c>
      <c r="B21" s="974" t="s">
        <v>2479</v>
      </c>
      <c r="C21" s="975">
        <f ca="1">C16+C17+C18</f>
        <v>0</v>
      </c>
      <c r="D21" s="976"/>
      <c r="E21" s="325"/>
      <c r="F21" s="325"/>
      <c r="G21" s="140" t="s">
        <v>2480</v>
      </c>
      <c r="H21" s="968"/>
      <c r="I21" s="968"/>
      <c r="J21" s="968"/>
      <c r="K21" s="969"/>
    </row>
    <row r="22" spans="1:33" s="964" customFormat="1" ht="13.5" customHeight="1">
      <c r="A22" s="950" t="s">
        <v>2452</v>
      </c>
      <c r="B22" s="974" t="s">
        <v>2481</v>
      </c>
      <c r="C22" s="975">
        <f ca="1">ROUND(C21*F22,0)</f>
        <v>0</v>
      </c>
      <c r="D22" s="325"/>
      <c r="E22" s="325"/>
      <c r="F22" s="977">
        <f>'数据-取费表'!B37</f>
        <v>0.02</v>
      </c>
      <c r="G22" s="8" t="s">
        <v>2482</v>
      </c>
      <c r="H22" s="957"/>
      <c r="I22" s="957"/>
      <c r="J22" s="957"/>
      <c r="K22" s="958"/>
    </row>
    <row r="23" spans="1:33" s="964" customFormat="1" ht="13.5" customHeight="1">
      <c r="A23" s="950" t="s">
        <v>2454</v>
      </c>
      <c r="B23" s="974" t="s">
        <v>2483</v>
      </c>
      <c r="C23" s="975">
        <f ca="1">ROUND(C4*F23*F11,0)</f>
        <v>0</v>
      </c>
      <c r="D23" s="325"/>
      <c r="E23" s="325"/>
      <c r="F23" s="977">
        <f>'数据-取费表'!B38</f>
        <v>0.02</v>
      </c>
      <c r="G23" s="8" t="s">
        <v>2484</v>
      </c>
      <c r="H23" s="957"/>
      <c r="I23" s="957"/>
      <c r="J23" s="957"/>
      <c r="K23" s="958"/>
    </row>
    <row r="24" spans="1:33" s="964" customFormat="1" ht="13.5" customHeight="1">
      <c r="A24" s="950" t="s">
        <v>2485</v>
      </c>
      <c r="B24" s="974" t="s">
        <v>2486</v>
      </c>
      <c r="C24" s="324">
        <f>ROUND(F24/(1+'数据-取费表'!C42),4)</f>
        <v>2.9000000000000001E-2</v>
      </c>
      <c r="D24" s="325" t="s">
        <v>15</v>
      </c>
      <c r="E24" s="325"/>
      <c r="F24" s="977">
        <f>IF(项目基本情况!B8="出让",0,'数据-取费表'!B48+'数据-取费表'!B49)</f>
        <v>3.0499999999999999E-2</v>
      </c>
      <c r="G24" s="8" t="s">
        <v>2487</v>
      </c>
      <c r="H24" s="979"/>
      <c r="I24" s="979"/>
      <c r="J24" s="979"/>
      <c r="K24" s="980"/>
    </row>
    <row r="25" spans="1:33" s="964" customFormat="1" ht="13.5" customHeight="1">
      <c r="A25" s="950" t="s">
        <v>2488</v>
      </c>
      <c r="B25" s="976" t="s">
        <v>2489</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2490</v>
      </c>
      <c r="C26" s="1338">
        <f ca="1">ROUND(IF('数据-取费表'!B22&lt;=1,(1+C24)*F25*'数据-取费表'!B24,(1+C24)*(POWER((1+F25),'数据-取费表'!B24)-1)),4)</f>
        <v>0</v>
      </c>
      <c r="D26" s="328"/>
      <c r="E26" s="329"/>
      <c r="F26" s="330"/>
      <c r="G26" s="2528"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2491</v>
      </c>
      <c r="C27" s="1339">
        <f ca="1">ROUND(IF('数据-取费表'!B22&lt;=1,(C21+C22+C23)*F25*'数据-取费表'!B24/2,(C21+C22+C23)*(POWER((1+F25),'数据-取费表'!B24/2)-1)),0)</f>
        <v>0</v>
      </c>
      <c r="D27" s="328"/>
      <c r="E27" s="329"/>
      <c r="F27" s="330"/>
      <c r="G27" s="2528" t="str">
        <f>IF('数据-取费表'!B22&lt;=1,"（1）-（3）项×年利率×建设期÷2","（1）-（3）项×((1+年利率)^(建设期÷2)-1)")</f>
        <v>（1）-（3）项×((1+年利率)^(建设期÷2)-1)</v>
      </c>
      <c r="H27" s="968"/>
      <c r="I27" s="968"/>
      <c r="J27" s="968"/>
      <c r="K27" s="969"/>
    </row>
    <row r="28" spans="1:33" s="333" customFormat="1" ht="13.5" customHeight="1">
      <c r="A28" s="950" t="s">
        <v>2492</v>
      </c>
      <c r="B28" s="2529" t="s">
        <v>2493</v>
      </c>
      <c r="C28" s="331">
        <f ca="1">C30</f>
        <v>0</v>
      </c>
      <c r="D28" s="324">
        <f ca="1">C29</f>
        <v>0</v>
      </c>
      <c r="E28" s="326" t="s">
        <v>15</v>
      </c>
      <c r="F28" s="332">
        <f ca="1">IF(C1="",'数据-取费表'!Q16,INDIRECT("'数据-取费表'!q"&amp;$K$1))</f>
        <v>0.16</v>
      </c>
      <c r="G28" s="978"/>
      <c r="H28" s="979"/>
      <c r="I28" s="979"/>
      <c r="J28" s="979"/>
      <c r="K28" s="980"/>
    </row>
    <row r="29" spans="1:33" s="335" customFormat="1" ht="13.5" customHeight="1">
      <c r="A29" s="960" t="s">
        <v>803</v>
      </c>
      <c r="B29" s="983" t="s">
        <v>2494</v>
      </c>
      <c r="C29" s="328">
        <f ca="1">ROUND((1+C24)*F28*'数据-取费表'!B24/'数据-取费表'!B20,4)</f>
        <v>0</v>
      </c>
      <c r="D29" s="328"/>
      <c r="E29" s="329"/>
      <c r="F29" s="334"/>
      <c r="G29" s="140" t="s">
        <v>2495</v>
      </c>
      <c r="H29" s="968"/>
      <c r="I29" s="968"/>
      <c r="J29" s="968"/>
      <c r="K29" s="969"/>
    </row>
    <row r="30" spans="1:33" s="335" customFormat="1" ht="13.5" customHeight="1">
      <c r="A30" s="960" t="s">
        <v>804</v>
      </c>
      <c r="B30" s="983" t="s">
        <v>2496</v>
      </c>
      <c r="C30" s="336">
        <f ca="1">ROUND((C21+C22+C23)*F28,0)</f>
        <v>0</v>
      </c>
      <c r="D30" s="328"/>
      <c r="E30" s="329"/>
      <c r="F30" s="334"/>
      <c r="G30" s="140"/>
      <c r="H30" s="968"/>
      <c r="I30" s="968"/>
      <c r="J30" s="968"/>
      <c r="K30" s="969"/>
    </row>
    <row r="31" spans="1:33" s="964" customFormat="1" ht="13.5" customHeight="1" thickBot="1">
      <c r="A31" s="2530" t="s">
        <v>2497</v>
      </c>
      <c r="B31" s="994" t="s">
        <v>2498</v>
      </c>
      <c r="C31" s="995">
        <f>ROUND(C4*F31/(1+'数据-取费表'!C42),0)</f>
        <v>0</v>
      </c>
      <c r="D31" s="996"/>
      <c r="E31" s="997"/>
      <c r="F31" s="998">
        <f>'数据-取费表'!B41</f>
        <v>5.6000000000000001E-2</v>
      </c>
      <c r="G31" s="999" t="s">
        <v>2499</v>
      </c>
      <c r="H31" s="1000"/>
      <c r="I31" s="1000"/>
      <c r="J31" s="1000"/>
      <c r="K31" s="1001"/>
    </row>
    <row r="32" spans="1:33" s="959" customFormat="1" ht="13.5" customHeight="1" thickBot="1">
      <c r="A32" s="989" t="s">
        <v>2500</v>
      </c>
      <c r="B32" s="990"/>
      <c r="C32" s="991">
        <f ca="1">ROUND((C4-C21-C22-C23-C25-C28-C31)/(1+C24+D25+D28),0)</f>
        <v>0</v>
      </c>
      <c r="D32" s="990"/>
      <c r="E32" s="990"/>
      <c r="F32" s="990"/>
      <c r="G32" s="992" t="s">
        <v>2501</v>
      </c>
      <c r="H32" s="990"/>
      <c r="I32" s="990"/>
      <c r="J32" s="990"/>
      <c r="K32" s="99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c r="D1" s="1798"/>
      <c r="E1" s="1799" t="s">
        <v>1371</v>
      </c>
      <c r="F1" s="1264">
        <f ca="1">J53</f>
        <v>0</v>
      </c>
      <c r="G1" s="1814">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1574</v>
      </c>
      <c r="B2" s="1822" t="e">
        <f ca="1">ROUND(D2/10000,0)</f>
        <v>#DIV/0!</v>
      </c>
      <c r="C2" s="1823" t="s">
        <v>1575</v>
      </c>
      <c r="D2" s="1915" t="e">
        <f ca="1">C40+J29+L46</f>
        <v>#DIV/0!</v>
      </c>
      <c r="E2" s="1824" t="s">
        <v>1576</v>
      </c>
      <c r="F2" s="1825"/>
      <c r="G2" s="1826"/>
      <c r="H2" s="1818"/>
      <c r="I2" s="1818"/>
      <c r="J2" s="1818"/>
      <c r="K2" s="1819"/>
      <c r="L2" s="1818"/>
      <c r="M2" s="1818"/>
    </row>
    <row r="3" spans="1:37" ht="18" customHeight="1" thickBot="1">
      <c r="A3" s="1827" t="s">
        <v>1577</v>
      </c>
      <c r="B3" s="1828">
        <f ca="1">IF(ISERROR(D2/F43),0,ROUND(D2/F43,0))</f>
        <v>0</v>
      </c>
      <c r="C3" s="1823" t="s">
        <v>1578</v>
      </c>
      <c r="D3" s="1823"/>
      <c r="E3" s="1824"/>
      <c r="F3" s="1825"/>
      <c r="G3" s="1826"/>
      <c r="H3" s="740" t="s">
        <v>1572</v>
      </c>
      <c r="I3" s="1818"/>
      <c r="J3" s="1818"/>
      <c r="K3" s="1819"/>
      <c r="L3" s="1818"/>
      <c r="M3" s="1818"/>
    </row>
    <row r="4" spans="1:37" ht="18" customHeight="1">
      <c r="A4" s="340" t="s">
        <v>1579</v>
      </c>
      <c r="B4" s="341" t="s">
        <v>1580</v>
      </c>
      <c r="C4" s="341" t="s">
        <v>1581</v>
      </c>
      <c r="D4" s="341" t="s">
        <v>1582</v>
      </c>
      <c r="E4" s="342" t="s">
        <v>1583</v>
      </c>
      <c r="F4" s="343"/>
      <c r="G4" s="1829"/>
      <c r="H4" s="340" t="s">
        <v>1579</v>
      </c>
      <c r="I4" s="341" t="s">
        <v>1580</v>
      </c>
      <c r="J4" s="341" t="s">
        <v>1581</v>
      </c>
      <c r="K4" s="341" t="s">
        <v>1582</v>
      </c>
      <c r="L4" s="342" t="s">
        <v>1583</v>
      </c>
      <c r="M4" s="343"/>
    </row>
    <row r="5" spans="1:37" ht="18" customHeight="1">
      <c r="A5" s="344">
        <v>1</v>
      </c>
      <c r="B5" s="345" t="s">
        <v>1584</v>
      </c>
      <c r="C5" s="1273">
        <f ca="1">C6+C10+C12</f>
        <v>0</v>
      </c>
      <c r="D5" s="1800" t="s">
        <v>1585</v>
      </c>
      <c r="E5" s="1274"/>
      <c r="F5" s="1275"/>
      <c r="G5" s="1829"/>
      <c r="H5" s="344">
        <v>1</v>
      </c>
      <c r="I5" s="345" t="s">
        <v>1584</v>
      </c>
      <c r="J5" s="1273">
        <f ca="1">J6+J10+J12</f>
        <v>0</v>
      </c>
      <c r="K5" s="1800" t="s">
        <v>1585</v>
      </c>
      <c r="L5" s="1274"/>
      <c r="M5" s="1275"/>
    </row>
    <row r="6" spans="1:37" ht="18" customHeight="1">
      <c r="A6" s="1272" t="s">
        <v>1032</v>
      </c>
      <c r="B6" s="3693" t="s">
        <v>1387</v>
      </c>
      <c r="C6" s="1277">
        <f ca="1">ROUND(F6*F8*F7*(1-F9),0)</f>
        <v>0</v>
      </c>
      <c r="D6" s="164" t="s">
        <v>2996</v>
      </c>
      <c r="E6" s="347" t="s">
        <v>1389</v>
      </c>
      <c r="F6" s="348">
        <f ca="1">INDIRECT("'数据-取费表'!u"&amp;$G$1)</f>
        <v>0</v>
      </c>
      <c r="G6" s="1829"/>
      <c r="H6" s="1272" t="s">
        <v>1032</v>
      </c>
      <c r="I6" s="3693" t="s">
        <v>1387</v>
      </c>
      <c r="J6" s="346">
        <f ca="1">ROUND(M6*M8*M7*(1-M9),0)</f>
        <v>0</v>
      </c>
      <c r="K6" s="1812" t="s">
        <v>2997</v>
      </c>
      <c r="L6" s="347" t="s">
        <v>1389</v>
      </c>
      <c r="M6" s="348">
        <f ca="1">INDIRECT("'数据-取费表'!z"&amp;$G$1)</f>
        <v>0</v>
      </c>
    </row>
    <row r="7" spans="1:37" ht="18" customHeight="1">
      <c r="A7" s="1276"/>
      <c r="B7" s="3694"/>
      <c r="C7" s="1278"/>
      <c r="D7" s="352"/>
      <c r="E7" s="1279" t="s">
        <v>1390</v>
      </c>
      <c r="F7" s="348">
        <f ca="1">IF(INDIRECT("'数据-取费表'!ah"&amp;$G$1)="",INDIRECT("'数据-取费表'!k"&amp;$G$1),INDIRECT("'数据-取费表'!ah"&amp;$G$1))</f>
        <v>0</v>
      </c>
      <c r="G7" s="1829"/>
      <c r="H7" s="349"/>
      <c r="I7" s="3694"/>
      <c r="J7" s="351"/>
      <c r="K7" s="352"/>
      <c r="L7" s="347" t="s">
        <v>1390</v>
      </c>
      <c r="M7" s="348">
        <f ca="1">F7</f>
        <v>0</v>
      </c>
    </row>
    <row r="8" spans="1:37" ht="18" customHeight="1">
      <c r="A8" s="349"/>
      <c r="B8" s="3694"/>
      <c r="C8" s="351"/>
      <c r="D8" s="352"/>
      <c r="E8" s="347" t="s">
        <v>1391</v>
      </c>
      <c r="F8" s="348">
        <f ca="1">INDIRECT("'数据-取费表'!ai"&amp;$G$1)</f>
        <v>0</v>
      </c>
      <c r="G8" s="1829"/>
      <c r="H8" s="349"/>
      <c r="I8" s="3694"/>
      <c r="J8" s="351"/>
      <c r="K8" s="352"/>
      <c r="L8" s="347" t="s">
        <v>1391</v>
      </c>
      <c r="M8" s="348">
        <f ca="1">INDIRECT("'数据-取费表'!ai"&amp;$G$1)</f>
        <v>0</v>
      </c>
    </row>
    <row r="9" spans="1:37" ht="18" customHeight="1">
      <c r="A9" s="349"/>
      <c r="B9" s="3695"/>
      <c r="C9" s="351"/>
      <c r="D9" s="352"/>
      <c r="E9" s="347" t="s">
        <v>1392</v>
      </c>
      <c r="F9" s="357">
        <f ca="1">INDIRECT("'数据-取费表'!w"&amp;$G$1)</f>
        <v>0</v>
      </c>
      <c r="G9" s="1829"/>
      <c r="H9" s="349"/>
      <c r="I9" s="3695"/>
      <c r="J9" s="351"/>
      <c r="K9" s="352"/>
      <c r="L9" s="358" t="s">
        <v>1392</v>
      </c>
      <c r="M9" s="359">
        <f ca="1">INDIRECT("'数据-取费表'!ab"&amp;$G$1)</f>
        <v>0</v>
      </c>
    </row>
    <row r="10" spans="1:37" ht="18" customHeight="1">
      <c r="A10" s="1272" t="s">
        <v>1036</v>
      </c>
      <c r="B10" s="1801" t="s">
        <v>1393</v>
      </c>
      <c r="C10" s="361">
        <f ca="1">ROUND(IF(F10="押一",C6/12*F11,IF(F10="押二",C6/12*2*F11,IF(F10="押三",C6/12*3*F11,C11*F11))),0)</f>
        <v>0</v>
      </c>
      <c r="D10" s="1802" t="s">
        <v>3007</v>
      </c>
      <c r="E10" s="358" t="s">
        <v>1394</v>
      </c>
      <c r="F10" s="1347"/>
      <c r="G10" s="1829"/>
      <c r="H10" s="1272" t="s">
        <v>1036</v>
      </c>
      <c r="I10" s="1801" t="s">
        <v>1393</v>
      </c>
      <c r="J10" s="346">
        <f ca="1">ROUND(IF(M10="押一",J6/12*M11,IF(M10="押二",J6/12*2*M11,IF(M10="押三",J6/12*3*M11,J11*M11))),0)</f>
        <v>0</v>
      </c>
      <c r="K10" s="1813" t="s">
        <v>3009</v>
      </c>
      <c r="L10" s="358" t="s">
        <v>1394</v>
      </c>
      <c r="M10" s="1347"/>
    </row>
    <row r="11" spans="1:37" ht="18" customHeight="1">
      <c r="A11" s="353"/>
      <c r="B11" s="1803" t="s">
        <v>1586</v>
      </c>
      <c r="C11" s="1159"/>
      <c r="D11" s="352"/>
      <c r="E11" s="358" t="s">
        <v>1396</v>
      </c>
      <c r="F11" s="359">
        <f ca="1">'数据-取费表'!B39</f>
        <v>1.4999999999999999E-2</v>
      </c>
      <c r="G11" s="1829"/>
      <c r="H11" s="1280"/>
      <c r="I11" s="1803" t="s">
        <v>1587</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f ca="1">ROUND(C29*F13,0)</f>
        <v>0</v>
      </c>
      <c r="D13" s="1312" t="s">
        <v>1399</v>
      </c>
      <c r="E13" s="1312" t="s">
        <v>1400</v>
      </c>
      <c r="F13" s="1313">
        <f ca="1">INDIRECT("'数据-取费表'!y"&amp;$G$1)</f>
        <v>0</v>
      </c>
      <c r="G13" s="1829"/>
      <c r="H13" s="1310">
        <v>2</v>
      </c>
      <c r="I13" s="1311" t="s">
        <v>1398</v>
      </c>
      <c r="J13" s="1271">
        <f ca="1">ROUND(J14*J15,0)</f>
        <v>0</v>
      </c>
      <c r="K13" s="1318" t="s">
        <v>1399</v>
      </c>
      <c r="L13" s="1830"/>
      <c r="M13" s="1831"/>
    </row>
    <row r="14" spans="1:37" ht="18" customHeight="1">
      <c r="A14" s="1182" t="s">
        <v>1031</v>
      </c>
      <c r="B14" s="347" t="s">
        <v>1401</v>
      </c>
      <c r="C14" s="363">
        <f ca="1">ROUND(INDIRECT("'数据-取费表'!l"&amp;$G$1)*F43+'数据-取费表'!L14*INDIRECT("'数据-取费表'!S"&amp;$G$1),0)</f>
        <v>0</v>
      </c>
      <c r="D14" s="1778" t="s">
        <v>1402</v>
      </c>
      <c r="E14" s="1772"/>
      <c r="F14" s="364"/>
      <c r="G14" s="1829"/>
      <c r="H14" s="1182" t="s">
        <v>1032</v>
      </c>
      <c r="I14" s="347" t="s">
        <v>1403</v>
      </c>
      <c r="J14" s="24">
        <f ca="1">C29</f>
        <v>0</v>
      </c>
      <c r="K14" s="15"/>
      <c r="L14" s="968"/>
      <c r="M14" s="969"/>
    </row>
    <row r="15" spans="1:37" s="1836" customFormat="1" ht="18" customHeight="1" thickBot="1">
      <c r="A15" s="1182" t="s">
        <v>1033</v>
      </c>
      <c r="B15" s="347" t="s">
        <v>1404</v>
      </c>
      <c r="C15" s="24">
        <f ca="1">ROUND(C14*F15,0)</f>
        <v>0</v>
      </c>
      <c r="D15" s="365" t="s">
        <v>1405</v>
      </c>
      <c r="E15" s="365" t="s">
        <v>1406</v>
      </c>
      <c r="F15" s="366">
        <f>'数据-取费表'!B33</f>
        <v>0.05</v>
      </c>
      <c r="G15" s="1832"/>
      <c r="H15" s="1320" t="s">
        <v>1036</v>
      </c>
      <c r="I15" s="1321" t="s">
        <v>1400</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f ca="1">ROUND(INDIRECT("'数据-取费表'!l"&amp;$G$1)*F43*F16,0)</f>
        <v>0</v>
      </c>
      <c r="D16" s="347" t="s">
        <v>1405</v>
      </c>
      <c r="E16" s="347" t="s">
        <v>1406</v>
      </c>
      <c r="F16" s="367">
        <f ca="1">IF(INDIRECT("'数据-取费表'!c"&amp;$G$1)="住宅",'数据-取费表'!B34,0)</f>
        <v>0</v>
      </c>
      <c r="G16" s="1829"/>
      <c r="H16" s="1310" t="s">
        <v>1027</v>
      </c>
      <c r="I16" s="1311" t="s">
        <v>1408</v>
      </c>
      <c r="J16" s="355">
        <f ca="1">ROUND(J17+J22+J23+J24,0)</f>
        <v>0</v>
      </c>
      <c r="K16" s="1318" t="s">
        <v>1409</v>
      </c>
      <c r="L16" s="1319"/>
      <c r="M16" s="1275"/>
    </row>
    <row r="17" spans="1:37" s="1836" customFormat="1" ht="18" customHeight="1">
      <c r="A17" s="1182" t="s">
        <v>1374</v>
      </c>
      <c r="B17" s="347" t="s">
        <v>1410</v>
      </c>
      <c r="C17" s="24">
        <f ca="1">ROUND(F17*(F43+INDIRECT("'数据-取费表'!S"&amp;$G$1)),0)</f>
        <v>0</v>
      </c>
      <c r="D17" s="347" t="s">
        <v>1411</v>
      </c>
      <c r="E17" s="347" t="s">
        <v>1412</v>
      </c>
      <c r="F17" s="26">
        <f>'数据-取费表'!B35</f>
        <v>200</v>
      </c>
      <c r="G17" s="1832"/>
      <c r="H17" s="1182" t="s">
        <v>1032</v>
      </c>
      <c r="I17" s="347" t="s">
        <v>1413</v>
      </c>
      <c r="J17" s="24">
        <f ca="1">ROUND(IF(项目基本情况!B11="自然人",J6*M17/(1+'数据-取费表'!C42),J18+J19+J20),0)</f>
        <v>0</v>
      </c>
      <c r="K17" s="1778" t="s">
        <v>1414</v>
      </c>
      <c r="L17" s="1776"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f ca="1">ROUND(C14*F18,0)</f>
        <v>0</v>
      </c>
      <c r="D18" s="347" t="s">
        <v>1405</v>
      </c>
      <c r="E18" s="347" t="s">
        <v>1406</v>
      </c>
      <c r="F18" s="367">
        <f>'数据-取费表'!B36</f>
        <v>1.4999999999999999E-2</v>
      </c>
      <c r="G18" s="1832"/>
      <c r="H18" s="1182" t="s">
        <v>1031</v>
      </c>
      <c r="I18" s="347" t="s">
        <v>1417</v>
      </c>
      <c r="J18" s="24">
        <f ca="1">ROUND(J6*M18/(1+'数据-取费表'!C42),0)</f>
        <v>0</v>
      </c>
      <c r="K18" s="1776"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f ca="1">SUM(C14:C18)</f>
        <v>0</v>
      </c>
      <c r="D19" s="140" t="s">
        <v>1420</v>
      </c>
      <c r="E19" s="1796"/>
      <c r="F19" s="26"/>
      <c r="G19" s="1829"/>
      <c r="H19" s="1182" t="s">
        <v>1033</v>
      </c>
      <c r="I19" s="347" t="s">
        <v>1421</v>
      </c>
      <c r="J19" s="24">
        <f ca="1">IF(K19="按租金收入计税",ROUND(J6*M19/(1+'数据-取费表'!C42),0),ROUND(C29*M19*0.7,0))</f>
        <v>0</v>
      </c>
      <c r="K19" s="1806" t="s">
        <v>1422</v>
      </c>
      <c r="L19" s="347" t="s">
        <v>1406</v>
      </c>
      <c r="M19" s="367">
        <f>IF(K19="按租金收入计税",'数据-取费表'!B51,'数据-取费表'!B50)</f>
        <v>1.2E-2</v>
      </c>
    </row>
    <row r="20" spans="1:37" s="1836" customFormat="1" ht="18" customHeight="1">
      <c r="A20" s="1182" t="s">
        <v>1036</v>
      </c>
      <c r="B20" s="347" t="s">
        <v>1423</v>
      </c>
      <c r="C20" s="24">
        <f ca="1">ROUND(C19*F20,0)</f>
        <v>0</v>
      </c>
      <c r="D20" s="369" t="s">
        <v>1424</v>
      </c>
      <c r="E20" s="347" t="s">
        <v>1406</v>
      </c>
      <c r="F20" s="367">
        <f>'数据-取费表'!B37</f>
        <v>0.02</v>
      </c>
      <c r="G20" s="1832"/>
      <c r="H20" s="1182" t="s">
        <v>1373</v>
      </c>
      <c r="I20" s="164" t="s">
        <v>1425</v>
      </c>
      <c r="J20" s="25">
        <f ca="1">ROUND(M20*M21,0)</f>
        <v>0</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v>
      </c>
      <c r="D21" s="369" t="s">
        <v>1429</v>
      </c>
      <c r="E21" s="347" t="s">
        <v>1430</v>
      </c>
      <c r="F21" s="367">
        <f>'数据-取费表'!B38</f>
        <v>0.02</v>
      </c>
      <c r="G21" s="1832"/>
      <c r="H21" s="372"/>
      <c r="I21" s="356"/>
      <c r="J21" s="29"/>
      <c r="K21" s="373"/>
      <c r="L21" s="347" t="s">
        <v>1431</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1796"/>
      <c r="F22" s="26"/>
      <c r="G22" s="1829"/>
      <c r="H22" s="1182" t="s">
        <v>1036</v>
      </c>
      <c r="I22" s="347" t="s">
        <v>1433</v>
      </c>
      <c r="J22" s="24">
        <f ca="1">ROUND(J14*M22,0)</f>
        <v>0</v>
      </c>
      <c r="K22" s="1776" t="s">
        <v>1434</v>
      </c>
      <c r="L22" s="347" t="s">
        <v>1406</v>
      </c>
      <c r="M22" s="374">
        <f ca="1">INDIRECT("'数据-取费表'!Ak"&amp;$G$1)</f>
        <v>0</v>
      </c>
    </row>
    <row r="23" spans="1:37" s="1836" customFormat="1" ht="18" customHeight="1">
      <c r="A23" s="1182" t="s">
        <v>1031</v>
      </c>
      <c r="B23" s="347" t="s">
        <v>1435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f ca="1">ROUND(J13*M23,0)</f>
        <v>0</v>
      </c>
      <c r="K23" s="1776" t="s">
        <v>1438</v>
      </c>
      <c r="L23" s="347" t="s">
        <v>1439</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1440</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1377</v>
      </c>
      <c r="I24" s="1321" t="s">
        <v>1423</v>
      </c>
      <c r="J24" s="1322">
        <f ca="1">ROUND(J5*M24,0)</f>
        <v>0</v>
      </c>
      <c r="K24" s="1323" t="s">
        <v>1443</v>
      </c>
      <c r="L24" s="1321" t="s">
        <v>1439</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1444</v>
      </c>
      <c r="B25" s="347" t="s">
        <v>1445</v>
      </c>
      <c r="C25" s="24"/>
      <c r="D25" s="140" t="s">
        <v>1446</v>
      </c>
      <c r="E25" s="1796"/>
      <c r="F25" s="26"/>
      <c r="G25" s="1829"/>
      <c r="H25" s="1310" t="s">
        <v>1028</v>
      </c>
      <c r="I25" s="1325" t="s">
        <v>1447</v>
      </c>
      <c r="J25" s="355">
        <f ca="1">J5-J16</f>
        <v>0</v>
      </c>
      <c r="K25" s="1326" t="s">
        <v>1448</v>
      </c>
      <c r="L25" s="1327"/>
      <c r="M25" s="1328"/>
    </row>
    <row r="26" spans="1:37" ht="18" customHeight="1">
      <c r="A26" s="1182" t="s">
        <v>1031</v>
      </c>
      <c r="B26" s="347" t="s">
        <v>1449</v>
      </c>
      <c r="C26" s="24">
        <f ca="1">ROUND((C19+C20)*F26,0)</f>
        <v>0</v>
      </c>
      <c r="D26" s="369" t="s">
        <v>1450</v>
      </c>
      <c r="E26" s="358" t="s">
        <v>1451</v>
      </c>
      <c r="F26" s="357">
        <f ca="1">INDIRECT("'数据-取费表'!q"&amp;$G$1)</f>
        <v>0</v>
      </c>
      <c r="G26" s="1829"/>
      <c r="H26" s="344" t="s">
        <v>1029</v>
      </c>
      <c r="I26" s="345" t="s">
        <v>1452</v>
      </c>
      <c r="J26" s="346">
        <f ca="1">IF(J5&lt;&gt;0,ROUND(J25*(1-((1+M28)/(1+M26))^M27)/(M26-M28),0),0)</f>
        <v>0</v>
      </c>
      <c r="K26" s="370" t="s">
        <v>1453</v>
      </c>
      <c r="L26" s="347" t="s">
        <v>1454</v>
      </c>
      <c r="M26" s="357">
        <f ca="1">INDIRECT("'数据-取费表'!I"&amp;$G$1)</f>
        <v>0.06</v>
      </c>
    </row>
    <row r="27" spans="1:37" ht="18" customHeight="1">
      <c r="A27" s="1182" t="s">
        <v>1033</v>
      </c>
      <c r="B27" s="347" t="s">
        <v>1455</v>
      </c>
      <c r="C27" s="24">
        <f ca="1">ROUND(F21*F26,4)</f>
        <v>0</v>
      </c>
      <c r="D27" s="369" t="s">
        <v>1456</v>
      </c>
      <c r="E27" s="365"/>
      <c r="F27" s="366"/>
      <c r="G27" s="1829"/>
      <c r="H27" s="349"/>
      <c r="I27" s="350"/>
      <c r="J27" s="351"/>
      <c r="K27" s="378" t="s">
        <v>1457</v>
      </c>
      <c r="L27" s="347" t="s">
        <v>1458</v>
      </c>
      <c r="M27" s="379">
        <f ca="1">INDIRECT("'数据-取费表'!ag"&amp;$G$1)</f>
        <v>0</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f ca="1">ROUND((C19+C20+C23+C26)/(1-F21-C24-C27-C28),0)</f>
        <v>0</v>
      </c>
      <c r="D29" s="1323"/>
      <c r="E29" s="1321"/>
      <c r="F29" s="1324"/>
      <c r="G29" s="1832"/>
      <c r="H29" s="380" t="s">
        <v>1030</v>
      </c>
      <c r="I29" s="381" t="s">
        <v>1463</v>
      </c>
      <c r="J29" s="382">
        <f ca="1">ROUND(J26/(1+F40)^F41,0)</f>
        <v>0</v>
      </c>
      <c r="K29" s="383" t="s">
        <v>1464</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f ca="1">ROUND(C31+C36+C37+C38,0)</f>
        <v>0</v>
      </c>
      <c r="D30" s="1318" t="s">
        <v>1409</v>
      </c>
      <c r="E30" s="1319"/>
      <c r="F30" s="1275"/>
      <c r="G30" s="1829"/>
      <c r="H30" s="741"/>
      <c r="I30" s="742"/>
      <c r="J30" s="743"/>
      <c r="K30" s="744"/>
      <c r="L30" s="745"/>
      <c r="M30" s="746"/>
    </row>
    <row r="31" spans="1:37" ht="18" customHeight="1">
      <c r="A31" s="1182" t="s">
        <v>1032</v>
      </c>
      <c r="B31" s="347" t="s">
        <v>1413</v>
      </c>
      <c r="C31" s="24">
        <f ca="1">ROUND(IF(项目基本情况!B11="自然人",C6*F31/(1+'数据-取费表'!C42),C32+C33+C34),0)</f>
        <v>0</v>
      </c>
      <c r="D31" s="1778" t="s">
        <v>1414</v>
      </c>
      <c r="E31" s="1776"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f ca="1">IF(项目基本情况!B11="自然人","——",ROUND(C6*F32/(1+'数据-取费表'!C42),0))</f>
        <v>0</v>
      </c>
      <c r="D32" s="1776" t="s">
        <v>1418</v>
      </c>
      <c r="E32" s="347" t="s">
        <v>1406</v>
      </c>
      <c r="F32" s="377">
        <f>'数据-取费表'!B41</f>
        <v>5.6000000000000001E-2</v>
      </c>
      <c r="G32" s="1829"/>
      <c r="H32" s="741"/>
      <c r="I32" s="742"/>
      <c r="J32" s="743"/>
      <c r="K32" s="744"/>
      <c r="L32" s="745"/>
      <c r="M32" s="746"/>
    </row>
    <row r="33" spans="1:18" ht="18" customHeight="1">
      <c r="A33" s="1182" t="s">
        <v>1033</v>
      </c>
      <c r="B33" s="347" t="s">
        <v>1421</v>
      </c>
      <c r="C33" s="24">
        <f ca="1">IF(项目基本情况!B11="自然人","——",IF(D33="按租金收入计税",ROUND(C6*F33/(1+'数据-取费表'!C42),0),IF(D33="按房产原值计税",ROUND(C29*F33*0.7,0),INDIRECT("'数据-取费表'!Aj"&amp;$G$1))))</f>
        <v>0</v>
      </c>
      <c r="D33" s="1806" t="s">
        <v>1422</v>
      </c>
      <c r="E33" s="347" t="s">
        <v>1406</v>
      </c>
      <c r="F33" s="367">
        <f>IF(D33="按票据","——",IF(D33="按租金收入计税",'数据-取费表'!B51,'数据-取费表'!B50))</f>
        <v>1.2E-2</v>
      </c>
      <c r="G33" s="1829"/>
      <c r="H33" s="1837"/>
      <c r="I33" s="1838"/>
      <c r="J33" s="1839"/>
      <c r="K33" s="1840"/>
      <c r="L33" s="1837"/>
      <c r="M33" s="1837"/>
    </row>
    <row r="34" spans="1:18" ht="18" customHeight="1">
      <c r="A34" s="1272" t="s">
        <v>1373</v>
      </c>
      <c r="B34" s="164" t="s">
        <v>1425</v>
      </c>
      <c r="C34" s="25">
        <f ca="1">IF(项目基本情况!B11="自然人","——",ROUND(F34*F35,))</f>
        <v>0</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f ca="1">INDIRECT("'数据-取费表'!r"&amp;$G$1)</f>
        <v>0</v>
      </c>
      <c r="G35" s="1829"/>
      <c r="H35" s="741"/>
      <c r="I35" s="1838"/>
      <c r="J35" s="1839"/>
      <c r="K35" s="1840"/>
      <c r="L35" s="1837"/>
      <c r="M35" s="1837"/>
    </row>
    <row r="36" spans="1:18" ht="18" customHeight="1">
      <c r="A36" s="1333" t="s">
        <v>1036</v>
      </c>
      <c r="B36" s="347" t="s">
        <v>1433</v>
      </c>
      <c r="C36" s="24">
        <f ca="1">ROUND(C29*F36,0)</f>
        <v>0</v>
      </c>
      <c r="D36" s="1776" t="s">
        <v>1466</v>
      </c>
      <c r="E36" s="347" t="s">
        <v>1406</v>
      </c>
      <c r="F36" s="374">
        <f ca="1">INDIRECT("'数据-取费表'!Ak"&amp;$G$1)</f>
        <v>0</v>
      </c>
      <c r="G36" s="1829"/>
      <c r="H36" s="1837"/>
      <c r="I36" s="1838"/>
      <c r="J36" s="1839"/>
      <c r="K36" s="747"/>
      <c r="L36" s="1837"/>
      <c r="M36" s="1837"/>
    </row>
    <row r="37" spans="1:18" ht="18" customHeight="1">
      <c r="A37" s="1182" t="s">
        <v>1072</v>
      </c>
      <c r="B37" s="347" t="s">
        <v>1437</v>
      </c>
      <c r="C37" s="24">
        <f ca="1">ROUND(C13*F37,0)</f>
        <v>0</v>
      </c>
      <c r="D37" s="1776" t="s">
        <v>1438</v>
      </c>
      <c r="E37" s="347" t="s">
        <v>1439</v>
      </c>
      <c r="F37" s="376">
        <f ca="1">INDIRECT("'数据-取费表'!Al"&amp;$G$1)</f>
        <v>0</v>
      </c>
      <c r="G37" s="1829"/>
      <c r="H37" s="1837"/>
      <c r="I37" s="1838"/>
      <c r="J37" s="1839"/>
      <c r="K37" s="747"/>
      <c r="L37" s="1837"/>
      <c r="M37" s="1837"/>
    </row>
    <row r="38" spans="1:18" ht="18" customHeight="1" thickBot="1">
      <c r="A38" s="1320" t="s">
        <v>1377</v>
      </c>
      <c r="B38" s="1321" t="s">
        <v>1423</v>
      </c>
      <c r="C38" s="1322">
        <f ca="1">ROUND(C5*F38,1)</f>
        <v>0</v>
      </c>
      <c r="D38" s="1323" t="s">
        <v>1443</v>
      </c>
      <c r="E38" s="1321" t="s">
        <v>1439</v>
      </c>
      <c r="F38" s="1317">
        <f ca="1">INDIRECT("'数据-取费表'!Am"&amp;$G$1)</f>
        <v>0</v>
      </c>
      <c r="G38" s="1829"/>
      <c r="H38" s="1837"/>
      <c r="I38" s="1838"/>
      <c r="J38" s="1839"/>
      <c r="K38" s="1843"/>
      <c r="L38" s="1837"/>
      <c r="M38" s="1837"/>
    </row>
    <row r="39" spans="1:18" ht="24.6" customHeight="1" thickTop="1">
      <c r="A39" s="1310" t="s">
        <v>1028</v>
      </c>
      <c r="B39" s="1325" t="s">
        <v>1467</v>
      </c>
      <c r="C39" s="355">
        <f ca="1">C5-C30</f>
        <v>0</v>
      </c>
      <c r="D39" s="1326" t="s">
        <v>1468</v>
      </c>
      <c r="E39" s="1327"/>
      <c r="F39" s="1328"/>
      <c r="G39" s="1829"/>
      <c r="H39" s="1837"/>
      <c r="I39" s="1838"/>
      <c r="J39" s="1839"/>
      <c r="K39" s="1843"/>
      <c r="L39" s="1837"/>
      <c r="M39" s="1837"/>
    </row>
    <row r="40" spans="1:18" ht="18" customHeight="1">
      <c r="A40" s="344" t="s">
        <v>1029</v>
      </c>
      <c r="B40" s="345" t="s">
        <v>1469</v>
      </c>
      <c r="C40" s="346">
        <f ca="1">ROUND(C39*(1-((1+F42)/(1+F40))^F41)/(F40-F42),0)</f>
        <v>0</v>
      </c>
      <c r="D40" s="370" t="s">
        <v>1453</v>
      </c>
      <c r="E40" s="347" t="s">
        <v>1454</v>
      </c>
      <c r="F40" s="357">
        <f ca="1">INDIRECT("'数据-取费表'!I"&amp;$G$1)</f>
        <v>0.06</v>
      </c>
      <c r="G40" s="1829"/>
      <c r="H40" s="1817"/>
      <c r="I40" s="1838"/>
      <c r="J40" s="1839"/>
      <c r="K40" s="1843"/>
      <c r="L40" s="1817"/>
      <c r="M40" s="1817"/>
    </row>
    <row r="41" spans="1:18" ht="18" customHeight="1">
      <c r="A41" s="349"/>
      <c r="B41" s="350"/>
      <c r="C41" s="351"/>
      <c r="D41" s="378" t="s">
        <v>1470</v>
      </c>
      <c r="E41" s="347" t="s">
        <v>1458</v>
      </c>
      <c r="F41" s="379">
        <f ca="1">IF(INDIRECT("'数据-取费表'!af"&amp;$G$1)=0,INDIRECT("'数据-取费表'!ae"&amp;$G$1),INDIRECT("'数据-取费表'!af"&amp;$G$1))</f>
        <v>0</v>
      </c>
      <c r="G41" s="1829"/>
      <c r="H41" s="728"/>
      <c r="I41" s="1838"/>
      <c r="J41" s="1839"/>
      <c r="K41" s="747"/>
      <c r="L41" s="728"/>
      <c r="M41" s="728"/>
    </row>
    <row r="42" spans="1:18" ht="18" customHeight="1">
      <c r="A42" s="353"/>
      <c r="B42" s="354"/>
      <c r="C42" s="355"/>
      <c r="D42" s="373"/>
      <c r="E42" s="347" t="s">
        <v>1461</v>
      </c>
      <c r="F42" s="357">
        <f ca="1">INDIRECT("'数据-取费表'!v"&amp;$G$1)</f>
        <v>0</v>
      </c>
      <c r="G42" s="1829"/>
      <c r="H42" s="728"/>
      <c r="I42" s="1838"/>
      <c r="J42" s="1839"/>
      <c r="K42" s="747"/>
      <c r="L42" s="728"/>
      <c r="M42" s="728"/>
    </row>
    <row r="43" spans="1:18" ht="18" customHeight="1" thickBot="1">
      <c r="A43" s="380" t="s">
        <v>1030</v>
      </c>
      <c r="B43" s="381" t="s">
        <v>1471</v>
      </c>
      <c r="C43" s="382" t="e">
        <f ca="1">ROUND(C40/F43,0)</f>
        <v>#DIV/0!</v>
      </c>
      <c r="D43" s="383" t="s">
        <v>1472</v>
      </c>
      <c r="E43" s="384" t="s">
        <v>1473</v>
      </c>
      <c r="F43" s="385">
        <f ca="1">INDIRECT("'数据-取费表'!k"&amp;$G$1)</f>
        <v>0</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916">
        <f ca="1">C68-C40</f>
        <v>0</v>
      </c>
      <c r="D45" s="1917" t="s">
        <v>1588</v>
      </c>
      <c r="E45" s="1844"/>
      <c r="F45" s="1844"/>
      <c r="O45" s="1847" t="s">
        <v>1503</v>
      </c>
      <c r="P45" s="1817"/>
      <c r="Q45" s="1817"/>
      <c r="R45" s="1817"/>
    </row>
    <row r="46" spans="1:18" s="1820" customFormat="1" ht="13.8" thickBot="1">
      <c r="A46" s="1848" t="s">
        <v>1504</v>
      </c>
      <c r="C46" s="1849">
        <f ca="1">ROUND(C45/10000,0)</f>
        <v>0</v>
      </c>
      <c r="D46" s="1850" t="str">
        <f>C2</f>
        <v>万元</v>
      </c>
      <c r="I46" s="1851" t="s">
        <v>1505</v>
      </c>
      <c r="J46" s="1852"/>
      <c r="K46" s="1853"/>
      <c r="L46" s="1854" t="e">
        <f ca="1">IF(M47="住宅",0,IF(L48&gt;J51,L60,J60))</f>
        <v>#DIV/0!</v>
      </c>
      <c r="O46" s="1855" t="s">
        <v>1506</v>
      </c>
      <c r="P46" s="1856" t="s">
        <v>1507</v>
      </c>
      <c r="Q46" s="1857" t="s">
        <v>1508</v>
      </c>
      <c r="R46" s="1857" t="s">
        <v>1509</v>
      </c>
    </row>
    <row r="47" spans="1:18" s="1820" customFormat="1" ht="13.8" thickBot="1">
      <c r="A47" s="1146" t="s">
        <v>1380</v>
      </c>
      <c r="B47" s="1178" t="s">
        <v>1381</v>
      </c>
      <c r="C47" s="1178" t="s">
        <v>1382</v>
      </c>
      <c r="D47" s="1178" t="s">
        <v>1383</v>
      </c>
      <c r="E47" s="1260" t="s">
        <v>1384</v>
      </c>
      <c r="F47" s="1261"/>
      <c r="G47" s="787"/>
      <c r="I47" s="1858" t="s">
        <v>1510</v>
      </c>
      <c r="J47" s="1859"/>
      <c r="K47" s="1860" t="s">
        <v>1511</v>
      </c>
      <c r="L47" s="1861">
        <f ca="1">INDIRECT("'数据-取费表'!d"&amp;$G$1)</f>
        <v>40</v>
      </c>
      <c r="M47" s="1816" t="str">
        <f>IF(ISNUMBER(FIND("住宅",C1)),"住宅","非住宅")</f>
        <v>非住宅</v>
      </c>
      <c r="O47" s="1862" t="s">
        <v>1037</v>
      </c>
      <c r="P47" s="1863" t="s">
        <v>1512</v>
      </c>
      <c r="Q47" s="1864">
        <f ca="1">C40+J29</f>
        <v>0</v>
      </c>
      <c r="R47" s="1864" t="s">
        <v>1513</v>
      </c>
    </row>
    <row r="48" spans="1:18" s="1820" customFormat="1" ht="40.200000000000003" thickBot="1">
      <c r="A48" s="1341" t="s">
        <v>1125</v>
      </c>
      <c r="B48" s="345" t="s">
        <v>1385</v>
      </c>
      <c r="C48" s="1795">
        <f ca="1">C49+C53+C55</f>
        <v>0</v>
      </c>
      <c r="D48" s="1343"/>
      <c r="E48" s="1344"/>
      <c r="F48" s="1162"/>
      <c r="G48" s="787"/>
      <c r="H48" s="788"/>
      <c r="I48" s="1865" t="s">
        <v>1514</v>
      </c>
      <c r="J48" s="1866"/>
      <c r="K48" s="1867" t="s">
        <v>1515</v>
      </c>
      <c r="L48" s="1868">
        <f ca="1">INDIRECT("'数据-取费表'!f"&amp;$G$1)</f>
        <v>28.16</v>
      </c>
      <c r="O48" s="1862" t="s">
        <v>1038</v>
      </c>
      <c r="P48" s="1863" t="s">
        <v>1516</v>
      </c>
      <c r="Q48" s="1864" t="str">
        <f ca="1">J60</f>
        <v>0</v>
      </c>
      <c r="R48" s="1864" t="s">
        <v>1517</v>
      </c>
    </row>
    <row r="49" spans="1:18" s="1820" customFormat="1" ht="13.8" thickBot="1">
      <c r="A49" s="1175" t="s">
        <v>1126</v>
      </c>
      <c r="B49" s="1807" t="s">
        <v>1474</v>
      </c>
      <c r="C49" s="1345">
        <f ca="1">ROUND(F49*F51*F50*(1-F52),0)</f>
        <v>0</v>
      </c>
      <c r="D49" s="1257" t="s">
        <v>1388</v>
      </c>
      <c r="E49" s="1808" t="s">
        <v>1475</v>
      </c>
      <c r="F49" s="1262"/>
      <c r="G49" s="1869"/>
      <c r="H49" s="788"/>
      <c r="I49" s="1865" t="s">
        <v>1518</v>
      </c>
      <c r="J49" s="1870"/>
      <c r="K49" s="1867" t="s">
        <v>1519</v>
      </c>
      <c r="L49" s="1871"/>
      <c r="O49" s="1872" t="s">
        <v>1039</v>
      </c>
      <c r="P49" s="1863" t="s">
        <v>1520</v>
      </c>
      <c r="Q49" s="1864">
        <f ca="1">C29</f>
        <v>0</v>
      </c>
      <c r="R49" s="1864" t="s">
        <v>1513</v>
      </c>
    </row>
    <row r="50" spans="1:18" s="1820" customFormat="1" ht="13.8" thickBot="1">
      <c r="A50" s="1176"/>
      <c r="B50" s="1179"/>
      <c r="C50" s="1180"/>
      <c r="D50" s="1153"/>
      <c r="E50" s="1258" t="s">
        <v>1390</v>
      </c>
      <c r="F50" s="1259">
        <f ca="1">F7</f>
        <v>0</v>
      </c>
      <c r="H50" s="788"/>
      <c r="I50" s="1865" t="s">
        <v>1521</v>
      </c>
      <c r="J50" s="1873">
        <f>SUMPRODUCT((I63:I65=J47)*(J62:L62=J48)*(J63:L65))</f>
        <v>0</v>
      </c>
      <c r="K50" s="1867" t="s">
        <v>1522</v>
      </c>
      <c r="L50" s="1871"/>
      <c r="M50" s="1874"/>
      <c r="O50" s="1872" t="s">
        <v>1040</v>
      </c>
      <c r="P50" s="1863" t="s">
        <v>1523</v>
      </c>
      <c r="Q50" s="1875" t="e">
        <f ca="1">J58</f>
        <v>#VALUE!</v>
      </c>
      <c r="R50" s="1864"/>
    </row>
    <row r="51" spans="1:18" s="1820" customFormat="1" ht="13.8" thickBot="1">
      <c r="A51" s="1177"/>
      <c r="B51" s="1179"/>
      <c r="C51" s="1180"/>
      <c r="D51" s="1153"/>
      <c r="E51" s="1181" t="s">
        <v>1391</v>
      </c>
      <c r="F51" s="348">
        <f ca="1">F8</f>
        <v>0</v>
      </c>
      <c r="I51" s="1876" t="s">
        <v>1524</v>
      </c>
      <c r="J51" s="1877">
        <f>IF(J49="",J50,J49+J50-YEAR('数据-取费表'!B2))</f>
        <v>0</v>
      </c>
      <c r="K51" s="1878" t="s">
        <v>1525</v>
      </c>
      <c r="L51" s="1879">
        <f ca="1">ROUND(-PV(INDIRECT("'数据-取费表'!h"&amp;$G$1),L48,(C39-C13*C76),0),0)</f>
        <v>0</v>
      </c>
      <c r="M51" s="1880"/>
      <c r="O51" s="1872" t="s">
        <v>1041</v>
      </c>
      <c r="P51" s="1863" t="s">
        <v>1526</v>
      </c>
      <c r="Q51" s="1875">
        <f>J52</f>
        <v>0</v>
      </c>
      <c r="R51" s="1864"/>
    </row>
    <row r="52" spans="1:18" s="1820" customFormat="1" ht="13.8" thickBot="1">
      <c r="A52" s="1177"/>
      <c r="B52" s="1179"/>
      <c r="C52" s="1180"/>
      <c r="D52" s="1153"/>
      <c r="E52" s="1181" t="s">
        <v>1392</v>
      </c>
      <c r="F52" s="1256"/>
      <c r="I52" s="1881" t="s">
        <v>1527</v>
      </c>
      <c r="J52" s="1882"/>
      <c r="K52" s="1881" t="s">
        <v>1528</v>
      </c>
      <c r="L52" s="1882"/>
      <c r="O52" s="1872" t="s">
        <v>1042</v>
      </c>
      <c r="P52" s="1863" t="s">
        <v>1529</v>
      </c>
      <c r="Q52" s="1864">
        <f ca="1">J53</f>
        <v>0</v>
      </c>
      <c r="R52" s="1864" t="s">
        <v>1530</v>
      </c>
    </row>
    <row r="53" spans="1:18" s="1820" customFormat="1" ht="30.75" customHeight="1" thickBot="1">
      <c r="A53" s="1342" t="s">
        <v>1127</v>
      </c>
      <c r="B53" s="369" t="s">
        <v>1393</v>
      </c>
      <c r="C53" s="361">
        <f ca="1">ROUND(IF(F53="押一",C49/12*F11,IF(F53="押二",C49/12*2*F11,IF(F53="押三",C49/12*3*F11,C54*F11))),0)</f>
        <v>0</v>
      </c>
      <c r="D53" s="1802" t="s">
        <v>3010</v>
      </c>
      <c r="E53" s="358" t="s">
        <v>1394</v>
      </c>
      <c r="F53" s="1347"/>
      <c r="I53" s="1883" t="s">
        <v>1531</v>
      </c>
      <c r="J53" s="2918">
        <f ca="1">IF(M47="住宅",IF(D1="——",MAX(J51,L48),MAX(J51,L48-'数据-取费表'!B24)),IF(D1="——",MIN(J51,L48),MIN(J51,L48-'数据-取费表'!B24)))</f>
        <v>0</v>
      </c>
      <c r="K53" s="3696" t="s">
        <v>1532</v>
      </c>
      <c r="L53" s="3697"/>
      <c r="O53" s="1862" t="s">
        <v>1043</v>
      </c>
      <c r="P53" s="1863" t="s">
        <v>1533</v>
      </c>
      <c r="Q53" s="1864">
        <f ca="1">Q47+Q48</f>
        <v>0</v>
      </c>
      <c r="R53" s="1864" t="s">
        <v>1044</v>
      </c>
    </row>
    <row r="54" spans="1:18" s="1820" customFormat="1" ht="13.8" thickBot="1">
      <c r="A54" s="1175"/>
      <c r="B54" s="1918" t="s">
        <v>1587</v>
      </c>
      <c r="C54" s="1159"/>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1534</v>
      </c>
      <c r="P54" s="1817"/>
      <c r="Q54" s="1817"/>
      <c r="R54" s="1817"/>
    </row>
    <row r="55" spans="1:18" s="1820" customFormat="1" ht="13.8" thickBot="1">
      <c r="A55" s="1314" t="s">
        <v>1072</v>
      </c>
      <c r="B55" s="1805" t="s">
        <v>1397</v>
      </c>
      <c r="C55" s="1315"/>
      <c r="D55" s="1802"/>
      <c r="E55" s="1810"/>
      <c r="F55" s="1884"/>
      <c r="I55" s="1887" t="s">
        <v>1535</v>
      </c>
      <c r="J55" s="1888" t="e">
        <f ca="1">ROUND(IF(J47="钢混",J57/J50,1-(1-2%)*(J50-J57)/J50),3)</f>
        <v>#VALUE!</v>
      </c>
      <c r="K55" s="1889" t="s">
        <v>1536</v>
      </c>
      <c r="L55" s="1890"/>
      <c r="O55" s="1855" t="s">
        <v>1506</v>
      </c>
      <c r="P55" s="1856" t="s">
        <v>1507</v>
      </c>
      <c r="Q55" s="1857" t="s">
        <v>1508</v>
      </c>
      <c r="R55" s="1857" t="s">
        <v>1509</v>
      </c>
    </row>
    <row r="56" spans="1:18" s="1820" customFormat="1" ht="36" customHeight="1" thickTop="1" thickBot="1">
      <c r="A56" s="1157">
        <v>2</v>
      </c>
      <c r="B56" s="1158" t="s">
        <v>1398</v>
      </c>
      <c r="C56" s="276">
        <f ca="1">C13</f>
        <v>0</v>
      </c>
      <c r="D56" s="1891"/>
      <c r="E56" s="1892"/>
      <c r="F56" s="1884"/>
      <c r="I56" s="1893" t="s">
        <v>1538</v>
      </c>
      <c r="J56" s="1894"/>
      <c r="K56" s="1865" t="s">
        <v>1539</v>
      </c>
      <c r="L56" s="1868">
        <f ca="1">IF(L48&lt;J51,"——",L48-J51)</f>
        <v>28.16</v>
      </c>
      <c r="O56" s="1862" t="s">
        <v>1037</v>
      </c>
      <c r="P56" s="1863" t="s">
        <v>1512</v>
      </c>
      <c r="Q56" s="1864">
        <f ca="1">C40+J29</f>
        <v>0</v>
      </c>
      <c r="R56" s="1864" t="s">
        <v>1513</v>
      </c>
    </row>
    <row r="57" spans="1:18" s="1820" customFormat="1" ht="24.6" thickBot="1">
      <c r="A57" s="1895"/>
      <c r="B57" s="1150" t="s">
        <v>1462</v>
      </c>
      <c r="C57" s="282">
        <f ca="1">C29</f>
        <v>0</v>
      </c>
      <c r="D57" s="1896"/>
      <c r="E57" s="1897"/>
      <c r="F57" s="1898"/>
      <c r="I57" s="1899" t="s">
        <v>1540</v>
      </c>
      <c r="J57" s="1900" t="str">
        <f ca="1">IF(OR(M47="住宅",J51&lt;L48,J56="是"),"——",J51-L48)</f>
        <v>——</v>
      </c>
      <c r="K57" s="1865" t="s">
        <v>1589</v>
      </c>
      <c r="L57" s="1868">
        <f ca="1">IF(L48&lt;J51,"——",IF(L55="比较法",L49,IF(L55="基准地价",L50,L51)))</f>
        <v>0</v>
      </c>
      <c r="O57" s="1862" t="s">
        <v>1038</v>
      </c>
      <c r="P57" s="1863" t="s">
        <v>1590</v>
      </c>
      <c r="Q57" s="1864" t="e">
        <f ca="1">L60</f>
        <v>#DIV/0!</v>
      </c>
      <c r="R57" s="1864" t="s">
        <v>1591</v>
      </c>
    </row>
    <row r="58" spans="1:18" s="1820" customFormat="1" ht="24.6" thickBot="1">
      <c r="A58" s="360" t="s">
        <v>1027</v>
      </c>
      <c r="B58" s="1158" t="s">
        <v>1408</v>
      </c>
      <c r="C58" s="361">
        <f ca="1">ROUND(C59+C64+C65+C66,0)</f>
        <v>0</v>
      </c>
      <c r="D58" s="1160" t="s">
        <v>1409</v>
      </c>
      <c r="E58" s="1161"/>
      <c r="F58" s="1162"/>
      <c r="I58" s="1899" t="s">
        <v>1544</v>
      </c>
      <c r="J58" s="1901" t="e">
        <f ca="1">IF(J55&lt;0.4,0.4,J55)</f>
        <v>#VALUE!</v>
      </c>
      <c r="K58" s="1878" t="s">
        <v>1592</v>
      </c>
      <c r="L58" s="1868" t="e">
        <f ca="1">ROUND(POWER(1+L52,L47-L48)*(POWER(1+L52,L48)-1)/(POWER(1+L52,L47)-1),4)</f>
        <v>#DIV/0!</v>
      </c>
      <c r="O58" s="1872" t="s">
        <v>1039</v>
      </c>
      <c r="P58" s="1863" t="s">
        <v>1546</v>
      </c>
      <c r="Q58" s="1864">
        <f>IF(L55="比较法",L49,IF(L55="基准地价",L50,0))</f>
        <v>0</v>
      </c>
      <c r="R58" s="1864" t="s">
        <v>1513</v>
      </c>
    </row>
    <row r="59" spans="1:18" s="1820" customFormat="1" ht="24.6" thickBot="1">
      <c r="A59" s="1182" t="s">
        <v>1032</v>
      </c>
      <c r="B59" s="1150" t="s">
        <v>1413</v>
      </c>
      <c r="C59" s="24">
        <f ca="1">ROUND(IF(项目基本情况!B11="自然人",C48*F59,C60+C61+C62),0)</f>
        <v>0</v>
      </c>
      <c r="D59" s="1163" t="s">
        <v>1414</v>
      </c>
      <c r="E59" s="1164" t="s">
        <v>1415</v>
      </c>
      <c r="F59" s="368" t="str">
        <f ca="1">IF(项目基本情况!B11="企业","",IF(INDIRECT("'数据-取费表'!c"&amp;$G$1)="住宅",5%,IF(F49*F50*F51/12/(1+'数据-取费表'!C42)&gt;20000,12%,7%)))</f>
        <v/>
      </c>
      <c r="I59" s="1899" t="s">
        <v>1547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1548</v>
      </c>
      <c r="Q59" s="1875">
        <f>L52</f>
        <v>0</v>
      </c>
      <c r="R59" s="1864"/>
    </row>
    <row r="60" spans="1:18" s="1820" customFormat="1" ht="16.2" thickBot="1">
      <c r="A60" s="1182" t="s">
        <v>1031</v>
      </c>
      <c r="B60" s="1150" t="s">
        <v>1417</v>
      </c>
      <c r="C60" s="24">
        <f ca="1">IF(项目基本情况!B11="自然人","——",ROUND(C48*F60/(1+'数据-取费表'!C42),0))</f>
        <v>0</v>
      </c>
      <c r="D60" s="1164" t="s">
        <v>1418</v>
      </c>
      <c r="E60" s="1150" t="s">
        <v>1406</v>
      </c>
      <c r="F60" s="377">
        <f t="shared" ref="F60:F66" si="0">F32</f>
        <v>5.6000000000000001E-2</v>
      </c>
      <c r="I60" s="1902" t="s">
        <v>1549</v>
      </c>
      <c r="J60" s="1903" t="str">
        <f ca="1">IF(OR(M47="住宅",J51&lt;L48,J56="是"),"0",ROUND(J59/(1+J52)^J53,0))</f>
        <v>0</v>
      </c>
      <c r="K60" s="1904" t="s">
        <v>1550</v>
      </c>
      <c r="L60" s="1903" t="e">
        <f ca="1">IF(OR(M47="住宅",L48&lt;J51),0,ROUND(L57*(L58/L59-1),0))</f>
        <v>#DIV/0!</v>
      </c>
      <c r="O60" s="1872" t="s">
        <v>1041</v>
      </c>
      <c r="P60" s="1863" t="s">
        <v>1551</v>
      </c>
      <c r="Q60" s="1864" t="e">
        <f ca="1">L58</f>
        <v>#DIV/0!</v>
      </c>
      <c r="R60" s="1864" t="s">
        <v>1552</v>
      </c>
    </row>
    <row r="61" spans="1:18" s="1820" customFormat="1" ht="13.8" thickBot="1">
      <c r="A61" s="1182" t="s">
        <v>1476</v>
      </c>
      <c r="B61" s="1150" t="s">
        <v>1477</v>
      </c>
      <c r="C61" s="24">
        <f ca="1">IF(项目基本情况!B11="自然人","——",IF(D61="按租金收入计税",ROUND(C48*F61,0),IF(D61="按房产原值计税",ROUND(C57*F61*0.7,0),INDIRECT("'数据-取费表'!Aj"&amp;$G$1))))</f>
        <v>0</v>
      </c>
      <c r="D61" s="1806" t="s">
        <v>1422</v>
      </c>
      <c r="E61" s="1150" t="s">
        <v>1478</v>
      </c>
      <c r="F61" s="367">
        <f t="shared" si="0"/>
        <v>1.2E-2</v>
      </c>
      <c r="I61" s="1905"/>
      <c r="J61" s="1905"/>
      <c r="K61" s="1905"/>
      <c r="L61" s="1905"/>
      <c r="O61" s="1872" t="s">
        <v>1042</v>
      </c>
      <c r="P61" s="1863" t="str">
        <f>K59</f>
        <v>建设期及建筑物耐用年限下的土地年期修正系数Kn</v>
      </c>
      <c r="Q61" s="1864" t="e">
        <f ca="1">L59</f>
        <v>#DIV/0!</v>
      </c>
      <c r="R61" s="1864" t="s">
        <v>1553</v>
      </c>
    </row>
    <row r="62" spans="1:18" s="1820" customFormat="1" ht="13.8" thickBot="1">
      <c r="A62" s="1182" t="s">
        <v>1479</v>
      </c>
      <c r="B62" s="1149" t="s">
        <v>1480</v>
      </c>
      <c r="C62" s="25">
        <f ca="1">IF(项目基本情况!B11="自然人","——",ROUND(F62*F63,0))</f>
        <v>0</v>
      </c>
      <c r="D62" s="1165" t="s">
        <v>1481</v>
      </c>
      <c r="E62" s="1150" t="s">
        <v>1482</v>
      </c>
      <c r="F62" s="371">
        <f t="shared" si="0"/>
        <v>30</v>
      </c>
      <c r="I62" s="1906" t="s">
        <v>1554</v>
      </c>
      <c r="J62" s="1907" t="s">
        <v>1555</v>
      </c>
      <c r="K62" s="1907" t="s">
        <v>1556</v>
      </c>
      <c r="L62" s="1907" t="s">
        <v>1557</v>
      </c>
      <c r="M62" s="1908" t="s">
        <v>1558</v>
      </c>
      <c r="O62" s="1862" t="s">
        <v>1043</v>
      </c>
      <c r="P62" s="1863" t="s">
        <v>1559</v>
      </c>
      <c r="Q62" s="1864" t="e">
        <f ca="1">Q56+Q57</f>
        <v>#DIV/0!</v>
      </c>
      <c r="R62" s="1864" t="s">
        <v>1044</v>
      </c>
    </row>
    <row r="63" spans="1:18" s="1820" customFormat="1" ht="13.8" thickBot="1">
      <c r="A63" s="372"/>
      <c r="B63" s="1156"/>
      <c r="C63" s="29"/>
      <c r="D63" s="1166"/>
      <c r="E63" s="1150" t="s">
        <v>1483</v>
      </c>
      <c r="F63" s="348">
        <f t="shared" ca="1" si="0"/>
        <v>0</v>
      </c>
      <c r="I63" s="1906" t="s">
        <v>1560</v>
      </c>
      <c r="J63" s="1907">
        <v>70</v>
      </c>
      <c r="K63" s="1907">
        <v>50</v>
      </c>
      <c r="L63" s="1907">
        <v>80</v>
      </c>
      <c r="M63" s="1909">
        <v>0.02</v>
      </c>
      <c r="O63" s="1847" t="s">
        <v>1561</v>
      </c>
      <c r="P63" s="1817"/>
      <c r="Q63" s="1817"/>
      <c r="R63" s="1817"/>
    </row>
    <row r="64" spans="1:18" s="1820" customFormat="1" ht="13.8" thickBot="1">
      <c r="A64" s="1182" t="s">
        <v>1484</v>
      </c>
      <c r="B64" s="1150" t="s">
        <v>1485</v>
      </c>
      <c r="C64" s="24">
        <f ca="1">ROUND(C57*F64,0)</f>
        <v>0</v>
      </c>
      <c r="D64" s="1164" t="s">
        <v>1486</v>
      </c>
      <c r="E64" s="1150" t="s">
        <v>1478</v>
      </c>
      <c r="F64" s="374">
        <f t="shared" ca="1" si="0"/>
        <v>0</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f ca="1">ROUND(C56*F65,0)</f>
        <v>0</v>
      </c>
      <c r="D65" s="1164" t="s">
        <v>1438</v>
      </c>
      <c r="E65" s="1150" t="s">
        <v>1439</v>
      </c>
      <c r="F65" s="376">
        <f t="shared" ca="1" si="0"/>
        <v>0</v>
      </c>
      <c r="I65" s="1906" t="s">
        <v>1563</v>
      </c>
      <c r="J65" s="1907">
        <v>40</v>
      </c>
      <c r="K65" s="1907">
        <v>30</v>
      </c>
      <c r="L65" s="1907">
        <v>50</v>
      </c>
      <c r="M65" s="1909">
        <v>0.02</v>
      </c>
      <c r="O65" s="1862" t="s">
        <v>1037</v>
      </c>
      <c r="P65" s="1863" t="s">
        <v>1564</v>
      </c>
      <c r="Q65" s="1864">
        <f ca="1">C40+J29</f>
        <v>0</v>
      </c>
      <c r="R65" s="1864" t="s">
        <v>1513</v>
      </c>
    </row>
    <row r="66" spans="1:18" s="1820" customFormat="1" ht="16.2" thickBot="1">
      <c r="A66" s="1182" t="s">
        <v>1488</v>
      </c>
      <c r="B66" s="1150" t="s">
        <v>1423</v>
      </c>
      <c r="C66" s="24">
        <f ca="1">ROUND(C48*F66,0)</f>
        <v>0</v>
      </c>
      <c r="D66" s="1164" t="s">
        <v>1489</v>
      </c>
      <c r="E66" s="1150" t="s">
        <v>1406</v>
      </c>
      <c r="F66" s="357">
        <f t="shared" ca="1" si="0"/>
        <v>0</v>
      </c>
      <c r="O66" s="1862" t="s">
        <v>1038</v>
      </c>
      <c r="P66" s="1863" t="s">
        <v>1542</v>
      </c>
      <c r="Q66" s="1864" t="e">
        <f ca="1">L60</f>
        <v>#DIV/0!</v>
      </c>
      <c r="R66" s="1864" t="s">
        <v>1565</v>
      </c>
    </row>
    <row r="67" spans="1:18" s="1820" customFormat="1" ht="24.6" thickBot="1">
      <c r="A67" s="1157" t="s">
        <v>1028</v>
      </c>
      <c r="B67" s="1167" t="s">
        <v>1447</v>
      </c>
      <c r="C67" s="361">
        <f ca="1">C48-C58</f>
        <v>0</v>
      </c>
      <c r="D67" s="1163" t="s">
        <v>1448</v>
      </c>
      <c r="E67" s="1168"/>
      <c r="F67" s="1169"/>
      <c r="O67" s="1872" t="s">
        <v>1039</v>
      </c>
      <c r="P67" s="1863" t="s">
        <v>1546</v>
      </c>
      <c r="Q67" s="1910">
        <f ca="1">L51</f>
        <v>0</v>
      </c>
      <c r="R67" s="1864" t="s">
        <v>1566</v>
      </c>
    </row>
    <row r="68" spans="1:18" s="1820" customFormat="1" ht="16.2" thickBot="1">
      <c r="A68" s="1147" t="s">
        <v>1029</v>
      </c>
      <c r="B68" s="1148" t="s">
        <v>1469</v>
      </c>
      <c r="C68" s="346">
        <f ca="1">ROUND(C67*(1-((1+F70)/(1+F68))^F69)/(F68-F70),0)</f>
        <v>0</v>
      </c>
      <c r="D68" s="1165" t="s">
        <v>1453</v>
      </c>
      <c r="E68" s="1150" t="s">
        <v>1454</v>
      </c>
      <c r="F68" s="357">
        <f ca="1">F40</f>
        <v>0.06</v>
      </c>
      <c r="O68" s="1872" t="s">
        <v>1040</v>
      </c>
      <c r="P68" s="1911" t="s">
        <v>1567</v>
      </c>
      <c r="Q68" s="1864">
        <f ca="1">ROUND(Q69-Q70*Q71,0)</f>
        <v>0</v>
      </c>
      <c r="R68" s="1864" t="s">
        <v>1048</v>
      </c>
    </row>
    <row r="69" spans="1:18" s="1820" customFormat="1" ht="13.8" thickBot="1">
      <c r="A69" s="1151"/>
      <c r="B69" s="1152"/>
      <c r="C69" s="351"/>
      <c r="D69" s="1170" t="s">
        <v>1457</v>
      </c>
      <c r="E69" s="1150" t="s">
        <v>1458</v>
      </c>
      <c r="F69" s="379">
        <f ca="1">F41</f>
        <v>0</v>
      </c>
      <c r="O69" s="1872" t="s">
        <v>1045</v>
      </c>
      <c r="P69" s="1911" t="s">
        <v>1568</v>
      </c>
      <c r="Q69" s="1864">
        <f ca="1">C39</f>
        <v>0</v>
      </c>
      <c r="R69" s="1864" t="s">
        <v>1513</v>
      </c>
    </row>
    <row r="70" spans="1:18" s="1820" customFormat="1" ht="13.8" thickBot="1">
      <c r="A70" s="1154"/>
      <c r="B70" s="1155"/>
      <c r="C70" s="355"/>
      <c r="D70" s="1166"/>
      <c r="E70" s="1150" t="s">
        <v>1461</v>
      </c>
      <c r="F70" s="1256">
        <f ca="1">F42</f>
        <v>0</v>
      </c>
      <c r="O70" s="1872" t="s">
        <v>1046</v>
      </c>
      <c r="P70" s="1911" t="s">
        <v>1569</v>
      </c>
      <c r="Q70" s="1864">
        <f ca="1">C13</f>
        <v>0</v>
      </c>
      <c r="R70" s="1864" t="s">
        <v>1513</v>
      </c>
    </row>
    <row r="71" spans="1:18" s="1820" customFormat="1" ht="13.8" thickBot="1">
      <c r="A71" s="1171" t="s">
        <v>1030</v>
      </c>
      <c r="B71" s="1172" t="s">
        <v>1471</v>
      </c>
      <c r="C71" s="382" t="e">
        <f ca="1">ROUND(C68/F71,0)</f>
        <v>#DIV/0!</v>
      </c>
      <c r="D71" s="1173" t="s">
        <v>1472</v>
      </c>
      <c r="E71" s="1174" t="s">
        <v>1473</v>
      </c>
      <c r="F71" s="385">
        <f ca="1">F43</f>
        <v>0</v>
      </c>
      <c r="O71" s="1872" t="s">
        <v>1047</v>
      </c>
      <c r="P71" s="1911" t="s">
        <v>1570</v>
      </c>
      <c r="Q71" s="1875">
        <f ca="1">C76</f>
        <v>8.5000000000000006E-2</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#DIV/0!</v>
      </c>
      <c r="R73" s="1864" t="s">
        <v>1552</v>
      </c>
    </row>
    <row r="74" spans="1:18" ht="13.8" thickBot="1">
      <c r="A74" s="1820"/>
      <c r="B74" s="317" t="s">
        <v>1571</v>
      </c>
      <c r="C74" s="1913"/>
      <c r="D74" s="1820"/>
      <c r="E74" s="1820"/>
      <c r="F74" s="1820"/>
      <c r="O74" s="1872" t="s">
        <v>1049</v>
      </c>
      <c r="P74" s="1863" t="str">
        <f>K59</f>
        <v>建设期及建筑物耐用年限下的土地年期修正系数Kn</v>
      </c>
      <c r="Q74" s="1864" t="e">
        <f ca="1">L59</f>
        <v>#DIV/0!</v>
      </c>
      <c r="R74" s="1864" t="s">
        <v>1553</v>
      </c>
    </row>
    <row r="75" spans="1:18" ht="13.8" thickBot="1">
      <c r="A75" s="1820"/>
      <c r="B75" s="386" t="s">
        <v>1490</v>
      </c>
      <c r="C75" s="387">
        <f ca="1">ROUND(C13*C76,0)</f>
        <v>0</v>
      </c>
      <c r="D75" s="1820"/>
      <c r="E75" s="1820"/>
      <c r="F75" s="1820"/>
      <c r="K75" s="1846"/>
      <c r="L75" s="1820"/>
      <c r="O75" s="1862" t="s">
        <v>1043</v>
      </c>
      <c r="P75" s="1863" t="s">
        <v>1533</v>
      </c>
      <c r="Q75" s="1864" t="e">
        <f ca="1">Q65+Q66</f>
        <v>#DIV/0!</v>
      </c>
      <c r="R75" s="1864" t="s">
        <v>1044</v>
      </c>
    </row>
    <row r="76" spans="1:18">
      <c r="B76" s="388" t="s">
        <v>1491</v>
      </c>
      <c r="C76" s="389">
        <f ca="1">INDIRECT("'数据-取费表'!j"&amp;$G$1)</f>
        <v>8.5000000000000006E-2</v>
      </c>
      <c r="I76" s="1820"/>
      <c r="J76" s="1820"/>
      <c r="K76" s="1846"/>
      <c r="L76" s="1820"/>
    </row>
    <row r="77" spans="1:18">
      <c r="B77" s="390" t="s">
        <v>1492</v>
      </c>
      <c r="C77" s="391"/>
      <c r="I77" s="1820"/>
      <c r="J77" s="1820"/>
      <c r="K77" s="1846"/>
      <c r="L77" s="1820"/>
    </row>
    <row r="78" spans="1:18">
      <c r="B78" s="314" t="s">
        <v>1493</v>
      </c>
      <c r="C78" s="392"/>
    </row>
    <row r="79" spans="1:18">
      <c r="B79" s="386" t="s">
        <v>1494</v>
      </c>
      <c r="C79" s="318" t="e">
        <f ca="1">1-C80</f>
        <v>#DIV/0!</v>
      </c>
    </row>
    <row r="80" spans="1:18">
      <c r="B80" s="386" t="s">
        <v>1495</v>
      </c>
      <c r="C80" s="318" t="e">
        <f ca="1">ROUND(C75/C39,3)</f>
        <v>#DIV/0!</v>
      </c>
    </row>
    <row r="81" spans="2:3">
      <c r="B81" s="314" t="s">
        <v>1496</v>
      </c>
      <c r="C81" s="282"/>
    </row>
    <row r="82" spans="2:3">
      <c r="B82" s="317" t="s">
        <v>1497</v>
      </c>
      <c r="C82" s="319" t="e">
        <f ca="1">1-C83</f>
        <v>#DIV/0!</v>
      </c>
    </row>
    <row r="83" spans="2:3">
      <c r="B83" s="317" t="s">
        <v>1498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xr:uid="{00000000-0002-0000-2100-000000000000}">
      <formula1>"比较法,基准地价,收益还原"</formula1>
    </dataValidation>
    <dataValidation type="list" allowBlank="1" showInputMessage="1" showErrorMessage="1" sqref="J56" xr:uid="{00000000-0002-0000-2100-000001000000}">
      <formula1>判定</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C1" xr:uid="{00000000-0002-0000-2100-000004000000}">
      <formula1>项目类型</formula1>
    </dataValidation>
    <dataValidation type="list" allowBlank="1" showInputMessage="1" showErrorMessage="1" sqref="D33 D61"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F10 F53 M10"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S524"/>
  <sheetViews>
    <sheetView zoomScale="90" zoomScaleNormal="90" workbookViewId="0">
      <pane ySplit="24" topLeftCell="A109" activePane="bottomLeft" state="frozen"/>
      <selection activeCell="C50" sqref="C50"/>
      <selection pane="bottomLeft" activeCell="B69" sqref="B69"/>
    </sheetView>
  </sheetViews>
  <sheetFormatPr defaultColWidth="9" defaultRowHeight="13.2"/>
  <cols>
    <col min="1" max="1" width="13.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5" t="s">
        <v>2977</v>
      </c>
      <c r="C1" s="3690" t="s">
        <v>2978</v>
      </c>
      <c r="D1" s="3691"/>
      <c r="E1" s="3691"/>
      <c r="F1" s="3691"/>
      <c r="G1" s="3691"/>
      <c r="H1" s="3691"/>
      <c r="I1" s="3691"/>
      <c r="J1" s="3691"/>
      <c r="K1" s="3691"/>
      <c r="L1" s="3691"/>
      <c r="M1" s="3691"/>
      <c r="N1" s="3691"/>
      <c r="O1" s="3691"/>
      <c r="P1" s="3691"/>
      <c r="Q1" s="3691"/>
      <c r="R1" s="3691"/>
      <c r="S1" s="3692"/>
      <c r="T1" s="1185" t="s">
        <v>2851</v>
      </c>
    </row>
    <row r="2" spans="1:45" s="705" customFormat="1" ht="39.6">
      <c r="A2" s="1186"/>
      <c r="B2" s="701" t="s">
        <v>1857</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7"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8"/>
      <c r="B3" s="706"/>
      <c r="C3" s="707">
        <v>0</v>
      </c>
      <c r="D3" s="707">
        <v>100</v>
      </c>
      <c r="E3" s="707">
        <v>300</v>
      </c>
      <c r="F3" s="707">
        <v>500</v>
      </c>
      <c r="G3" s="707">
        <v>800</v>
      </c>
      <c r="H3" s="707">
        <v>1000</v>
      </c>
      <c r="I3" s="707">
        <v>2000</v>
      </c>
      <c r="J3" s="707"/>
      <c r="K3" s="1683"/>
      <c r="L3" s="1684"/>
      <c r="M3" s="1685"/>
      <c r="N3" s="1685"/>
      <c r="O3" s="1683"/>
      <c r="P3" s="1683"/>
      <c r="Q3" s="1683"/>
      <c r="R3" s="1683"/>
      <c r="S3" s="1686"/>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8" thickBot="1">
      <c r="A4" s="1189"/>
      <c r="B4" s="1190"/>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7"/>
      <c r="L4" s="1687"/>
      <c r="M4" s="1688"/>
      <c r="N4" s="1688"/>
      <c r="O4" s="1687"/>
      <c r="P4" s="1687"/>
      <c r="Q4" s="1687"/>
      <c r="R4" s="1687"/>
      <c r="S4" s="1689"/>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6.4">
      <c r="A5" s="1196"/>
      <c r="B5" s="1747" t="str">
        <f>'[4]比较法-办公'!B123</f>
        <v>内部装修</v>
      </c>
      <c r="C5" s="1197" t="str">
        <f>'[4]比较法-办公'!C123</f>
        <v>精装修</v>
      </c>
      <c r="D5" s="1197" t="str">
        <f>'[4]比较法-办公'!D123</f>
        <v>普装</v>
      </c>
      <c r="E5" s="1197" t="str">
        <f>'[4]比较法-办公'!E123</f>
        <v>简装</v>
      </c>
      <c r="F5" s="1197" t="str">
        <f>'[4]比较法-办公'!F123</f>
        <v>毛坯</v>
      </c>
      <c r="G5" s="1690"/>
      <c r="H5" s="1690"/>
      <c r="I5" s="1690"/>
      <c r="J5" s="1690"/>
      <c r="K5" s="1690"/>
      <c r="L5" s="1691"/>
      <c r="M5" s="1692"/>
      <c r="N5" s="1692"/>
      <c r="O5" s="1690"/>
      <c r="P5" s="1690"/>
      <c r="Q5" s="1690"/>
      <c r="R5" s="1690"/>
      <c r="S5" s="1693"/>
      <c r="T5" s="1200">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hidden="1" thickBot="1">
      <c r="A6" s="1196"/>
      <c r="B6" s="1098"/>
      <c r="C6" s="1104">
        <v>100</v>
      </c>
      <c r="D6" s="1101">
        <f>C6-$T5</f>
        <v>98</v>
      </c>
      <c r="E6" s="1101">
        <f t="shared" ref="E6:S6" si="1">D6-$T5</f>
        <v>96</v>
      </c>
      <c r="F6" s="1694">
        <f t="shared" si="1"/>
        <v>94</v>
      </c>
      <c r="G6" s="1694">
        <f t="shared" si="1"/>
        <v>92</v>
      </c>
      <c r="H6" s="1694">
        <f t="shared" si="1"/>
        <v>90</v>
      </c>
      <c r="I6" s="1694">
        <f t="shared" si="1"/>
        <v>88</v>
      </c>
      <c r="J6" s="1694">
        <f t="shared" si="1"/>
        <v>86</v>
      </c>
      <c r="K6" s="1694">
        <f t="shared" si="1"/>
        <v>84</v>
      </c>
      <c r="L6" s="1694">
        <f t="shared" si="1"/>
        <v>82</v>
      </c>
      <c r="M6" s="1694">
        <f t="shared" si="1"/>
        <v>80</v>
      </c>
      <c r="N6" s="1694">
        <f t="shared" si="1"/>
        <v>78</v>
      </c>
      <c r="O6" s="1694">
        <f t="shared" si="1"/>
        <v>76</v>
      </c>
      <c r="P6" s="1694">
        <f t="shared" si="1"/>
        <v>74</v>
      </c>
      <c r="Q6" s="1694">
        <f t="shared" si="1"/>
        <v>72</v>
      </c>
      <c r="R6" s="1694">
        <f t="shared" si="1"/>
        <v>70</v>
      </c>
      <c r="S6" s="1694">
        <f t="shared" si="1"/>
        <v>68</v>
      </c>
      <c r="T6" s="1100"/>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6"/>
      <c r="B7" s="2976"/>
      <c r="C7" s="1103"/>
      <c r="D7" s="1103"/>
      <c r="E7" s="1103"/>
      <c r="F7" s="1103"/>
      <c r="G7" s="1103"/>
      <c r="H7" s="1695"/>
      <c r="I7" s="1695"/>
      <c r="J7" s="1695"/>
      <c r="K7" s="1695"/>
      <c r="L7" s="1695"/>
      <c r="M7" s="1696"/>
      <c r="N7" s="1697"/>
      <c r="O7" s="1698"/>
      <c r="P7" s="1699"/>
      <c r="Q7" s="1700"/>
      <c r="R7" s="1701"/>
      <c r="S7" s="1702"/>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hidden="1" thickBot="1">
      <c r="A8" s="1196"/>
      <c r="B8" s="1098"/>
      <c r="C8" s="1104">
        <v>100</v>
      </c>
      <c r="D8" s="1101">
        <f>C8-$T7</f>
        <v>98</v>
      </c>
      <c r="E8" s="1101">
        <f t="shared" ref="E8:S8" si="2">D8-$T7</f>
        <v>96</v>
      </c>
      <c r="F8" s="1694">
        <f t="shared" si="2"/>
        <v>94</v>
      </c>
      <c r="G8" s="1694">
        <f t="shared" si="2"/>
        <v>92</v>
      </c>
      <c r="H8" s="1694">
        <f t="shared" si="2"/>
        <v>90</v>
      </c>
      <c r="I8" s="1694">
        <f t="shared" si="2"/>
        <v>88</v>
      </c>
      <c r="J8" s="1694">
        <f t="shared" si="2"/>
        <v>86</v>
      </c>
      <c r="K8" s="1694">
        <f t="shared" si="2"/>
        <v>84</v>
      </c>
      <c r="L8" s="1694">
        <f t="shared" si="2"/>
        <v>82</v>
      </c>
      <c r="M8" s="1694">
        <f t="shared" si="2"/>
        <v>80</v>
      </c>
      <c r="N8" s="1694">
        <f t="shared" si="2"/>
        <v>78</v>
      </c>
      <c r="O8" s="1694">
        <f t="shared" si="2"/>
        <v>76</v>
      </c>
      <c r="P8" s="1694">
        <f t="shared" si="2"/>
        <v>74</v>
      </c>
      <c r="Q8" s="1694">
        <f t="shared" si="2"/>
        <v>72</v>
      </c>
      <c r="R8" s="1694">
        <f t="shared" si="2"/>
        <v>70</v>
      </c>
      <c r="S8" s="1694">
        <f t="shared" si="2"/>
        <v>68</v>
      </c>
      <c r="T8" s="1100"/>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6"/>
      <c r="B9" s="2970"/>
      <c r="C9" s="1103"/>
      <c r="D9" s="1103"/>
      <c r="E9" s="1103"/>
      <c r="F9" s="1103"/>
      <c r="G9" s="1103"/>
      <c r="H9" s="1695"/>
      <c r="I9" s="1695"/>
      <c r="J9" s="1695"/>
      <c r="K9" s="1695"/>
      <c r="L9" s="1703"/>
      <c r="M9" s="1696"/>
      <c r="N9" s="1697"/>
      <c r="O9" s="1698"/>
      <c r="P9" s="1699"/>
      <c r="Q9" s="1700"/>
      <c r="R9" s="1701"/>
      <c r="S9" s="1702"/>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hidden="1" thickBot="1">
      <c r="A10" s="1196"/>
      <c r="B10" s="1190"/>
      <c r="C10" s="1201">
        <v>100</v>
      </c>
      <c r="D10" s="1202">
        <f>C10-$T9</f>
        <v>98</v>
      </c>
      <c r="E10" s="1202">
        <f t="shared" ref="E10:S10" si="3">D10-$T9</f>
        <v>96</v>
      </c>
      <c r="F10" s="1704">
        <f t="shared" si="3"/>
        <v>94</v>
      </c>
      <c r="G10" s="1704">
        <f t="shared" si="3"/>
        <v>92</v>
      </c>
      <c r="H10" s="1704">
        <f t="shared" si="3"/>
        <v>90</v>
      </c>
      <c r="I10" s="1704">
        <f t="shared" si="3"/>
        <v>88</v>
      </c>
      <c r="J10" s="1704">
        <f t="shared" si="3"/>
        <v>86</v>
      </c>
      <c r="K10" s="1704">
        <f t="shared" si="3"/>
        <v>84</v>
      </c>
      <c r="L10" s="1704">
        <f t="shared" si="3"/>
        <v>82</v>
      </c>
      <c r="M10" s="1704">
        <f t="shared" si="3"/>
        <v>80</v>
      </c>
      <c r="N10" s="1704">
        <f t="shared" si="3"/>
        <v>78</v>
      </c>
      <c r="O10" s="1704">
        <f t="shared" si="3"/>
        <v>76</v>
      </c>
      <c r="P10" s="1704">
        <f t="shared" si="3"/>
        <v>74</v>
      </c>
      <c r="Q10" s="1704">
        <f t="shared" si="3"/>
        <v>72</v>
      </c>
      <c r="R10" s="1704">
        <f t="shared" si="3"/>
        <v>70</v>
      </c>
      <c r="S10" s="1704">
        <f t="shared" si="3"/>
        <v>68</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6"/>
      <c r="B11" s="1747" t="s">
        <v>2981</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hidden="1" thickBot="1">
      <c r="A12" s="1196"/>
      <c r="B12" s="1098"/>
      <c r="C12" s="1104">
        <v>100</v>
      </c>
      <c r="D12" s="1101">
        <f>C12-$T11</f>
        <v>100</v>
      </c>
      <c r="E12" s="1101">
        <f t="shared" ref="E12:S12" si="4">D12-$T11</f>
        <v>100</v>
      </c>
      <c r="F12" s="1101">
        <f t="shared" si="4"/>
        <v>100</v>
      </c>
      <c r="G12" s="1101">
        <f t="shared" si="4"/>
        <v>100</v>
      </c>
      <c r="H12" s="1101">
        <f t="shared" si="4"/>
        <v>100</v>
      </c>
      <c r="I12" s="1101">
        <f t="shared" si="4"/>
        <v>100</v>
      </c>
      <c r="J12" s="1101">
        <f t="shared" si="4"/>
        <v>100</v>
      </c>
      <c r="K12" s="1101">
        <f t="shared" si="4"/>
        <v>100</v>
      </c>
      <c r="L12" s="1101">
        <f t="shared" si="4"/>
        <v>100</v>
      </c>
      <c r="M12" s="1101">
        <f t="shared" si="4"/>
        <v>100</v>
      </c>
      <c r="N12" s="1101">
        <f t="shared" si="4"/>
        <v>100</v>
      </c>
      <c r="O12" s="1101">
        <f t="shared" si="4"/>
        <v>100</v>
      </c>
      <c r="P12" s="1101">
        <f t="shared" si="4"/>
        <v>100</v>
      </c>
      <c r="Q12" s="1101">
        <f t="shared" si="4"/>
        <v>100</v>
      </c>
      <c r="R12" s="1101">
        <f>Q12-$T11</f>
        <v>100</v>
      </c>
      <c r="S12" s="1101">
        <f t="shared" si="4"/>
        <v>100</v>
      </c>
      <c r="T12" s="1100"/>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6"/>
      <c r="B13" s="1747" t="s">
        <v>2982</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hidden="1" thickBot="1">
      <c r="A14" s="1196"/>
      <c r="B14" s="1098"/>
      <c r="C14" s="1102"/>
      <c r="D14" s="1099"/>
      <c r="E14" s="1099"/>
      <c r="F14" s="1099"/>
      <c r="G14" s="1099"/>
      <c r="H14" s="1099"/>
      <c r="I14" s="1099"/>
      <c r="J14" s="1099"/>
      <c r="K14" s="1099"/>
      <c r="L14" s="1099"/>
      <c r="M14" s="1210"/>
      <c r="N14" s="1210"/>
      <c r="O14" s="1099"/>
      <c r="P14" s="1099"/>
      <c r="Q14" s="1099"/>
      <c r="R14" s="1099"/>
      <c r="S14" s="1211"/>
      <c r="T14" s="1100"/>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6"/>
      <c r="B15" s="1747" t="s">
        <v>2983</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5" thickTop="1">
      <c r="A17" s="2876" t="s">
        <v>2984</v>
      </c>
      <c r="B17" s="2877" t="s">
        <v>2985</v>
      </c>
      <c r="C17" s="2966" t="s">
        <v>3104</v>
      </c>
      <c r="D17" s="2966" t="s">
        <v>3105</v>
      </c>
      <c r="E17" s="2966" t="s">
        <v>3106</v>
      </c>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5" customFormat="1" ht="13.8" thickBot="1">
      <c r="A18" s="1222"/>
      <c r="B18" s="1223"/>
      <c r="C18" s="1224">
        <f>'比较法-办公'!C90</f>
        <v>100</v>
      </c>
      <c r="D18" s="1224">
        <f>'比较法-办公'!D90</f>
        <v>96</v>
      </c>
      <c r="E18" s="1224">
        <f>'比较法-办公'!E90</f>
        <v>92</v>
      </c>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78" t="s">
        <v>2986</v>
      </c>
      <c r="E19" s="1770"/>
      <c r="F19" s="1770"/>
      <c r="G19" s="1770"/>
      <c r="H19" s="1261"/>
      <c r="I19" s="168"/>
      <c r="J19" s="168"/>
      <c r="K19" s="168"/>
      <c r="L19" s="168"/>
      <c r="M19" s="168"/>
      <c r="N19" s="168"/>
      <c r="O19" s="168"/>
      <c r="P19" s="168"/>
      <c r="Q19" s="168"/>
      <c r="R19" s="783"/>
      <c r="S19" s="138"/>
    </row>
    <row r="20" spans="1:45" ht="16.2" thickBot="1">
      <c r="A20" s="712" t="s">
        <v>2987</v>
      </c>
      <c r="B20" s="338" t="e">
        <f>IF(D20="——",S22,S22-F20)</f>
        <v>#REF!</v>
      </c>
      <c r="C20" s="168"/>
      <c r="D20" s="2879" t="s">
        <v>70</v>
      </c>
      <c r="E20" s="1771"/>
      <c r="F20" s="1185" t="e">
        <f ca="1">SUMIF(INDIRECT("'"&amp;H20&amp;"'"&amp;"!A:A"),"承租人权益价值",INDIRECT("'"&amp;H20&amp;"'"&amp;"!c:c"))</f>
        <v>#REF!</v>
      </c>
      <c r="G20" s="1185" t="s">
        <v>2988</v>
      </c>
      <c r="H20" s="2880"/>
      <c r="I20" s="168"/>
      <c r="J20" s="168"/>
      <c r="K20" s="168"/>
      <c r="L20" s="168"/>
      <c r="M20" s="168"/>
      <c r="N20" s="168"/>
      <c r="O20" s="168"/>
      <c r="P20" s="168"/>
      <c r="Q20" s="168"/>
      <c r="R20" s="783"/>
      <c r="S20" s="138"/>
    </row>
    <row r="21" spans="1:45" ht="15.6">
      <c r="A21" s="712" t="s">
        <v>2989</v>
      </c>
      <c r="B21" s="338" t="e">
        <f>R22</f>
        <v>#REF!</v>
      </c>
      <c r="C21" s="168"/>
      <c r="D21" s="168"/>
      <c r="E21" s="168"/>
      <c r="F21" s="168"/>
      <c r="G21" s="168"/>
      <c r="H21" s="168"/>
      <c r="I21" s="168"/>
      <c r="J21" s="168"/>
      <c r="K21" s="168"/>
      <c r="L21" s="168"/>
      <c r="M21" s="168"/>
      <c r="N21" s="168"/>
      <c r="O21" s="168"/>
      <c r="P21" s="168"/>
      <c r="Q21" s="168"/>
      <c r="R21" s="783"/>
      <c r="S21" s="138"/>
    </row>
    <row r="22" spans="1:45">
      <c r="A22" s="361" t="s">
        <v>2990</v>
      </c>
      <c r="B22" s="24" t="e">
        <f>SUM(B24:B10000)</f>
        <v>#REF!</v>
      </c>
      <c r="C22" s="3634" t="s">
        <v>33</v>
      </c>
      <c r="D22" s="3635"/>
      <c r="E22" s="3635"/>
      <c r="F22" s="3635"/>
      <c r="G22" s="3635"/>
      <c r="H22" s="3635"/>
      <c r="I22" s="3635"/>
      <c r="J22" s="3635"/>
      <c r="K22" s="3635"/>
      <c r="L22" s="3635"/>
      <c r="M22" s="3635"/>
      <c r="N22" s="3635"/>
      <c r="O22" s="3635"/>
      <c r="P22" s="3635"/>
      <c r="Q22" s="3689"/>
      <c r="R22" s="713" t="e">
        <f>ROUND(S22*10000/B22,0)</f>
        <v>#REF!</v>
      </c>
      <c r="S22" s="24" t="e">
        <f>SUM(S24:S10000)</f>
        <v>#REF!</v>
      </c>
    </row>
    <row r="23" spans="1:45" s="12" customFormat="1" ht="24">
      <c r="A23" s="11" t="s">
        <v>2991</v>
      </c>
      <c r="B23" s="11" t="s">
        <v>2992</v>
      </c>
      <c r="C23" s="11" t="s">
        <v>2993</v>
      </c>
      <c r="D23" s="11" t="str">
        <f>B5</f>
        <v>内部装修</v>
      </c>
      <c r="E23" s="11" t="s">
        <v>2993</v>
      </c>
      <c r="F23" s="11">
        <f>B7</f>
        <v>0</v>
      </c>
      <c r="G23" s="11" t="s">
        <v>2993</v>
      </c>
      <c r="H23" s="11">
        <f>B9</f>
        <v>0</v>
      </c>
      <c r="I23" s="11" t="s">
        <v>2993</v>
      </c>
      <c r="J23" s="11" t="str">
        <f>B11</f>
        <v>修正项5</v>
      </c>
      <c r="K23" s="11" t="s">
        <v>2993</v>
      </c>
      <c r="L23" s="11" t="str">
        <f>B13</f>
        <v>修正项6</v>
      </c>
      <c r="M23" s="11" t="s">
        <v>2993</v>
      </c>
      <c r="N23" s="11" t="str">
        <f>B15</f>
        <v>修正项7</v>
      </c>
      <c r="O23" s="11" t="s">
        <v>2993</v>
      </c>
      <c r="P23" s="11" t="str">
        <f>B17</f>
        <v>楼层</v>
      </c>
      <c r="Q23" s="11" t="s">
        <v>2993</v>
      </c>
      <c r="R23" s="714" t="s">
        <v>2994</v>
      </c>
      <c r="S23" s="11" t="s">
        <v>2995</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2990" t="e">
        <f>#REF!</f>
        <v>#REF!</v>
      </c>
      <c r="B24" s="2950" t="e">
        <f>#REF!</f>
        <v>#REF!</v>
      </c>
      <c r="C24" s="715">
        <v>1</v>
      </c>
      <c r="D24" s="716" t="s">
        <v>3133</v>
      </c>
      <c r="E24" s="715">
        <v>1</v>
      </c>
      <c r="F24" s="716"/>
      <c r="G24" s="715">
        <v>1</v>
      </c>
      <c r="H24" s="716"/>
      <c r="I24" s="715">
        <v>1</v>
      </c>
      <c r="J24" s="716"/>
      <c r="K24" s="715">
        <v>1</v>
      </c>
      <c r="L24" s="716"/>
      <c r="M24" s="715">
        <v>1</v>
      </c>
      <c r="N24" s="716"/>
      <c r="O24" s="715">
        <v>1</v>
      </c>
      <c r="P24" s="716" t="s">
        <v>3130</v>
      </c>
      <c r="Q24" s="715">
        <v>1</v>
      </c>
      <c r="R24" s="717">
        <f>'比较法-办公'!B3</f>
        <v>44063</v>
      </c>
      <c r="S24" s="715" t="e">
        <f t="shared" ref="S24:S87" si="5">ROUND(R24*B24/10000,0)</f>
        <v>#REF!</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90" t="e">
        <f>#REF!</f>
        <v>#REF!</v>
      </c>
      <c r="B25" s="2950" t="e">
        <f>#REF!</f>
        <v>#REF!</v>
      </c>
      <c r="C25" s="24" t="e">
        <f>IF(B25="",1,(LOOKUP(B25,$3:$3,$4:$4)-LOOKUP($B$24,$3:$3,$4:$4)+100)/100)</f>
        <v>#REF!</v>
      </c>
      <c r="D25" s="716" t="s">
        <v>3133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3130</v>
      </c>
      <c r="Q25" s="24">
        <f>(SUMIF($17:$17,P25,$18:$18)-SUMIF($17:$17,$P$24,$18:$18)+100)/100</f>
        <v>1</v>
      </c>
      <c r="R25" s="713" t="e">
        <f>IF(B25="",0,ROUND($R$24*C25*E25*G25*I25*K25*M25*O25*Q25,0))</f>
        <v>#REF!</v>
      </c>
      <c r="S25" s="361" t="e">
        <f t="shared" si="5"/>
        <v>#REF!</v>
      </c>
    </row>
    <row r="26" spans="1:45">
      <c r="A26" s="2990" t="e">
        <f>#REF!</f>
        <v>#REF!</v>
      </c>
      <c r="B26" s="2950" t="e">
        <f>#REF!</f>
        <v>#REF!</v>
      </c>
      <c r="C26" s="24" t="e">
        <f t="shared" ref="C26:C89" si="6">IF(B26="",1,(LOOKUP(B26,$3:$3,$4:$4)-LOOKUP($B$24,$3:$3,$4:$4)+100)/100)</f>
        <v>#REF!</v>
      </c>
      <c r="D26" s="716" t="s">
        <v>3133</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3130</v>
      </c>
      <c r="Q26" s="24">
        <f t="shared" ref="Q26:Q89" si="13">(SUMIF($17:$17,P26,$18:$18)-SUMIF($17:$17,$P$24,$18:$18)+100)/100</f>
        <v>1</v>
      </c>
      <c r="R26" s="713" t="e">
        <f t="shared" ref="R26:R89" si="14">IF(B26="",0,ROUND($R$24*C26*E26*G26*I26*K26*M26*O26*Q26,0))</f>
        <v>#REF!</v>
      </c>
      <c r="S26" s="361" t="e">
        <f t="shared" si="5"/>
        <v>#REF!</v>
      </c>
    </row>
    <row r="27" spans="1:45">
      <c r="A27" s="2990" t="e">
        <f>#REF!</f>
        <v>#REF!</v>
      </c>
      <c r="B27" s="2950" t="e">
        <f>#REF!</f>
        <v>#REF!</v>
      </c>
      <c r="C27" s="24" t="e">
        <f t="shared" si="6"/>
        <v>#REF!</v>
      </c>
      <c r="D27" s="716" t="s">
        <v>3133</v>
      </c>
      <c r="E27" s="24">
        <f t="shared" si="7"/>
        <v>1</v>
      </c>
      <c r="F27" s="716"/>
      <c r="G27" s="24">
        <f t="shared" si="8"/>
        <v>1</v>
      </c>
      <c r="H27" s="716"/>
      <c r="I27" s="24">
        <f t="shared" si="9"/>
        <v>1</v>
      </c>
      <c r="J27" s="716"/>
      <c r="K27" s="24">
        <f t="shared" si="10"/>
        <v>1</v>
      </c>
      <c r="L27" s="716"/>
      <c r="M27" s="24">
        <f t="shared" si="11"/>
        <v>1</v>
      </c>
      <c r="N27" s="716"/>
      <c r="O27" s="24">
        <f t="shared" si="12"/>
        <v>1</v>
      </c>
      <c r="P27" s="716" t="s">
        <v>3130</v>
      </c>
      <c r="Q27" s="24">
        <f t="shared" si="13"/>
        <v>1</v>
      </c>
      <c r="R27" s="713" t="e">
        <f t="shared" si="14"/>
        <v>#REF!</v>
      </c>
      <c r="S27" s="361" t="e">
        <f t="shared" si="5"/>
        <v>#REF!</v>
      </c>
    </row>
    <row r="28" spans="1:45">
      <c r="A28" s="2990" t="e">
        <f>#REF!</f>
        <v>#REF!</v>
      </c>
      <c r="B28" s="2950" t="e">
        <f>#REF!</f>
        <v>#REF!</v>
      </c>
      <c r="C28" s="24" t="e">
        <f t="shared" si="6"/>
        <v>#REF!</v>
      </c>
      <c r="D28" s="716" t="s">
        <v>3133</v>
      </c>
      <c r="E28" s="24">
        <f t="shared" si="7"/>
        <v>1</v>
      </c>
      <c r="F28" s="716"/>
      <c r="G28" s="24">
        <f t="shared" si="8"/>
        <v>1</v>
      </c>
      <c r="H28" s="716"/>
      <c r="I28" s="24">
        <f t="shared" si="9"/>
        <v>1</v>
      </c>
      <c r="J28" s="716"/>
      <c r="K28" s="24">
        <f t="shared" si="10"/>
        <v>1</v>
      </c>
      <c r="L28" s="716"/>
      <c r="M28" s="24">
        <f t="shared" si="11"/>
        <v>1</v>
      </c>
      <c r="N28" s="716"/>
      <c r="O28" s="24">
        <f t="shared" si="12"/>
        <v>1</v>
      </c>
      <c r="P28" s="716" t="s">
        <v>3130</v>
      </c>
      <c r="Q28" s="24">
        <f t="shared" si="13"/>
        <v>1</v>
      </c>
      <c r="R28" s="713" t="e">
        <f t="shared" si="14"/>
        <v>#REF!</v>
      </c>
      <c r="S28" s="361" t="e">
        <f t="shared" si="5"/>
        <v>#REF!</v>
      </c>
    </row>
    <row r="29" spans="1:45">
      <c r="A29" s="2990" t="e">
        <f>#REF!</f>
        <v>#REF!</v>
      </c>
      <c r="B29" s="2950" t="e">
        <f>#REF!</f>
        <v>#REF!</v>
      </c>
      <c r="C29" s="24" t="e">
        <f t="shared" si="6"/>
        <v>#REF!</v>
      </c>
      <c r="D29" s="716" t="s">
        <v>3133</v>
      </c>
      <c r="E29" s="24">
        <f t="shared" si="7"/>
        <v>1</v>
      </c>
      <c r="F29" s="716"/>
      <c r="G29" s="24">
        <f t="shared" si="8"/>
        <v>1</v>
      </c>
      <c r="H29" s="716"/>
      <c r="I29" s="24">
        <f t="shared" si="9"/>
        <v>1</v>
      </c>
      <c r="J29" s="716"/>
      <c r="K29" s="24">
        <f t="shared" si="10"/>
        <v>1</v>
      </c>
      <c r="L29" s="716"/>
      <c r="M29" s="24">
        <f t="shared" si="11"/>
        <v>1</v>
      </c>
      <c r="N29" s="716"/>
      <c r="O29" s="24">
        <f t="shared" si="12"/>
        <v>1</v>
      </c>
      <c r="P29" s="716" t="s">
        <v>3130</v>
      </c>
      <c r="Q29" s="24">
        <f t="shared" si="13"/>
        <v>1</v>
      </c>
      <c r="R29" s="713" t="e">
        <f t="shared" si="14"/>
        <v>#REF!</v>
      </c>
      <c r="S29" s="361" t="e">
        <f t="shared" si="5"/>
        <v>#REF!</v>
      </c>
    </row>
    <row r="30" spans="1:45">
      <c r="A30" s="2990" t="e">
        <f>#REF!</f>
        <v>#REF!</v>
      </c>
      <c r="B30" s="2950" t="e">
        <f>#REF!</f>
        <v>#REF!</v>
      </c>
      <c r="C30" s="24" t="e">
        <f t="shared" si="6"/>
        <v>#REF!</v>
      </c>
      <c r="D30" s="716" t="s">
        <v>3133</v>
      </c>
      <c r="E30" s="24">
        <f t="shared" si="7"/>
        <v>1</v>
      </c>
      <c r="F30" s="716"/>
      <c r="G30" s="24">
        <f t="shared" si="8"/>
        <v>1</v>
      </c>
      <c r="H30" s="716"/>
      <c r="I30" s="24">
        <f t="shared" si="9"/>
        <v>1</v>
      </c>
      <c r="J30" s="716"/>
      <c r="K30" s="24">
        <f t="shared" si="10"/>
        <v>1</v>
      </c>
      <c r="L30" s="716"/>
      <c r="M30" s="24">
        <f t="shared" si="11"/>
        <v>1</v>
      </c>
      <c r="N30" s="716"/>
      <c r="O30" s="24">
        <f t="shared" si="12"/>
        <v>1</v>
      </c>
      <c r="P30" s="716" t="s">
        <v>3130</v>
      </c>
      <c r="Q30" s="24">
        <f t="shared" si="13"/>
        <v>1</v>
      </c>
      <c r="R30" s="713" t="e">
        <f t="shared" si="14"/>
        <v>#REF!</v>
      </c>
      <c r="S30" s="361" t="e">
        <f t="shared" si="5"/>
        <v>#REF!</v>
      </c>
    </row>
    <row r="31" spans="1:45">
      <c r="A31" s="2990" t="e">
        <f>#REF!</f>
        <v>#REF!</v>
      </c>
      <c r="B31" s="2950" t="e">
        <f>#REF!</f>
        <v>#REF!</v>
      </c>
      <c r="C31" s="24" t="e">
        <f t="shared" si="6"/>
        <v>#REF!</v>
      </c>
      <c r="D31" s="716" t="s">
        <v>3133</v>
      </c>
      <c r="E31" s="24">
        <f t="shared" si="7"/>
        <v>1</v>
      </c>
      <c r="F31" s="716"/>
      <c r="G31" s="24">
        <f t="shared" si="8"/>
        <v>1</v>
      </c>
      <c r="H31" s="716"/>
      <c r="I31" s="24">
        <f t="shared" si="9"/>
        <v>1</v>
      </c>
      <c r="J31" s="716"/>
      <c r="K31" s="24">
        <f t="shared" si="10"/>
        <v>1</v>
      </c>
      <c r="L31" s="716"/>
      <c r="M31" s="24">
        <f t="shared" si="11"/>
        <v>1</v>
      </c>
      <c r="N31" s="716"/>
      <c r="O31" s="24">
        <f t="shared" si="12"/>
        <v>1</v>
      </c>
      <c r="P31" s="716" t="s">
        <v>3130</v>
      </c>
      <c r="Q31" s="24">
        <f t="shared" si="13"/>
        <v>1</v>
      </c>
      <c r="R31" s="713" t="e">
        <f t="shared" si="14"/>
        <v>#REF!</v>
      </c>
      <c r="S31" s="361" t="e">
        <f t="shared" si="5"/>
        <v>#REF!</v>
      </c>
    </row>
    <row r="32" spans="1:45">
      <c r="A32" s="2990" t="e">
        <f>#REF!</f>
        <v>#REF!</v>
      </c>
      <c r="B32" s="2950" t="e">
        <f>#REF!</f>
        <v>#REF!</v>
      </c>
      <c r="C32" s="24" t="e">
        <f t="shared" si="6"/>
        <v>#REF!</v>
      </c>
      <c r="D32" s="716" t="s">
        <v>3133</v>
      </c>
      <c r="E32" s="24">
        <f t="shared" si="7"/>
        <v>1</v>
      </c>
      <c r="F32" s="716"/>
      <c r="G32" s="24">
        <f t="shared" si="8"/>
        <v>1</v>
      </c>
      <c r="H32" s="716"/>
      <c r="I32" s="24">
        <f t="shared" si="9"/>
        <v>1</v>
      </c>
      <c r="J32" s="716"/>
      <c r="K32" s="24">
        <f t="shared" si="10"/>
        <v>1</v>
      </c>
      <c r="L32" s="716"/>
      <c r="M32" s="24">
        <f t="shared" si="11"/>
        <v>1</v>
      </c>
      <c r="N32" s="716"/>
      <c r="O32" s="24">
        <f t="shared" si="12"/>
        <v>1</v>
      </c>
      <c r="P32" s="716" t="s">
        <v>3130</v>
      </c>
      <c r="Q32" s="24">
        <f t="shared" si="13"/>
        <v>1</v>
      </c>
      <c r="R32" s="713" t="e">
        <f t="shared" si="14"/>
        <v>#REF!</v>
      </c>
      <c r="S32" s="361" t="e">
        <f t="shared" si="5"/>
        <v>#REF!</v>
      </c>
    </row>
    <row r="33" spans="1:19">
      <c r="A33" s="2990" t="e">
        <f>#REF!</f>
        <v>#REF!</v>
      </c>
      <c r="B33" s="2950" t="e">
        <f>#REF!</f>
        <v>#REF!</v>
      </c>
      <c r="C33" s="24" t="e">
        <f t="shared" si="6"/>
        <v>#REF!</v>
      </c>
      <c r="D33" s="716" t="s">
        <v>3133</v>
      </c>
      <c r="E33" s="24">
        <f t="shared" si="7"/>
        <v>1</v>
      </c>
      <c r="F33" s="716"/>
      <c r="G33" s="24">
        <f t="shared" si="8"/>
        <v>1</v>
      </c>
      <c r="H33" s="716"/>
      <c r="I33" s="24">
        <f t="shared" si="9"/>
        <v>1</v>
      </c>
      <c r="J33" s="716"/>
      <c r="K33" s="24">
        <f t="shared" si="10"/>
        <v>1</v>
      </c>
      <c r="L33" s="716"/>
      <c r="M33" s="24">
        <f t="shared" si="11"/>
        <v>1</v>
      </c>
      <c r="N33" s="716"/>
      <c r="O33" s="24">
        <f t="shared" si="12"/>
        <v>1</v>
      </c>
      <c r="P33" s="716" t="s">
        <v>3138</v>
      </c>
      <c r="Q33" s="24">
        <f t="shared" si="13"/>
        <v>1.04</v>
      </c>
      <c r="R33" s="713" t="e">
        <f t="shared" si="14"/>
        <v>#REF!</v>
      </c>
      <c r="S33" s="361" t="e">
        <f t="shared" si="5"/>
        <v>#REF!</v>
      </c>
    </row>
    <row r="34" spans="1:19">
      <c r="A34" s="2990" t="e">
        <f>#REF!</f>
        <v>#REF!</v>
      </c>
      <c r="B34" s="2950" t="e">
        <f>#REF!</f>
        <v>#REF!</v>
      </c>
      <c r="C34" s="24" t="e">
        <f t="shared" si="6"/>
        <v>#REF!</v>
      </c>
      <c r="D34" s="716" t="s">
        <v>3133</v>
      </c>
      <c r="E34" s="24">
        <f t="shared" si="7"/>
        <v>1</v>
      </c>
      <c r="F34" s="716"/>
      <c r="G34" s="24">
        <f t="shared" si="8"/>
        <v>1</v>
      </c>
      <c r="H34" s="716"/>
      <c r="I34" s="24">
        <f t="shared" si="9"/>
        <v>1</v>
      </c>
      <c r="J34" s="716"/>
      <c r="K34" s="24">
        <f t="shared" si="10"/>
        <v>1</v>
      </c>
      <c r="L34" s="716"/>
      <c r="M34" s="24">
        <f t="shared" si="11"/>
        <v>1</v>
      </c>
      <c r="N34" s="716"/>
      <c r="O34" s="24">
        <f t="shared" si="12"/>
        <v>1</v>
      </c>
      <c r="P34" s="716" t="s">
        <v>3138</v>
      </c>
      <c r="Q34" s="24">
        <f t="shared" si="13"/>
        <v>1.04</v>
      </c>
      <c r="R34" s="713" t="e">
        <f t="shared" si="14"/>
        <v>#REF!</v>
      </c>
      <c r="S34" s="361" t="e">
        <f t="shared" si="5"/>
        <v>#REF!</v>
      </c>
    </row>
    <row r="35" spans="1:19">
      <c r="A35" s="2990" t="e">
        <f>#REF!</f>
        <v>#REF!</v>
      </c>
      <c r="B35" s="2950" t="e">
        <f>#REF!</f>
        <v>#REF!</v>
      </c>
      <c r="C35" s="24" t="e">
        <f t="shared" si="6"/>
        <v>#REF!</v>
      </c>
      <c r="D35" s="716" t="s">
        <v>3133</v>
      </c>
      <c r="E35" s="24">
        <f t="shared" si="7"/>
        <v>1</v>
      </c>
      <c r="F35" s="716"/>
      <c r="G35" s="24">
        <f t="shared" si="8"/>
        <v>1</v>
      </c>
      <c r="H35" s="716"/>
      <c r="I35" s="24">
        <f t="shared" si="9"/>
        <v>1</v>
      </c>
      <c r="J35" s="716"/>
      <c r="K35" s="24">
        <f t="shared" si="10"/>
        <v>1</v>
      </c>
      <c r="L35" s="716"/>
      <c r="M35" s="24">
        <f t="shared" si="11"/>
        <v>1</v>
      </c>
      <c r="N35" s="716"/>
      <c r="O35" s="24">
        <f t="shared" si="12"/>
        <v>1</v>
      </c>
      <c r="P35" s="716" t="s">
        <v>3138</v>
      </c>
      <c r="Q35" s="24">
        <f t="shared" si="13"/>
        <v>1.04</v>
      </c>
      <c r="R35" s="713" t="e">
        <f t="shared" si="14"/>
        <v>#REF!</v>
      </c>
      <c r="S35" s="361" t="e">
        <f t="shared" si="5"/>
        <v>#REF!</v>
      </c>
    </row>
    <row r="36" spans="1:19">
      <c r="A36" s="2990" t="e">
        <f>#REF!</f>
        <v>#REF!</v>
      </c>
      <c r="B36" s="2950" t="e">
        <f>#REF!</f>
        <v>#REF!</v>
      </c>
      <c r="C36" s="24" t="e">
        <f t="shared" si="6"/>
        <v>#REF!</v>
      </c>
      <c r="D36" s="716" t="s">
        <v>3133</v>
      </c>
      <c r="E36" s="24">
        <f t="shared" si="7"/>
        <v>1</v>
      </c>
      <c r="F36" s="716"/>
      <c r="G36" s="24">
        <f t="shared" si="8"/>
        <v>1</v>
      </c>
      <c r="H36" s="716"/>
      <c r="I36" s="24">
        <f t="shared" si="9"/>
        <v>1</v>
      </c>
      <c r="J36" s="716"/>
      <c r="K36" s="24">
        <f t="shared" si="10"/>
        <v>1</v>
      </c>
      <c r="L36" s="716"/>
      <c r="M36" s="24">
        <f t="shared" si="11"/>
        <v>1</v>
      </c>
      <c r="N36" s="716"/>
      <c r="O36" s="24">
        <f t="shared" si="12"/>
        <v>1</v>
      </c>
      <c r="P36" s="716" t="s">
        <v>3138</v>
      </c>
      <c r="Q36" s="24">
        <f t="shared" si="13"/>
        <v>1.04</v>
      </c>
      <c r="R36" s="713" t="e">
        <f t="shared" si="14"/>
        <v>#REF!</v>
      </c>
      <c r="S36" s="361" t="e">
        <f t="shared" si="5"/>
        <v>#REF!</v>
      </c>
    </row>
    <row r="37" spans="1:19">
      <c r="A37" s="2990" t="e">
        <f>#REF!</f>
        <v>#REF!</v>
      </c>
      <c r="B37" s="2950" t="e">
        <f>#REF!</f>
        <v>#REF!</v>
      </c>
      <c r="C37" s="24" t="e">
        <f t="shared" si="6"/>
        <v>#REF!</v>
      </c>
      <c r="D37" s="716" t="s">
        <v>3133</v>
      </c>
      <c r="E37" s="24">
        <f t="shared" si="7"/>
        <v>1</v>
      </c>
      <c r="F37" s="716"/>
      <c r="G37" s="24">
        <f t="shared" si="8"/>
        <v>1</v>
      </c>
      <c r="H37" s="716"/>
      <c r="I37" s="24">
        <f t="shared" si="9"/>
        <v>1</v>
      </c>
      <c r="J37" s="716"/>
      <c r="K37" s="24">
        <f t="shared" si="10"/>
        <v>1</v>
      </c>
      <c r="L37" s="716"/>
      <c r="M37" s="24">
        <f t="shared" si="11"/>
        <v>1</v>
      </c>
      <c r="N37" s="716"/>
      <c r="O37" s="24">
        <f t="shared" si="12"/>
        <v>1</v>
      </c>
      <c r="P37" s="716" t="s">
        <v>3138</v>
      </c>
      <c r="Q37" s="24">
        <f t="shared" si="13"/>
        <v>1.04</v>
      </c>
      <c r="R37" s="713" t="e">
        <f t="shared" si="14"/>
        <v>#REF!</v>
      </c>
      <c r="S37" s="361" t="e">
        <f t="shared" si="5"/>
        <v>#REF!</v>
      </c>
    </row>
    <row r="38" spans="1:19">
      <c r="A38" s="2990" t="e">
        <f>#REF!</f>
        <v>#REF!</v>
      </c>
      <c r="B38" s="2950" t="e">
        <f>#REF!</f>
        <v>#REF!</v>
      </c>
      <c r="C38" s="24" t="e">
        <f t="shared" si="6"/>
        <v>#REF!</v>
      </c>
      <c r="D38" s="716" t="s">
        <v>3133</v>
      </c>
      <c r="E38" s="24">
        <f t="shared" si="7"/>
        <v>1</v>
      </c>
      <c r="F38" s="716"/>
      <c r="G38" s="24">
        <f t="shared" si="8"/>
        <v>1</v>
      </c>
      <c r="H38" s="716"/>
      <c r="I38" s="24">
        <f t="shared" si="9"/>
        <v>1</v>
      </c>
      <c r="J38" s="716"/>
      <c r="K38" s="24">
        <f t="shared" si="10"/>
        <v>1</v>
      </c>
      <c r="L38" s="716"/>
      <c r="M38" s="24">
        <f t="shared" si="11"/>
        <v>1</v>
      </c>
      <c r="N38" s="716"/>
      <c r="O38" s="24">
        <f t="shared" si="12"/>
        <v>1</v>
      </c>
      <c r="P38" s="716" t="s">
        <v>3138</v>
      </c>
      <c r="Q38" s="24">
        <f t="shared" si="13"/>
        <v>1.04</v>
      </c>
      <c r="R38" s="713" t="e">
        <f t="shared" si="14"/>
        <v>#REF!</v>
      </c>
      <c r="S38" s="361" t="e">
        <f t="shared" si="5"/>
        <v>#REF!</v>
      </c>
    </row>
    <row r="39" spans="1:19">
      <c r="A39" s="2990" t="e">
        <f>#REF!</f>
        <v>#REF!</v>
      </c>
      <c r="B39" s="2950" t="e">
        <f>#REF!</f>
        <v>#REF!</v>
      </c>
      <c r="C39" s="24" t="e">
        <f t="shared" si="6"/>
        <v>#REF!</v>
      </c>
      <c r="D39" s="716" t="s">
        <v>3133</v>
      </c>
      <c r="E39" s="24">
        <f t="shared" si="7"/>
        <v>1</v>
      </c>
      <c r="F39" s="716"/>
      <c r="G39" s="24">
        <f t="shared" si="8"/>
        <v>1</v>
      </c>
      <c r="H39" s="716"/>
      <c r="I39" s="24">
        <f t="shared" si="9"/>
        <v>1</v>
      </c>
      <c r="J39" s="716"/>
      <c r="K39" s="24">
        <f t="shared" si="10"/>
        <v>1</v>
      </c>
      <c r="L39" s="716"/>
      <c r="M39" s="24">
        <f t="shared" si="11"/>
        <v>1</v>
      </c>
      <c r="N39" s="716"/>
      <c r="O39" s="24">
        <f t="shared" si="12"/>
        <v>1</v>
      </c>
      <c r="P39" s="716" t="s">
        <v>3138</v>
      </c>
      <c r="Q39" s="24">
        <f t="shared" si="13"/>
        <v>1.04</v>
      </c>
      <c r="R39" s="713" t="e">
        <f t="shared" si="14"/>
        <v>#REF!</v>
      </c>
      <c r="S39" s="361" t="e">
        <f t="shared" si="5"/>
        <v>#REF!</v>
      </c>
    </row>
    <row r="40" spans="1:19">
      <c r="A40" s="2990" t="e">
        <f>#REF!</f>
        <v>#REF!</v>
      </c>
      <c r="B40" s="2950" t="e">
        <f>#REF!</f>
        <v>#REF!</v>
      </c>
      <c r="C40" s="24" t="e">
        <f t="shared" si="6"/>
        <v>#REF!</v>
      </c>
      <c r="D40" s="716" t="s">
        <v>3133</v>
      </c>
      <c r="E40" s="24">
        <f t="shared" si="7"/>
        <v>1</v>
      </c>
      <c r="F40" s="716"/>
      <c r="G40" s="24">
        <f t="shared" si="8"/>
        <v>1</v>
      </c>
      <c r="H40" s="716"/>
      <c r="I40" s="24">
        <f t="shared" si="9"/>
        <v>1</v>
      </c>
      <c r="J40" s="716"/>
      <c r="K40" s="24">
        <f t="shared" si="10"/>
        <v>1</v>
      </c>
      <c r="L40" s="716"/>
      <c r="M40" s="24">
        <f t="shared" si="11"/>
        <v>1</v>
      </c>
      <c r="N40" s="716"/>
      <c r="O40" s="24">
        <f t="shared" si="12"/>
        <v>1</v>
      </c>
      <c r="P40" s="716" t="s">
        <v>3138</v>
      </c>
      <c r="Q40" s="24">
        <f t="shared" si="13"/>
        <v>1.04</v>
      </c>
      <c r="R40" s="713" t="e">
        <f t="shared" si="14"/>
        <v>#REF!</v>
      </c>
      <c r="S40" s="361" t="e">
        <f t="shared" si="5"/>
        <v>#REF!</v>
      </c>
    </row>
    <row r="41" spans="1:19">
      <c r="A41" s="2990" t="e">
        <f>#REF!</f>
        <v>#REF!</v>
      </c>
      <c r="B41" s="2950" t="e">
        <f>#REF!</f>
        <v>#REF!</v>
      </c>
      <c r="C41" s="24" t="e">
        <f t="shared" si="6"/>
        <v>#REF!</v>
      </c>
      <c r="D41" s="716" t="s">
        <v>3133</v>
      </c>
      <c r="E41" s="24">
        <f t="shared" si="7"/>
        <v>1</v>
      </c>
      <c r="F41" s="716"/>
      <c r="G41" s="24">
        <f t="shared" si="8"/>
        <v>1</v>
      </c>
      <c r="H41" s="716"/>
      <c r="I41" s="24">
        <f t="shared" si="9"/>
        <v>1</v>
      </c>
      <c r="J41" s="716"/>
      <c r="K41" s="24">
        <f t="shared" si="10"/>
        <v>1</v>
      </c>
      <c r="L41" s="716"/>
      <c r="M41" s="24">
        <f t="shared" si="11"/>
        <v>1</v>
      </c>
      <c r="N41" s="716"/>
      <c r="O41" s="24">
        <f t="shared" si="12"/>
        <v>1</v>
      </c>
      <c r="P41" s="716" t="s">
        <v>3138</v>
      </c>
      <c r="Q41" s="24">
        <f t="shared" si="13"/>
        <v>1.04</v>
      </c>
      <c r="R41" s="713" t="e">
        <f t="shared" si="14"/>
        <v>#REF!</v>
      </c>
      <c r="S41" s="361" t="e">
        <f t="shared" si="5"/>
        <v>#REF!</v>
      </c>
    </row>
    <row r="42" spans="1:19">
      <c r="A42" s="2990" t="e">
        <f>#REF!</f>
        <v>#REF!</v>
      </c>
      <c r="B42" s="2950" t="e">
        <f>#REF!</f>
        <v>#REF!</v>
      </c>
      <c r="C42" s="24" t="e">
        <f t="shared" si="6"/>
        <v>#REF!</v>
      </c>
      <c r="D42" s="716" t="s">
        <v>3133</v>
      </c>
      <c r="E42" s="24">
        <f t="shared" si="7"/>
        <v>1</v>
      </c>
      <c r="F42" s="716"/>
      <c r="G42" s="24">
        <f t="shared" si="8"/>
        <v>1</v>
      </c>
      <c r="H42" s="716"/>
      <c r="I42" s="24">
        <f t="shared" si="9"/>
        <v>1</v>
      </c>
      <c r="J42" s="716"/>
      <c r="K42" s="24">
        <f t="shared" si="10"/>
        <v>1</v>
      </c>
      <c r="L42" s="716"/>
      <c r="M42" s="24">
        <f t="shared" si="11"/>
        <v>1</v>
      </c>
      <c r="N42" s="716"/>
      <c r="O42" s="24">
        <f t="shared" si="12"/>
        <v>1</v>
      </c>
      <c r="P42" s="716" t="s">
        <v>3138</v>
      </c>
      <c r="Q42" s="24">
        <f t="shared" si="13"/>
        <v>1.04</v>
      </c>
      <c r="R42" s="713" t="e">
        <f t="shared" si="14"/>
        <v>#REF!</v>
      </c>
      <c r="S42" s="361" t="e">
        <f t="shared" si="5"/>
        <v>#REF!</v>
      </c>
    </row>
    <row r="43" spans="1:19">
      <c r="A43" s="2990" t="e">
        <f>#REF!</f>
        <v>#REF!</v>
      </c>
      <c r="B43" s="2950" t="e">
        <f>#REF!</f>
        <v>#REF!</v>
      </c>
      <c r="C43" s="24" t="e">
        <f t="shared" si="6"/>
        <v>#REF!</v>
      </c>
      <c r="D43" s="716" t="s">
        <v>3133</v>
      </c>
      <c r="E43" s="24">
        <f t="shared" si="7"/>
        <v>1</v>
      </c>
      <c r="F43" s="716"/>
      <c r="G43" s="24">
        <f t="shared" si="8"/>
        <v>1</v>
      </c>
      <c r="H43" s="716"/>
      <c r="I43" s="24">
        <f t="shared" si="9"/>
        <v>1</v>
      </c>
      <c r="J43" s="716"/>
      <c r="K43" s="24">
        <f t="shared" si="10"/>
        <v>1</v>
      </c>
      <c r="L43" s="716"/>
      <c r="M43" s="24">
        <f t="shared" si="11"/>
        <v>1</v>
      </c>
      <c r="N43" s="716"/>
      <c r="O43" s="24">
        <f t="shared" si="12"/>
        <v>1</v>
      </c>
      <c r="P43" s="716" t="s">
        <v>3138</v>
      </c>
      <c r="Q43" s="24">
        <f t="shared" si="13"/>
        <v>1.04</v>
      </c>
      <c r="R43" s="713" t="e">
        <f t="shared" si="14"/>
        <v>#REF!</v>
      </c>
      <c r="S43" s="361" t="e">
        <f t="shared" si="5"/>
        <v>#REF!</v>
      </c>
    </row>
    <row r="44" spans="1:19">
      <c r="A44" s="2990" t="e">
        <f>#REF!</f>
        <v>#REF!</v>
      </c>
      <c r="B44" s="2950" t="e">
        <f>#REF!</f>
        <v>#REF!</v>
      </c>
      <c r="C44" s="24" t="e">
        <f t="shared" si="6"/>
        <v>#REF!</v>
      </c>
      <c r="D44" s="716" t="s">
        <v>3133</v>
      </c>
      <c r="E44" s="24">
        <f t="shared" si="7"/>
        <v>1</v>
      </c>
      <c r="F44" s="716"/>
      <c r="G44" s="24">
        <f t="shared" si="8"/>
        <v>1</v>
      </c>
      <c r="H44" s="716"/>
      <c r="I44" s="24">
        <f t="shared" si="9"/>
        <v>1</v>
      </c>
      <c r="J44" s="716"/>
      <c r="K44" s="24">
        <f t="shared" si="10"/>
        <v>1</v>
      </c>
      <c r="L44" s="716"/>
      <c r="M44" s="24">
        <f t="shared" si="11"/>
        <v>1</v>
      </c>
      <c r="N44" s="716"/>
      <c r="O44" s="24">
        <f t="shared" si="12"/>
        <v>1</v>
      </c>
      <c r="P44" s="716" t="s">
        <v>3138</v>
      </c>
      <c r="Q44" s="24">
        <f t="shared" si="13"/>
        <v>1.04</v>
      </c>
      <c r="R44" s="713" t="e">
        <f t="shared" si="14"/>
        <v>#REF!</v>
      </c>
      <c r="S44" s="361" t="e">
        <f t="shared" si="5"/>
        <v>#REF!</v>
      </c>
    </row>
    <row r="45" spans="1:19">
      <c r="A45" s="2990" t="e">
        <f>#REF!</f>
        <v>#REF!</v>
      </c>
      <c r="B45" s="2950" t="e">
        <f>#REF!</f>
        <v>#REF!</v>
      </c>
      <c r="C45" s="24" t="e">
        <f t="shared" si="6"/>
        <v>#REF!</v>
      </c>
      <c r="D45" s="716" t="s">
        <v>3133</v>
      </c>
      <c r="E45" s="24">
        <f t="shared" si="7"/>
        <v>1</v>
      </c>
      <c r="F45" s="716"/>
      <c r="G45" s="24">
        <f t="shared" si="8"/>
        <v>1</v>
      </c>
      <c r="H45" s="716"/>
      <c r="I45" s="24">
        <f t="shared" si="9"/>
        <v>1</v>
      </c>
      <c r="J45" s="716"/>
      <c r="K45" s="24">
        <f t="shared" si="10"/>
        <v>1</v>
      </c>
      <c r="L45" s="716"/>
      <c r="M45" s="24">
        <f t="shared" si="11"/>
        <v>1</v>
      </c>
      <c r="N45" s="716"/>
      <c r="O45" s="24">
        <f t="shared" si="12"/>
        <v>1</v>
      </c>
      <c r="P45" s="716" t="s">
        <v>3138</v>
      </c>
      <c r="Q45" s="24">
        <f t="shared" si="13"/>
        <v>1.04</v>
      </c>
      <c r="R45" s="713" t="e">
        <f t="shared" si="14"/>
        <v>#REF!</v>
      </c>
      <c r="S45" s="361" t="e">
        <f t="shared" si="5"/>
        <v>#REF!</v>
      </c>
    </row>
    <row r="46" spans="1:19">
      <c r="A46" s="2990" t="e">
        <f>#REF!</f>
        <v>#REF!</v>
      </c>
      <c r="B46" s="2950" t="e">
        <f>#REF!</f>
        <v>#REF!</v>
      </c>
      <c r="C46" s="24" t="e">
        <f t="shared" si="6"/>
        <v>#REF!</v>
      </c>
      <c r="D46" s="716" t="s">
        <v>3133</v>
      </c>
      <c r="E46" s="24">
        <f t="shared" si="7"/>
        <v>1</v>
      </c>
      <c r="F46" s="716"/>
      <c r="G46" s="24">
        <f t="shared" si="8"/>
        <v>1</v>
      </c>
      <c r="H46" s="716"/>
      <c r="I46" s="24">
        <f t="shared" si="9"/>
        <v>1</v>
      </c>
      <c r="J46" s="716"/>
      <c r="K46" s="24">
        <f t="shared" si="10"/>
        <v>1</v>
      </c>
      <c r="L46" s="716"/>
      <c r="M46" s="24">
        <f t="shared" si="11"/>
        <v>1</v>
      </c>
      <c r="N46" s="716"/>
      <c r="O46" s="24">
        <f t="shared" si="12"/>
        <v>1</v>
      </c>
      <c r="P46" s="716" t="s">
        <v>3138</v>
      </c>
      <c r="Q46" s="24">
        <f t="shared" si="13"/>
        <v>1.04</v>
      </c>
      <c r="R46" s="713" t="e">
        <f t="shared" si="14"/>
        <v>#REF!</v>
      </c>
      <c r="S46" s="361" t="e">
        <f t="shared" si="5"/>
        <v>#REF!</v>
      </c>
    </row>
    <row r="47" spans="1:19">
      <c r="A47" s="2990" t="e">
        <f>#REF!</f>
        <v>#REF!</v>
      </c>
      <c r="B47" s="2950" t="e">
        <f>#REF!</f>
        <v>#REF!</v>
      </c>
      <c r="C47" s="24" t="e">
        <f t="shared" si="6"/>
        <v>#REF!</v>
      </c>
      <c r="D47" s="716" t="s">
        <v>3133</v>
      </c>
      <c r="E47" s="24">
        <f t="shared" si="7"/>
        <v>1</v>
      </c>
      <c r="F47" s="716"/>
      <c r="G47" s="24">
        <f t="shared" si="8"/>
        <v>1</v>
      </c>
      <c r="H47" s="716"/>
      <c r="I47" s="24">
        <f t="shared" si="9"/>
        <v>1</v>
      </c>
      <c r="J47" s="716"/>
      <c r="K47" s="24">
        <f t="shared" si="10"/>
        <v>1</v>
      </c>
      <c r="L47" s="716"/>
      <c r="M47" s="24">
        <f t="shared" si="11"/>
        <v>1</v>
      </c>
      <c r="N47" s="716"/>
      <c r="O47" s="24">
        <f t="shared" si="12"/>
        <v>1</v>
      </c>
      <c r="P47" s="716" t="s">
        <v>3138</v>
      </c>
      <c r="Q47" s="24">
        <f t="shared" si="13"/>
        <v>1.04</v>
      </c>
      <c r="R47" s="713" t="e">
        <f t="shared" si="14"/>
        <v>#REF!</v>
      </c>
      <c r="S47" s="361" t="e">
        <f t="shared" si="5"/>
        <v>#REF!</v>
      </c>
    </row>
    <row r="48" spans="1:19">
      <c r="A48" s="2990" t="e">
        <f>#REF!</f>
        <v>#REF!</v>
      </c>
      <c r="B48" s="2950" t="e">
        <f>#REF!</f>
        <v>#REF!</v>
      </c>
      <c r="C48" s="24" t="e">
        <f t="shared" si="6"/>
        <v>#REF!</v>
      </c>
      <c r="D48" s="716" t="s">
        <v>3133</v>
      </c>
      <c r="E48" s="24">
        <f t="shared" si="7"/>
        <v>1</v>
      </c>
      <c r="F48" s="716"/>
      <c r="G48" s="24">
        <f t="shared" si="8"/>
        <v>1</v>
      </c>
      <c r="H48" s="716"/>
      <c r="I48" s="24">
        <f t="shared" si="9"/>
        <v>1</v>
      </c>
      <c r="J48" s="716"/>
      <c r="K48" s="24">
        <f t="shared" si="10"/>
        <v>1</v>
      </c>
      <c r="L48" s="716"/>
      <c r="M48" s="24">
        <f t="shared" si="11"/>
        <v>1</v>
      </c>
      <c r="N48" s="716"/>
      <c r="O48" s="24">
        <f t="shared" si="12"/>
        <v>1</v>
      </c>
      <c r="P48" s="716" t="s">
        <v>3138</v>
      </c>
      <c r="Q48" s="24">
        <f t="shared" si="13"/>
        <v>1.04</v>
      </c>
      <c r="R48" s="713" t="e">
        <f t="shared" si="14"/>
        <v>#REF!</v>
      </c>
      <c r="S48" s="361" t="e">
        <f t="shared" si="5"/>
        <v>#REF!</v>
      </c>
    </row>
    <row r="49" spans="1:19">
      <c r="A49" s="2990" t="e">
        <f>#REF!</f>
        <v>#REF!</v>
      </c>
      <c r="B49" s="2950" t="e">
        <f>#REF!</f>
        <v>#REF!</v>
      </c>
      <c r="C49" s="24" t="e">
        <f t="shared" si="6"/>
        <v>#REF!</v>
      </c>
      <c r="D49" s="716" t="s">
        <v>3133</v>
      </c>
      <c r="E49" s="24">
        <f t="shared" si="7"/>
        <v>1</v>
      </c>
      <c r="F49" s="716"/>
      <c r="G49" s="24">
        <f t="shared" si="8"/>
        <v>1</v>
      </c>
      <c r="H49" s="716"/>
      <c r="I49" s="24">
        <f t="shared" si="9"/>
        <v>1</v>
      </c>
      <c r="J49" s="716"/>
      <c r="K49" s="24">
        <f t="shared" si="10"/>
        <v>1</v>
      </c>
      <c r="L49" s="716"/>
      <c r="M49" s="24">
        <f t="shared" si="11"/>
        <v>1</v>
      </c>
      <c r="N49" s="716"/>
      <c r="O49" s="24">
        <f t="shared" si="12"/>
        <v>1</v>
      </c>
      <c r="P49" s="716" t="s">
        <v>3138</v>
      </c>
      <c r="Q49" s="24">
        <f t="shared" si="13"/>
        <v>1.04</v>
      </c>
      <c r="R49" s="713" t="e">
        <f t="shared" si="14"/>
        <v>#REF!</v>
      </c>
      <c r="S49" s="361" t="e">
        <f t="shared" si="5"/>
        <v>#REF!</v>
      </c>
    </row>
    <row r="50" spans="1:19">
      <c r="A50" s="2990" t="e">
        <f>#REF!</f>
        <v>#REF!</v>
      </c>
      <c r="B50" s="2950" t="e">
        <f>#REF!</f>
        <v>#REF!</v>
      </c>
      <c r="C50" s="24" t="e">
        <f t="shared" si="6"/>
        <v>#REF!</v>
      </c>
      <c r="D50" s="716" t="s">
        <v>3133</v>
      </c>
      <c r="E50" s="24">
        <f t="shared" si="7"/>
        <v>1</v>
      </c>
      <c r="F50" s="716"/>
      <c r="G50" s="24">
        <f t="shared" si="8"/>
        <v>1</v>
      </c>
      <c r="H50" s="716"/>
      <c r="I50" s="24">
        <f t="shared" si="9"/>
        <v>1</v>
      </c>
      <c r="J50" s="716"/>
      <c r="K50" s="24">
        <f t="shared" si="10"/>
        <v>1</v>
      </c>
      <c r="L50" s="716"/>
      <c r="M50" s="24">
        <f t="shared" si="11"/>
        <v>1</v>
      </c>
      <c r="N50" s="716"/>
      <c r="O50" s="24">
        <f t="shared" si="12"/>
        <v>1</v>
      </c>
      <c r="P50" s="716" t="s">
        <v>3138</v>
      </c>
      <c r="Q50" s="24">
        <f t="shared" si="13"/>
        <v>1.04</v>
      </c>
      <c r="R50" s="713" t="e">
        <f t="shared" si="14"/>
        <v>#REF!</v>
      </c>
      <c r="S50" s="361" t="e">
        <f t="shared" si="5"/>
        <v>#REF!</v>
      </c>
    </row>
    <row r="51" spans="1:19">
      <c r="A51" s="2990" t="e">
        <f>#REF!</f>
        <v>#REF!</v>
      </c>
      <c r="B51" s="2950" t="e">
        <f>#REF!</f>
        <v>#REF!</v>
      </c>
      <c r="C51" s="24" t="e">
        <f t="shared" si="6"/>
        <v>#REF!</v>
      </c>
      <c r="D51" s="716" t="s">
        <v>3133</v>
      </c>
      <c r="E51" s="24">
        <f t="shared" si="7"/>
        <v>1</v>
      </c>
      <c r="F51" s="716"/>
      <c r="G51" s="24">
        <f t="shared" si="8"/>
        <v>1</v>
      </c>
      <c r="H51" s="716"/>
      <c r="I51" s="24">
        <f t="shared" si="9"/>
        <v>1</v>
      </c>
      <c r="J51" s="716"/>
      <c r="K51" s="24">
        <f t="shared" si="10"/>
        <v>1</v>
      </c>
      <c r="L51" s="716"/>
      <c r="M51" s="24">
        <f t="shared" si="11"/>
        <v>1</v>
      </c>
      <c r="N51" s="716"/>
      <c r="O51" s="24">
        <f t="shared" si="12"/>
        <v>1</v>
      </c>
      <c r="P51" s="716" t="s">
        <v>3138</v>
      </c>
      <c r="Q51" s="24">
        <f t="shared" si="13"/>
        <v>1.04</v>
      </c>
      <c r="R51" s="713" t="e">
        <f t="shared" si="14"/>
        <v>#REF!</v>
      </c>
      <c r="S51" s="361" t="e">
        <f t="shared" si="5"/>
        <v>#REF!</v>
      </c>
    </row>
    <row r="52" spans="1:19">
      <c r="A52" s="2990" t="e">
        <f>#REF!</f>
        <v>#REF!</v>
      </c>
      <c r="B52" s="2950" t="e">
        <f>#REF!</f>
        <v>#REF!</v>
      </c>
      <c r="C52" s="24" t="e">
        <f t="shared" si="6"/>
        <v>#REF!</v>
      </c>
      <c r="D52" s="716" t="s">
        <v>3133</v>
      </c>
      <c r="E52" s="24">
        <f t="shared" si="7"/>
        <v>1</v>
      </c>
      <c r="F52" s="716"/>
      <c r="G52" s="24">
        <f t="shared" si="8"/>
        <v>1</v>
      </c>
      <c r="H52" s="716"/>
      <c r="I52" s="24">
        <f t="shared" si="9"/>
        <v>1</v>
      </c>
      <c r="J52" s="716"/>
      <c r="K52" s="24">
        <f t="shared" si="10"/>
        <v>1</v>
      </c>
      <c r="L52" s="716"/>
      <c r="M52" s="24">
        <f t="shared" si="11"/>
        <v>1</v>
      </c>
      <c r="N52" s="716"/>
      <c r="O52" s="24">
        <f t="shared" si="12"/>
        <v>1</v>
      </c>
      <c r="P52" s="716" t="s">
        <v>3138</v>
      </c>
      <c r="Q52" s="24">
        <f t="shared" si="13"/>
        <v>1.04</v>
      </c>
      <c r="R52" s="713" t="e">
        <f t="shared" si="14"/>
        <v>#REF!</v>
      </c>
      <c r="S52" s="361" t="e">
        <f t="shared" si="5"/>
        <v>#REF!</v>
      </c>
    </row>
    <row r="53" spans="1:19">
      <c r="A53" s="2990" t="e">
        <f>#REF!</f>
        <v>#REF!</v>
      </c>
      <c r="B53" s="2950" t="e">
        <f>#REF!</f>
        <v>#REF!</v>
      </c>
      <c r="C53" s="24" t="e">
        <f t="shared" si="6"/>
        <v>#REF!</v>
      </c>
      <c r="D53" s="716" t="s">
        <v>3133</v>
      </c>
      <c r="E53" s="24">
        <f t="shared" si="7"/>
        <v>1</v>
      </c>
      <c r="F53" s="716"/>
      <c r="G53" s="24">
        <f t="shared" si="8"/>
        <v>1</v>
      </c>
      <c r="H53" s="716"/>
      <c r="I53" s="24">
        <f t="shared" si="9"/>
        <v>1</v>
      </c>
      <c r="J53" s="716"/>
      <c r="K53" s="24">
        <f t="shared" si="10"/>
        <v>1</v>
      </c>
      <c r="L53" s="716"/>
      <c r="M53" s="24">
        <f t="shared" si="11"/>
        <v>1</v>
      </c>
      <c r="N53" s="716"/>
      <c r="O53" s="24">
        <f t="shared" si="12"/>
        <v>1</v>
      </c>
      <c r="P53" s="716" t="s">
        <v>3138</v>
      </c>
      <c r="Q53" s="24">
        <f t="shared" si="13"/>
        <v>1.04</v>
      </c>
      <c r="R53" s="713" t="e">
        <f t="shared" si="14"/>
        <v>#REF!</v>
      </c>
      <c r="S53" s="361" t="e">
        <f t="shared" si="5"/>
        <v>#REF!</v>
      </c>
    </row>
    <row r="54" spans="1:19">
      <c r="A54" s="2990" t="e">
        <f>#REF!</f>
        <v>#REF!</v>
      </c>
      <c r="B54" s="2950" t="e">
        <f>#REF!</f>
        <v>#REF!</v>
      </c>
      <c r="C54" s="24" t="e">
        <f t="shared" si="6"/>
        <v>#REF!</v>
      </c>
      <c r="D54" s="716" t="s">
        <v>3133</v>
      </c>
      <c r="E54" s="24">
        <f t="shared" si="7"/>
        <v>1</v>
      </c>
      <c r="F54" s="716"/>
      <c r="G54" s="24">
        <f t="shared" si="8"/>
        <v>1</v>
      </c>
      <c r="H54" s="716"/>
      <c r="I54" s="24">
        <f t="shared" si="9"/>
        <v>1</v>
      </c>
      <c r="J54" s="716"/>
      <c r="K54" s="24">
        <f t="shared" si="10"/>
        <v>1</v>
      </c>
      <c r="L54" s="716"/>
      <c r="M54" s="24">
        <f t="shared" si="11"/>
        <v>1</v>
      </c>
      <c r="N54" s="716"/>
      <c r="O54" s="24">
        <f t="shared" si="12"/>
        <v>1</v>
      </c>
      <c r="P54" s="716" t="s">
        <v>3138</v>
      </c>
      <c r="Q54" s="24">
        <f t="shared" si="13"/>
        <v>1.04</v>
      </c>
      <c r="R54" s="713" t="e">
        <f t="shared" si="14"/>
        <v>#REF!</v>
      </c>
      <c r="S54" s="361" t="e">
        <f t="shared" si="5"/>
        <v>#REF!</v>
      </c>
    </row>
    <row r="55" spans="1:19">
      <c r="A55" s="2990" t="e">
        <f>#REF!</f>
        <v>#REF!</v>
      </c>
      <c r="B55" s="2950" t="e">
        <f>#REF!</f>
        <v>#REF!</v>
      </c>
      <c r="C55" s="24" t="e">
        <f t="shared" si="6"/>
        <v>#REF!</v>
      </c>
      <c r="D55" s="716" t="s">
        <v>3133</v>
      </c>
      <c r="E55" s="24">
        <f t="shared" si="7"/>
        <v>1</v>
      </c>
      <c r="F55" s="716"/>
      <c r="G55" s="24">
        <f t="shared" si="8"/>
        <v>1</v>
      </c>
      <c r="H55" s="716"/>
      <c r="I55" s="24">
        <f t="shared" si="9"/>
        <v>1</v>
      </c>
      <c r="J55" s="716"/>
      <c r="K55" s="24">
        <f t="shared" si="10"/>
        <v>1</v>
      </c>
      <c r="L55" s="716"/>
      <c r="M55" s="24">
        <f t="shared" si="11"/>
        <v>1</v>
      </c>
      <c r="N55" s="716"/>
      <c r="O55" s="24">
        <f t="shared" si="12"/>
        <v>1</v>
      </c>
      <c r="P55" s="716" t="s">
        <v>3138</v>
      </c>
      <c r="Q55" s="24">
        <f t="shared" si="13"/>
        <v>1.04</v>
      </c>
      <c r="R55" s="713" t="e">
        <f t="shared" si="14"/>
        <v>#REF!</v>
      </c>
      <c r="S55" s="361" t="e">
        <f t="shared" si="5"/>
        <v>#REF!</v>
      </c>
    </row>
    <row r="56" spans="1:19">
      <c r="A56" s="2990" t="e">
        <f>#REF!</f>
        <v>#REF!</v>
      </c>
      <c r="B56" s="2950" t="e">
        <f>#REF!</f>
        <v>#REF!</v>
      </c>
      <c r="C56" s="24" t="e">
        <f t="shared" si="6"/>
        <v>#REF!</v>
      </c>
      <c r="D56" s="716" t="s">
        <v>3133</v>
      </c>
      <c r="E56" s="24">
        <f t="shared" si="7"/>
        <v>1</v>
      </c>
      <c r="F56" s="716"/>
      <c r="G56" s="24">
        <f t="shared" si="8"/>
        <v>1</v>
      </c>
      <c r="H56" s="716"/>
      <c r="I56" s="24">
        <f t="shared" si="9"/>
        <v>1</v>
      </c>
      <c r="J56" s="716"/>
      <c r="K56" s="24">
        <f t="shared" si="10"/>
        <v>1</v>
      </c>
      <c r="L56" s="716"/>
      <c r="M56" s="24">
        <f t="shared" si="11"/>
        <v>1</v>
      </c>
      <c r="N56" s="716"/>
      <c r="O56" s="24">
        <f t="shared" si="12"/>
        <v>1</v>
      </c>
      <c r="P56" s="716" t="s">
        <v>3138</v>
      </c>
      <c r="Q56" s="24">
        <f t="shared" si="13"/>
        <v>1.04</v>
      </c>
      <c r="R56" s="713" t="e">
        <f t="shared" si="14"/>
        <v>#REF!</v>
      </c>
      <c r="S56" s="361" t="e">
        <f t="shared" si="5"/>
        <v>#REF!</v>
      </c>
    </row>
    <row r="57" spans="1:19">
      <c r="A57" s="2990" t="e">
        <f>#REF!</f>
        <v>#REF!</v>
      </c>
      <c r="B57" s="2950" t="e">
        <f>#REF!</f>
        <v>#REF!</v>
      </c>
      <c r="C57" s="24" t="e">
        <f t="shared" si="6"/>
        <v>#REF!</v>
      </c>
      <c r="D57" s="716" t="s">
        <v>3133</v>
      </c>
      <c r="E57" s="24">
        <f t="shared" si="7"/>
        <v>1</v>
      </c>
      <c r="F57" s="716"/>
      <c r="G57" s="24">
        <f t="shared" si="8"/>
        <v>1</v>
      </c>
      <c r="H57" s="716"/>
      <c r="I57" s="24">
        <f t="shared" si="9"/>
        <v>1</v>
      </c>
      <c r="J57" s="716"/>
      <c r="K57" s="24">
        <f t="shared" si="10"/>
        <v>1</v>
      </c>
      <c r="L57" s="716"/>
      <c r="M57" s="24">
        <f t="shared" si="11"/>
        <v>1</v>
      </c>
      <c r="N57" s="716"/>
      <c r="O57" s="24">
        <f t="shared" si="12"/>
        <v>1</v>
      </c>
      <c r="P57" s="716" t="s">
        <v>3138</v>
      </c>
      <c r="Q57" s="24">
        <f t="shared" si="13"/>
        <v>1.04</v>
      </c>
      <c r="R57" s="713" t="e">
        <f t="shared" si="14"/>
        <v>#REF!</v>
      </c>
      <c r="S57" s="361" t="e">
        <f t="shared" si="5"/>
        <v>#REF!</v>
      </c>
    </row>
    <row r="58" spans="1:19">
      <c r="A58" s="2990" t="e">
        <f>#REF!</f>
        <v>#REF!</v>
      </c>
      <c r="B58" s="2950" t="e">
        <f>#REF!</f>
        <v>#REF!</v>
      </c>
      <c r="C58" s="24" t="e">
        <f t="shared" si="6"/>
        <v>#REF!</v>
      </c>
      <c r="D58" s="716" t="s">
        <v>3133</v>
      </c>
      <c r="E58" s="24">
        <f t="shared" si="7"/>
        <v>1</v>
      </c>
      <c r="F58" s="716"/>
      <c r="G58" s="24">
        <f t="shared" si="8"/>
        <v>1</v>
      </c>
      <c r="H58" s="716"/>
      <c r="I58" s="24">
        <f t="shared" si="9"/>
        <v>1</v>
      </c>
      <c r="J58" s="716"/>
      <c r="K58" s="24">
        <f t="shared" si="10"/>
        <v>1</v>
      </c>
      <c r="L58" s="716"/>
      <c r="M58" s="24">
        <f t="shared" si="11"/>
        <v>1</v>
      </c>
      <c r="N58" s="716"/>
      <c r="O58" s="24">
        <f t="shared" si="12"/>
        <v>1</v>
      </c>
      <c r="P58" s="716" t="s">
        <v>3138</v>
      </c>
      <c r="Q58" s="24">
        <f t="shared" si="13"/>
        <v>1.04</v>
      </c>
      <c r="R58" s="713" t="e">
        <f t="shared" si="14"/>
        <v>#REF!</v>
      </c>
      <c r="S58" s="361" t="e">
        <f t="shared" si="5"/>
        <v>#REF!</v>
      </c>
    </row>
    <row r="59" spans="1:19">
      <c r="A59" s="2990" t="e">
        <f>#REF!</f>
        <v>#REF!</v>
      </c>
      <c r="B59" s="2950" t="e">
        <f>#REF!</f>
        <v>#REF!</v>
      </c>
      <c r="C59" s="24" t="e">
        <f t="shared" si="6"/>
        <v>#REF!</v>
      </c>
      <c r="D59" s="716" t="s">
        <v>3133</v>
      </c>
      <c r="E59" s="24">
        <f t="shared" si="7"/>
        <v>1</v>
      </c>
      <c r="F59" s="716"/>
      <c r="G59" s="24">
        <f t="shared" si="8"/>
        <v>1</v>
      </c>
      <c r="H59" s="716"/>
      <c r="I59" s="24">
        <f t="shared" si="9"/>
        <v>1</v>
      </c>
      <c r="J59" s="716"/>
      <c r="K59" s="24">
        <f t="shared" si="10"/>
        <v>1</v>
      </c>
      <c r="L59" s="716"/>
      <c r="M59" s="24">
        <f t="shared" si="11"/>
        <v>1</v>
      </c>
      <c r="N59" s="716"/>
      <c r="O59" s="24">
        <f t="shared" si="12"/>
        <v>1</v>
      </c>
      <c r="P59" s="716" t="s">
        <v>3138</v>
      </c>
      <c r="Q59" s="24">
        <f t="shared" si="13"/>
        <v>1.04</v>
      </c>
      <c r="R59" s="713" t="e">
        <f t="shared" si="14"/>
        <v>#REF!</v>
      </c>
      <c r="S59" s="361" t="e">
        <f t="shared" si="5"/>
        <v>#REF!</v>
      </c>
    </row>
    <row r="60" spans="1:19">
      <c r="A60" s="2990" t="e">
        <f>#REF!</f>
        <v>#REF!</v>
      </c>
      <c r="B60" s="2950" t="e">
        <f>#REF!</f>
        <v>#REF!</v>
      </c>
      <c r="C60" s="24" t="e">
        <f t="shared" si="6"/>
        <v>#REF!</v>
      </c>
      <c r="D60" s="716" t="s">
        <v>3133</v>
      </c>
      <c r="E60" s="24">
        <f t="shared" si="7"/>
        <v>1</v>
      </c>
      <c r="F60" s="716"/>
      <c r="G60" s="24">
        <f t="shared" si="8"/>
        <v>1</v>
      </c>
      <c r="H60" s="716"/>
      <c r="I60" s="24">
        <f t="shared" si="9"/>
        <v>1</v>
      </c>
      <c r="J60" s="716"/>
      <c r="K60" s="24">
        <f t="shared" si="10"/>
        <v>1</v>
      </c>
      <c r="L60" s="716"/>
      <c r="M60" s="24">
        <f t="shared" si="11"/>
        <v>1</v>
      </c>
      <c r="N60" s="716"/>
      <c r="O60" s="24">
        <f t="shared" si="12"/>
        <v>1</v>
      </c>
      <c r="P60" s="716" t="s">
        <v>3138</v>
      </c>
      <c r="Q60" s="24">
        <f t="shared" si="13"/>
        <v>1.04</v>
      </c>
      <c r="R60" s="713" t="e">
        <f t="shared" si="14"/>
        <v>#REF!</v>
      </c>
      <c r="S60" s="361" t="e">
        <f t="shared" si="5"/>
        <v>#REF!</v>
      </c>
    </row>
    <row r="61" spans="1:19">
      <c r="A61" s="2990" t="e">
        <f>#REF!</f>
        <v>#REF!</v>
      </c>
      <c r="B61" s="2950" t="e">
        <f>#REF!</f>
        <v>#REF!</v>
      </c>
      <c r="C61" s="24" t="e">
        <f t="shared" si="6"/>
        <v>#REF!</v>
      </c>
      <c r="D61" s="716" t="s">
        <v>3133</v>
      </c>
      <c r="E61" s="24">
        <f t="shared" si="7"/>
        <v>1</v>
      </c>
      <c r="F61" s="716"/>
      <c r="G61" s="24">
        <f t="shared" si="8"/>
        <v>1</v>
      </c>
      <c r="H61" s="716"/>
      <c r="I61" s="24">
        <f t="shared" si="9"/>
        <v>1</v>
      </c>
      <c r="J61" s="716"/>
      <c r="K61" s="24">
        <f t="shared" si="10"/>
        <v>1</v>
      </c>
      <c r="L61" s="716"/>
      <c r="M61" s="24">
        <f t="shared" si="11"/>
        <v>1</v>
      </c>
      <c r="N61" s="716"/>
      <c r="O61" s="24">
        <f t="shared" si="12"/>
        <v>1</v>
      </c>
      <c r="P61" s="716" t="s">
        <v>3138</v>
      </c>
      <c r="Q61" s="24">
        <f t="shared" si="13"/>
        <v>1.04</v>
      </c>
      <c r="R61" s="713" t="e">
        <f t="shared" si="14"/>
        <v>#REF!</v>
      </c>
      <c r="S61" s="361" t="e">
        <f t="shared" si="5"/>
        <v>#REF!</v>
      </c>
    </row>
    <row r="62" spans="1:19">
      <c r="A62" s="2990" t="e">
        <f>#REF!</f>
        <v>#REF!</v>
      </c>
      <c r="B62" s="2950" t="e">
        <f>#REF!</f>
        <v>#REF!</v>
      </c>
      <c r="C62" s="24" t="e">
        <f t="shared" si="6"/>
        <v>#REF!</v>
      </c>
      <c r="D62" s="716" t="s">
        <v>3133</v>
      </c>
      <c r="E62" s="24">
        <f t="shared" si="7"/>
        <v>1</v>
      </c>
      <c r="F62" s="716"/>
      <c r="G62" s="24">
        <f t="shared" si="8"/>
        <v>1</v>
      </c>
      <c r="H62" s="716"/>
      <c r="I62" s="24">
        <f t="shared" si="9"/>
        <v>1</v>
      </c>
      <c r="J62" s="716"/>
      <c r="K62" s="24">
        <f t="shared" si="10"/>
        <v>1</v>
      </c>
      <c r="L62" s="716"/>
      <c r="M62" s="24">
        <f t="shared" si="11"/>
        <v>1</v>
      </c>
      <c r="N62" s="716"/>
      <c r="O62" s="24">
        <f t="shared" si="12"/>
        <v>1</v>
      </c>
      <c r="P62" s="716" t="s">
        <v>3138</v>
      </c>
      <c r="Q62" s="24">
        <f t="shared" si="13"/>
        <v>1.04</v>
      </c>
      <c r="R62" s="713" t="e">
        <f t="shared" si="14"/>
        <v>#REF!</v>
      </c>
      <c r="S62" s="361" t="e">
        <f t="shared" si="5"/>
        <v>#REF!</v>
      </c>
    </row>
    <row r="63" spans="1:19">
      <c r="A63" s="2990" t="e">
        <f>#REF!</f>
        <v>#REF!</v>
      </c>
      <c r="B63" s="2950" t="e">
        <f>#REF!</f>
        <v>#REF!</v>
      </c>
      <c r="C63" s="24" t="e">
        <f t="shared" si="6"/>
        <v>#REF!</v>
      </c>
      <c r="D63" s="716" t="s">
        <v>3133</v>
      </c>
      <c r="E63" s="24">
        <f t="shared" si="7"/>
        <v>1</v>
      </c>
      <c r="F63" s="716"/>
      <c r="G63" s="24">
        <f t="shared" si="8"/>
        <v>1</v>
      </c>
      <c r="H63" s="716"/>
      <c r="I63" s="24">
        <f t="shared" si="9"/>
        <v>1</v>
      </c>
      <c r="J63" s="716"/>
      <c r="K63" s="24">
        <f t="shared" si="10"/>
        <v>1</v>
      </c>
      <c r="L63" s="716"/>
      <c r="M63" s="24">
        <f t="shared" si="11"/>
        <v>1</v>
      </c>
      <c r="N63" s="716"/>
      <c r="O63" s="24">
        <f t="shared" si="12"/>
        <v>1</v>
      </c>
      <c r="P63" s="716" t="s">
        <v>3138</v>
      </c>
      <c r="Q63" s="24">
        <f t="shared" si="13"/>
        <v>1.04</v>
      </c>
      <c r="R63" s="713" t="e">
        <f t="shared" si="14"/>
        <v>#REF!</v>
      </c>
      <c r="S63" s="361" t="e">
        <f t="shared" si="5"/>
        <v>#REF!</v>
      </c>
    </row>
    <row r="64" spans="1:19">
      <c r="A64" s="2990" t="e">
        <f>#REF!</f>
        <v>#REF!</v>
      </c>
      <c r="B64" s="2950" t="e">
        <f>#REF!</f>
        <v>#REF!</v>
      </c>
      <c r="C64" s="24" t="e">
        <f t="shared" si="6"/>
        <v>#REF!</v>
      </c>
      <c r="D64" s="716" t="s">
        <v>3133</v>
      </c>
      <c r="E64" s="24">
        <f t="shared" si="7"/>
        <v>1</v>
      </c>
      <c r="F64" s="716"/>
      <c r="G64" s="24">
        <f t="shared" si="8"/>
        <v>1</v>
      </c>
      <c r="H64" s="716"/>
      <c r="I64" s="24">
        <f t="shared" si="9"/>
        <v>1</v>
      </c>
      <c r="J64" s="716"/>
      <c r="K64" s="24">
        <f t="shared" si="10"/>
        <v>1</v>
      </c>
      <c r="L64" s="716"/>
      <c r="M64" s="24">
        <f t="shared" si="11"/>
        <v>1</v>
      </c>
      <c r="N64" s="716"/>
      <c r="O64" s="24">
        <f t="shared" si="12"/>
        <v>1</v>
      </c>
      <c r="P64" s="716" t="s">
        <v>3138</v>
      </c>
      <c r="Q64" s="24">
        <f t="shared" si="13"/>
        <v>1.04</v>
      </c>
      <c r="R64" s="713" t="e">
        <f t="shared" si="14"/>
        <v>#REF!</v>
      </c>
      <c r="S64" s="361" t="e">
        <f t="shared" si="5"/>
        <v>#REF!</v>
      </c>
    </row>
    <row r="65" spans="1:19">
      <c r="A65" s="2990" t="e">
        <f>#REF!</f>
        <v>#REF!</v>
      </c>
      <c r="B65" s="2950" t="e">
        <f>#REF!</f>
        <v>#REF!</v>
      </c>
      <c r="C65" s="24" t="e">
        <f t="shared" si="6"/>
        <v>#REF!</v>
      </c>
      <c r="D65" s="716" t="s">
        <v>3133</v>
      </c>
      <c r="E65" s="24">
        <f t="shared" si="7"/>
        <v>1</v>
      </c>
      <c r="F65" s="716"/>
      <c r="G65" s="24">
        <f t="shared" si="8"/>
        <v>1</v>
      </c>
      <c r="H65" s="716"/>
      <c r="I65" s="24">
        <f t="shared" si="9"/>
        <v>1</v>
      </c>
      <c r="J65" s="716"/>
      <c r="K65" s="24">
        <f t="shared" si="10"/>
        <v>1</v>
      </c>
      <c r="L65" s="716"/>
      <c r="M65" s="24">
        <f t="shared" si="11"/>
        <v>1</v>
      </c>
      <c r="N65" s="716"/>
      <c r="O65" s="24">
        <f t="shared" si="12"/>
        <v>1</v>
      </c>
      <c r="P65" s="716" t="s">
        <v>3138</v>
      </c>
      <c r="Q65" s="24">
        <f t="shared" si="13"/>
        <v>1.04</v>
      </c>
      <c r="R65" s="713" t="e">
        <f t="shared" si="14"/>
        <v>#REF!</v>
      </c>
      <c r="S65" s="361" t="e">
        <f t="shared" si="5"/>
        <v>#REF!</v>
      </c>
    </row>
    <row r="66" spans="1:19">
      <c r="A66" s="2990" t="e">
        <f>#REF!</f>
        <v>#REF!</v>
      </c>
      <c r="B66" s="2950" t="e">
        <f>#REF!</f>
        <v>#REF!</v>
      </c>
      <c r="C66" s="24" t="e">
        <f t="shared" si="6"/>
        <v>#REF!</v>
      </c>
      <c r="D66" s="716" t="s">
        <v>3133</v>
      </c>
      <c r="E66" s="24">
        <f t="shared" si="7"/>
        <v>1</v>
      </c>
      <c r="F66" s="716"/>
      <c r="G66" s="24">
        <f t="shared" si="8"/>
        <v>1</v>
      </c>
      <c r="H66" s="716"/>
      <c r="I66" s="24">
        <f t="shared" si="9"/>
        <v>1</v>
      </c>
      <c r="J66" s="716"/>
      <c r="K66" s="24">
        <f t="shared" si="10"/>
        <v>1</v>
      </c>
      <c r="L66" s="716"/>
      <c r="M66" s="24">
        <f t="shared" si="11"/>
        <v>1</v>
      </c>
      <c r="N66" s="716"/>
      <c r="O66" s="24">
        <f t="shared" si="12"/>
        <v>1</v>
      </c>
      <c r="P66" s="716" t="s">
        <v>3138</v>
      </c>
      <c r="Q66" s="24">
        <f t="shared" si="13"/>
        <v>1.04</v>
      </c>
      <c r="R66" s="713" t="e">
        <f t="shared" si="14"/>
        <v>#REF!</v>
      </c>
      <c r="S66" s="361" t="e">
        <f t="shared" si="5"/>
        <v>#REF!</v>
      </c>
    </row>
    <row r="67" spans="1:19">
      <c r="A67" s="2990" t="e">
        <f>#REF!</f>
        <v>#REF!</v>
      </c>
      <c r="B67" s="2950" t="e">
        <f>#REF!</f>
        <v>#REF!</v>
      </c>
      <c r="C67" s="24" t="e">
        <f t="shared" si="6"/>
        <v>#REF!</v>
      </c>
      <c r="D67" s="716" t="s">
        <v>3133</v>
      </c>
      <c r="E67" s="24">
        <f t="shared" si="7"/>
        <v>1</v>
      </c>
      <c r="F67" s="716"/>
      <c r="G67" s="24">
        <f t="shared" si="8"/>
        <v>1</v>
      </c>
      <c r="H67" s="716"/>
      <c r="I67" s="24">
        <f t="shared" si="9"/>
        <v>1</v>
      </c>
      <c r="J67" s="716"/>
      <c r="K67" s="24">
        <f t="shared" si="10"/>
        <v>1</v>
      </c>
      <c r="L67" s="716"/>
      <c r="M67" s="24">
        <f t="shared" si="11"/>
        <v>1</v>
      </c>
      <c r="N67" s="716"/>
      <c r="O67" s="24">
        <f t="shared" si="12"/>
        <v>1</v>
      </c>
      <c r="P67" s="716" t="s">
        <v>3138</v>
      </c>
      <c r="Q67" s="24">
        <f t="shared" si="13"/>
        <v>1.04</v>
      </c>
      <c r="R67" s="713" t="e">
        <f t="shared" si="14"/>
        <v>#REF!</v>
      </c>
      <c r="S67" s="361" t="e">
        <f t="shared" si="5"/>
        <v>#REF!</v>
      </c>
    </row>
    <row r="68" spans="1:19">
      <c r="A68" s="2990" t="e">
        <f>#REF!</f>
        <v>#REF!</v>
      </c>
      <c r="B68" s="2950" t="e">
        <f>#REF!</f>
        <v>#REF!</v>
      </c>
      <c r="C68" s="24" t="e">
        <f t="shared" si="6"/>
        <v>#REF!</v>
      </c>
      <c r="D68" s="716" t="s">
        <v>3133</v>
      </c>
      <c r="E68" s="24">
        <f t="shared" si="7"/>
        <v>1</v>
      </c>
      <c r="F68" s="716"/>
      <c r="G68" s="24">
        <f t="shared" si="8"/>
        <v>1</v>
      </c>
      <c r="H68" s="716"/>
      <c r="I68" s="24">
        <f t="shared" si="9"/>
        <v>1</v>
      </c>
      <c r="J68" s="716"/>
      <c r="K68" s="24">
        <f t="shared" si="10"/>
        <v>1</v>
      </c>
      <c r="L68" s="716"/>
      <c r="M68" s="24">
        <f t="shared" si="11"/>
        <v>1</v>
      </c>
      <c r="N68" s="716"/>
      <c r="O68" s="24">
        <f t="shared" si="12"/>
        <v>1</v>
      </c>
      <c r="P68" s="716" t="s">
        <v>3138</v>
      </c>
      <c r="Q68" s="24">
        <f t="shared" si="13"/>
        <v>1.04</v>
      </c>
      <c r="R68" s="713" t="e">
        <f t="shared" si="14"/>
        <v>#REF!</v>
      </c>
      <c r="S68" s="361" t="e">
        <f t="shared" si="5"/>
        <v>#REF!</v>
      </c>
    </row>
    <row r="69" spans="1:19">
      <c r="A69" s="2990" t="e">
        <f>#REF!</f>
        <v>#REF!</v>
      </c>
      <c r="B69" s="2950" t="e">
        <f>#REF!</f>
        <v>#REF!</v>
      </c>
      <c r="C69" s="24" t="e">
        <f t="shared" si="6"/>
        <v>#REF!</v>
      </c>
      <c r="D69" s="716" t="s">
        <v>3133</v>
      </c>
      <c r="E69" s="24">
        <f t="shared" si="7"/>
        <v>1</v>
      </c>
      <c r="F69" s="716"/>
      <c r="G69" s="24">
        <f t="shared" si="8"/>
        <v>1</v>
      </c>
      <c r="H69" s="716"/>
      <c r="I69" s="24">
        <f t="shared" si="9"/>
        <v>1</v>
      </c>
      <c r="J69" s="716"/>
      <c r="K69" s="24">
        <f t="shared" si="10"/>
        <v>1</v>
      </c>
      <c r="L69" s="716"/>
      <c r="M69" s="24">
        <f t="shared" si="11"/>
        <v>1</v>
      </c>
      <c r="N69" s="716"/>
      <c r="O69" s="24">
        <f t="shared" si="12"/>
        <v>1</v>
      </c>
      <c r="P69" s="716" t="s">
        <v>3135</v>
      </c>
      <c r="Q69" s="24">
        <f t="shared" si="13"/>
        <v>1.08</v>
      </c>
      <c r="R69" s="713" t="e">
        <f t="shared" si="14"/>
        <v>#REF!</v>
      </c>
      <c r="S69" s="361" t="e">
        <f t="shared" si="5"/>
        <v>#REF!</v>
      </c>
    </row>
    <row r="70" spans="1:19">
      <c r="A70" s="2990" t="e">
        <f>#REF!</f>
        <v>#REF!</v>
      </c>
      <c r="B70" s="2950" t="e">
        <f>#REF!</f>
        <v>#REF!</v>
      </c>
      <c r="C70" s="24" t="e">
        <f t="shared" si="6"/>
        <v>#REF!</v>
      </c>
      <c r="D70" s="716" t="s">
        <v>3133</v>
      </c>
      <c r="E70" s="24">
        <f t="shared" si="7"/>
        <v>1</v>
      </c>
      <c r="F70" s="716"/>
      <c r="G70" s="24">
        <f t="shared" si="8"/>
        <v>1</v>
      </c>
      <c r="H70" s="716"/>
      <c r="I70" s="24">
        <f t="shared" si="9"/>
        <v>1</v>
      </c>
      <c r="J70" s="716"/>
      <c r="K70" s="24">
        <f t="shared" si="10"/>
        <v>1</v>
      </c>
      <c r="L70" s="716"/>
      <c r="M70" s="24">
        <f t="shared" si="11"/>
        <v>1</v>
      </c>
      <c r="N70" s="716"/>
      <c r="O70" s="24">
        <f t="shared" si="12"/>
        <v>1</v>
      </c>
      <c r="P70" s="716" t="s">
        <v>3135</v>
      </c>
      <c r="Q70" s="24">
        <f t="shared" si="13"/>
        <v>1.08</v>
      </c>
      <c r="R70" s="713" t="e">
        <f t="shared" si="14"/>
        <v>#REF!</v>
      </c>
      <c r="S70" s="361" t="e">
        <f t="shared" si="5"/>
        <v>#REF!</v>
      </c>
    </row>
    <row r="71" spans="1:19">
      <c r="A71" s="2990" t="e">
        <f>#REF!</f>
        <v>#REF!</v>
      </c>
      <c r="B71" s="2950" t="e">
        <f>#REF!</f>
        <v>#REF!</v>
      </c>
      <c r="C71" s="24" t="e">
        <f t="shared" si="6"/>
        <v>#REF!</v>
      </c>
      <c r="D71" s="716" t="s">
        <v>3133</v>
      </c>
      <c r="E71" s="24">
        <f t="shared" si="7"/>
        <v>1</v>
      </c>
      <c r="F71" s="716"/>
      <c r="G71" s="24">
        <f t="shared" si="8"/>
        <v>1</v>
      </c>
      <c r="H71" s="716"/>
      <c r="I71" s="24">
        <f t="shared" si="9"/>
        <v>1</v>
      </c>
      <c r="J71" s="716"/>
      <c r="K71" s="24">
        <f t="shared" si="10"/>
        <v>1</v>
      </c>
      <c r="L71" s="716"/>
      <c r="M71" s="24">
        <f t="shared" si="11"/>
        <v>1</v>
      </c>
      <c r="N71" s="716"/>
      <c r="O71" s="24">
        <f t="shared" si="12"/>
        <v>1</v>
      </c>
      <c r="P71" s="716" t="s">
        <v>3135</v>
      </c>
      <c r="Q71" s="24">
        <f t="shared" si="13"/>
        <v>1.08</v>
      </c>
      <c r="R71" s="713" t="e">
        <f t="shared" si="14"/>
        <v>#REF!</v>
      </c>
      <c r="S71" s="361" t="e">
        <f t="shared" si="5"/>
        <v>#REF!</v>
      </c>
    </row>
    <row r="72" spans="1:19">
      <c r="A72" s="2990" t="e">
        <f>#REF!</f>
        <v>#REF!</v>
      </c>
      <c r="B72" s="2950" t="e">
        <f>#REF!</f>
        <v>#REF!</v>
      </c>
      <c r="C72" s="24" t="e">
        <f t="shared" si="6"/>
        <v>#REF!</v>
      </c>
      <c r="D72" s="716" t="s">
        <v>3133</v>
      </c>
      <c r="E72" s="24">
        <f t="shared" si="7"/>
        <v>1</v>
      </c>
      <c r="F72" s="716"/>
      <c r="G72" s="24">
        <f t="shared" si="8"/>
        <v>1</v>
      </c>
      <c r="H72" s="716"/>
      <c r="I72" s="24">
        <f t="shared" si="9"/>
        <v>1</v>
      </c>
      <c r="J72" s="716"/>
      <c r="K72" s="24">
        <f t="shared" si="10"/>
        <v>1</v>
      </c>
      <c r="L72" s="716"/>
      <c r="M72" s="24">
        <f t="shared" si="11"/>
        <v>1</v>
      </c>
      <c r="N72" s="716"/>
      <c r="O72" s="24">
        <f t="shared" si="12"/>
        <v>1</v>
      </c>
      <c r="P72" s="716" t="s">
        <v>3135</v>
      </c>
      <c r="Q72" s="24">
        <f t="shared" si="13"/>
        <v>1.08</v>
      </c>
      <c r="R72" s="713" t="e">
        <f t="shared" si="14"/>
        <v>#REF!</v>
      </c>
      <c r="S72" s="361" t="e">
        <f t="shared" si="5"/>
        <v>#REF!</v>
      </c>
    </row>
    <row r="73" spans="1:19">
      <c r="A73" s="2990" t="e">
        <f>#REF!</f>
        <v>#REF!</v>
      </c>
      <c r="B73" s="2950" t="e">
        <f>#REF!</f>
        <v>#REF!</v>
      </c>
      <c r="C73" s="24" t="e">
        <f t="shared" si="6"/>
        <v>#REF!</v>
      </c>
      <c r="D73" s="716" t="s">
        <v>3133</v>
      </c>
      <c r="E73" s="24">
        <f t="shared" si="7"/>
        <v>1</v>
      </c>
      <c r="F73" s="716"/>
      <c r="G73" s="24">
        <f t="shared" si="8"/>
        <v>1</v>
      </c>
      <c r="H73" s="716"/>
      <c r="I73" s="24">
        <f t="shared" si="9"/>
        <v>1</v>
      </c>
      <c r="J73" s="716"/>
      <c r="K73" s="24">
        <f t="shared" si="10"/>
        <v>1</v>
      </c>
      <c r="L73" s="716"/>
      <c r="M73" s="24">
        <f t="shared" si="11"/>
        <v>1</v>
      </c>
      <c r="N73" s="716"/>
      <c r="O73" s="24">
        <f t="shared" si="12"/>
        <v>1</v>
      </c>
      <c r="P73" s="716" t="s">
        <v>3135</v>
      </c>
      <c r="Q73" s="24">
        <f t="shared" si="13"/>
        <v>1.08</v>
      </c>
      <c r="R73" s="713" t="e">
        <f t="shared" si="14"/>
        <v>#REF!</v>
      </c>
      <c r="S73" s="361" t="e">
        <f t="shared" si="5"/>
        <v>#REF!</v>
      </c>
    </row>
    <row r="74" spans="1:19">
      <c r="A74" s="2990" t="e">
        <f>#REF!</f>
        <v>#REF!</v>
      </c>
      <c r="B74" s="2950" t="e">
        <f>#REF!</f>
        <v>#REF!</v>
      </c>
      <c r="C74" s="24" t="e">
        <f t="shared" si="6"/>
        <v>#REF!</v>
      </c>
      <c r="D74" s="716" t="s">
        <v>3133</v>
      </c>
      <c r="E74" s="24">
        <f t="shared" si="7"/>
        <v>1</v>
      </c>
      <c r="F74" s="716"/>
      <c r="G74" s="24">
        <f t="shared" si="8"/>
        <v>1</v>
      </c>
      <c r="H74" s="716"/>
      <c r="I74" s="24">
        <f t="shared" si="9"/>
        <v>1</v>
      </c>
      <c r="J74" s="716"/>
      <c r="K74" s="24">
        <f t="shared" si="10"/>
        <v>1</v>
      </c>
      <c r="L74" s="716"/>
      <c r="M74" s="24">
        <f t="shared" si="11"/>
        <v>1</v>
      </c>
      <c r="N74" s="716"/>
      <c r="O74" s="24">
        <f t="shared" si="12"/>
        <v>1</v>
      </c>
      <c r="P74" s="716" t="s">
        <v>3135</v>
      </c>
      <c r="Q74" s="24">
        <f t="shared" si="13"/>
        <v>1.08</v>
      </c>
      <c r="R74" s="713" t="e">
        <f t="shared" si="14"/>
        <v>#REF!</v>
      </c>
      <c r="S74" s="361" t="e">
        <f t="shared" si="5"/>
        <v>#REF!</v>
      </c>
    </row>
    <row r="75" spans="1:19">
      <c r="A75" s="2990" t="e">
        <f>#REF!</f>
        <v>#REF!</v>
      </c>
      <c r="B75" s="2950" t="e">
        <f>#REF!</f>
        <v>#REF!</v>
      </c>
      <c r="C75" s="24" t="e">
        <f t="shared" si="6"/>
        <v>#REF!</v>
      </c>
      <c r="D75" s="716" t="s">
        <v>3133</v>
      </c>
      <c r="E75" s="24">
        <f t="shared" si="7"/>
        <v>1</v>
      </c>
      <c r="F75" s="716"/>
      <c r="G75" s="24">
        <f t="shared" si="8"/>
        <v>1</v>
      </c>
      <c r="H75" s="716"/>
      <c r="I75" s="24">
        <f t="shared" si="9"/>
        <v>1</v>
      </c>
      <c r="J75" s="716"/>
      <c r="K75" s="24">
        <f t="shared" si="10"/>
        <v>1</v>
      </c>
      <c r="L75" s="716"/>
      <c r="M75" s="24">
        <f t="shared" si="11"/>
        <v>1</v>
      </c>
      <c r="N75" s="716"/>
      <c r="O75" s="24">
        <f t="shared" si="12"/>
        <v>1</v>
      </c>
      <c r="P75" s="716" t="s">
        <v>3135</v>
      </c>
      <c r="Q75" s="24">
        <f t="shared" si="13"/>
        <v>1.08</v>
      </c>
      <c r="R75" s="713" t="e">
        <f t="shared" si="14"/>
        <v>#REF!</v>
      </c>
      <c r="S75" s="361" t="e">
        <f t="shared" si="5"/>
        <v>#REF!</v>
      </c>
    </row>
    <row r="76" spans="1:19">
      <c r="A76" s="2990" t="e">
        <f>#REF!</f>
        <v>#REF!</v>
      </c>
      <c r="B76" s="2950" t="e">
        <f>#REF!</f>
        <v>#REF!</v>
      </c>
      <c r="C76" s="24" t="e">
        <f t="shared" si="6"/>
        <v>#REF!</v>
      </c>
      <c r="D76" s="716" t="s">
        <v>3133</v>
      </c>
      <c r="E76" s="24">
        <f t="shared" si="7"/>
        <v>1</v>
      </c>
      <c r="F76" s="716"/>
      <c r="G76" s="24">
        <f t="shared" si="8"/>
        <v>1</v>
      </c>
      <c r="H76" s="716"/>
      <c r="I76" s="24">
        <f t="shared" si="9"/>
        <v>1</v>
      </c>
      <c r="J76" s="716"/>
      <c r="K76" s="24">
        <f t="shared" si="10"/>
        <v>1</v>
      </c>
      <c r="L76" s="716"/>
      <c r="M76" s="24">
        <f t="shared" si="11"/>
        <v>1</v>
      </c>
      <c r="N76" s="716"/>
      <c r="O76" s="24">
        <f t="shared" si="12"/>
        <v>1</v>
      </c>
      <c r="P76" s="716" t="s">
        <v>3135</v>
      </c>
      <c r="Q76" s="24">
        <f t="shared" si="13"/>
        <v>1.08</v>
      </c>
      <c r="R76" s="713" t="e">
        <f t="shared" si="14"/>
        <v>#REF!</v>
      </c>
      <c r="S76" s="361" t="e">
        <f t="shared" si="5"/>
        <v>#REF!</v>
      </c>
    </row>
    <row r="77" spans="1:19">
      <c r="A77" s="2990" t="e">
        <f>#REF!</f>
        <v>#REF!</v>
      </c>
      <c r="B77" s="2950" t="e">
        <f>#REF!</f>
        <v>#REF!</v>
      </c>
      <c r="C77" s="24" t="e">
        <f t="shared" si="6"/>
        <v>#REF!</v>
      </c>
      <c r="D77" s="716" t="s">
        <v>3133</v>
      </c>
      <c r="E77" s="24">
        <f t="shared" si="7"/>
        <v>1</v>
      </c>
      <c r="F77" s="716"/>
      <c r="G77" s="24">
        <f t="shared" si="8"/>
        <v>1</v>
      </c>
      <c r="H77" s="716"/>
      <c r="I77" s="24">
        <f t="shared" si="9"/>
        <v>1</v>
      </c>
      <c r="J77" s="716"/>
      <c r="K77" s="24">
        <f t="shared" si="10"/>
        <v>1</v>
      </c>
      <c r="L77" s="716"/>
      <c r="M77" s="24">
        <f t="shared" si="11"/>
        <v>1</v>
      </c>
      <c r="N77" s="716"/>
      <c r="O77" s="24">
        <f t="shared" si="12"/>
        <v>1</v>
      </c>
      <c r="P77" s="716" t="s">
        <v>3135</v>
      </c>
      <c r="Q77" s="24">
        <f t="shared" si="13"/>
        <v>1.08</v>
      </c>
      <c r="R77" s="713" t="e">
        <f t="shared" si="14"/>
        <v>#REF!</v>
      </c>
      <c r="S77" s="361" t="e">
        <f t="shared" si="5"/>
        <v>#REF!</v>
      </c>
    </row>
    <row r="78" spans="1:19">
      <c r="A78" s="2990" t="e">
        <f>#REF!</f>
        <v>#REF!</v>
      </c>
      <c r="B78" s="2950" t="e">
        <f>#REF!</f>
        <v>#REF!</v>
      </c>
      <c r="C78" s="24" t="e">
        <f t="shared" si="6"/>
        <v>#REF!</v>
      </c>
      <c r="D78" s="716" t="s">
        <v>3133</v>
      </c>
      <c r="E78" s="24">
        <f t="shared" si="7"/>
        <v>1</v>
      </c>
      <c r="F78" s="716"/>
      <c r="G78" s="24">
        <f t="shared" si="8"/>
        <v>1</v>
      </c>
      <c r="H78" s="716"/>
      <c r="I78" s="24">
        <f t="shared" si="9"/>
        <v>1</v>
      </c>
      <c r="J78" s="716"/>
      <c r="K78" s="24">
        <f t="shared" si="10"/>
        <v>1</v>
      </c>
      <c r="L78" s="716"/>
      <c r="M78" s="24">
        <f t="shared" si="11"/>
        <v>1</v>
      </c>
      <c r="N78" s="716"/>
      <c r="O78" s="24">
        <f t="shared" si="12"/>
        <v>1</v>
      </c>
      <c r="P78" s="716" t="s">
        <v>3135</v>
      </c>
      <c r="Q78" s="24">
        <f t="shared" si="13"/>
        <v>1.08</v>
      </c>
      <c r="R78" s="713" t="e">
        <f t="shared" si="14"/>
        <v>#REF!</v>
      </c>
      <c r="S78" s="361" t="e">
        <f t="shared" si="5"/>
        <v>#REF!</v>
      </c>
    </row>
    <row r="79" spans="1:19">
      <c r="A79" s="2990" t="e">
        <f>#REF!</f>
        <v>#REF!</v>
      </c>
      <c r="B79" s="2950" t="e">
        <f>#REF!</f>
        <v>#REF!</v>
      </c>
      <c r="C79" s="24" t="e">
        <f t="shared" si="6"/>
        <v>#REF!</v>
      </c>
      <c r="D79" s="716" t="s">
        <v>3133</v>
      </c>
      <c r="E79" s="24">
        <f t="shared" si="7"/>
        <v>1</v>
      </c>
      <c r="F79" s="716"/>
      <c r="G79" s="24">
        <f t="shared" si="8"/>
        <v>1</v>
      </c>
      <c r="H79" s="716"/>
      <c r="I79" s="24">
        <f t="shared" si="9"/>
        <v>1</v>
      </c>
      <c r="J79" s="716"/>
      <c r="K79" s="24">
        <f t="shared" si="10"/>
        <v>1</v>
      </c>
      <c r="L79" s="716"/>
      <c r="M79" s="24">
        <f t="shared" si="11"/>
        <v>1</v>
      </c>
      <c r="N79" s="716"/>
      <c r="O79" s="24">
        <f t="shared" si="12"/>
        <v>1</v>
      </c>
      <c r="P79" s="716" t="s">
        <v>3135</v>
      </c>
      <c r="Q79" s="24">
        <f t="shared" si="13"/>
        <v>1.08</v>
      </c>
      <c r="R79" s="713" t="e">
        <f t="shared" si="14"/>
        <v>#REF!</v>
      </c>
      <c r="S79" s="361" t="e">
        <f t="shared" si="5"/>
        <v>#REF!</v>
      </c>
    </row>
    <row r="80" spans="1:19">
      <c r="A80" s="2990" t="e">
        <f>#REF!</f>
        <v>#REF!</v>
      </c>
      <c r="B80" s="2950" t="e">
        <f>#REF!</f>
        <v>#REF!</v>
      </c>
      <c r="C80" s="24" t="e">
        <f t="shared" si="6"/>
        <v>#REF!</v>
      </c>
      <c r="D80" s="716" t="s">
        <v>3133</v>
      </c>
      <c r="E80" s="24">
        <f t="shared" si="7"/>
        <v>1</v>
      </c>
      <c r="F80" s="716"/>
      <c r="G80" s="24">
        <f t="shared" si="8"/>
        <v>1</v>
      </c>
      <c r="H80" s="716"/>
      <c r="I80" s="24">
        <f t="shared" si="9"/>
        <v>1</v>
      </c>
      <c r="J80" s="716"/>
      <c r="K80" s="24">
        <f t="shared" si="10"/>
        <v>1</v>
      </c>
      <c r="L80" s="716"/>
      <c r="M80" s="24">
        <f t="shared" si="11"/>
        <v>1</v>
      </c>
      <c r="N80" s="716"/>
      <c r="O80" s="24">
        <f t="shared" si="12"/>
        <v>1</v>
      </c>
      <c r="P80" s="716" t="s">
        <v>3135</v>
      </c>
      <c r="Q80" s="24">
        <f t="shared" si="13"/>
        <v>1.08</v>
      </c>
      <c r="R80" s="713" t="e">
        <f t="shared" si="14"/>
        <v>#REF!</v>
      </c>
      <c r="S80" s="361" t="e">
        <f t="shared" si="5"/>
        <v>#REF!</v>
      </c>
    </row>
    <row r="81" spans="1:19">
      <c r="A81" s="2990" t="e">
        <f>#REF!</f>
        <v>#REF!</v>
      </c>
      <c r="B81" s="2950" t="e">
        <f>#REF!</f>
        <v>#REF!</v>
      </c>
      <c r="C81" s="24" t="e">
        <f t="shared" si="6"/>
        <v>#REF!</v>
      </c>
      <c r="D81" s="716" t="s">
        <v>3133</v>
      </c>
      <c r="E81" s="24">
        <f t="shared" si="7"/>
        <v>1</v>
      </c>
      <c r="F81" s="716"/>
      <c r="G81" s="24">
        <f t="shared" si="8"/>
        <v>1</v>
      </c>
      <c r="H81" s="716"/>
      <c r="I81" s="24">
        <f t="shared" si="9"/>
        <v>1</v>
      </c>
      <c r="J81" s="716"/>
      <c r="K81" s="24">
        <f t="shared" si="10"/>
        <v>1</v>
      </c>
      <c r="L81" s="716"/>
      <c r="M81" s="24">
        <f t="shared" si="11"/>
        <v>1</v>
      </c>
      <c r="N81" s="716"/>
      <c r="O81" s="24">
        <f t="shared" si="12"/>
        <v>1</v>
      </c>
      <c r="P81" s="716" t="s">
        <v>3135</v>
      </c>
      <c r="Q81" s="24">
        <f t="shared" si="13"/>
        <v>1.08</v>
      </c>
      <c r="R81" s="713" t="e">
        <f t="shared" si="14"/>
        <v>#REF!</v>
      </c>
      <c r="S81" s="361" t="e">
        <f t="shared" si="5"/>
        <v>#REF!</v>
      </c>
    </row>
    <row r="82" spans="1:19">
      <c r="A82" s="2990" t="e">
        <f>#REF!</f>
        <v>#REF!</v>
      </c>
      <c r="B82" s="2950" t="e">
        <f>#REF!</f>
        <v>#REF!</v>
      </c>
      <c r="C82" s="24" t="e">
        <f t="shared" si="6"/>
        <v>#REF!</v>
      </c>
      <c r="D82" s="716" t="s">
        <v>3133</v>
      </c>
      <c r="E82" s="24">
        <f t="shared" si="7"/>
        <v>1</v>
      </c>
      <c r="F82" s="716"/>
      <c r="G82" s="24">
        <f t="shared" si="8"/>
        <v>1</v>
      </c>
      <c r="H82" s="716"/>
      <c r="I82" s="24">
        <f t="shared" si="9"/>
        <v>1</v>
      </c>
      <c r="J82" s="716"/>
      <c r="K82" s="24">
        <f t="shared" si="10"/>
        <v>1</v>
      </c>
      <c r="L82" s="716"/>
      <c r="M82" s="24">
        <f t="shared" si="11"/>
        <v>1</v>
      </c>
      <c r="N82" s="716"/>
      <c r="O82" s="24">
        <f t="shared" si="12"/>
        <v>1</v>
      </c>
      <c r="P82" s="716" t="s">
        <v>3135</v>
      </c>
      <c r="Q82" s="24">
        <f t="shared" si="13"/>
        <v>1.08</v>
      </c>
      <c r="R82" s="713" t="e">
        <f t="shared" si="14"/>
        <v>#REF!</v>
      </c>
      <c r="S82" s="361" t="e">
        <f t="shared" si="5"/>
        <v>#REF!</v>
      </c>
    </row>
    <row r="83" spans="1:19">
      <c r="A83" s="2990" t="e">
        <f>#REF!</f>
        <v>#REF!</v>
      </c>
      <c r="B83" s="2950" t="e">
        <f>#REF!</f>
        <v>#REF!</v>
      </c>
      <c r="C83" s="24" t="e">
        <f t="shared" si="6"/>
        <v>#REF!</v>
      </c>
      <c r="D83" s="716" t="s">
        <v>3133</v>
      </c>
      <c r="E83" s="24">
        <f t="shared" si="7"/>
        <v>1</v>
      </c>
      <c r="F83" s="716"/>
      <c r="G83" s="24">
        <f t="shared" si="8"/>
        <v>1</v>
      </c>
      <c r="H83" s="716"/>
      <c r="I83" s="24">
        <f t="shared" si="9"/>
        <v>1</v>
      </c>
      <c r="J83" s="716"/>
      <c r="K83" s="24">
        <f t="shared" si="10"/>
        <v>1</v>
      </c>
      <c r="L83" s="716"/>
      <c r="M83" s="24">
        <f t="shared" si="11"/>
        <v>1</v>
      </c>
      <c r="N83" s="716"/>
      <c r="O83" s="24">
        <f t="shared" si="12"/>
        <v>1</v>
      </c>
      <c r="P83" s="716" t="s">
        <v>3135</v>
      </c>
      <c r="Q83" s="24">
        <f t="shared" si="13"/>
        <v>1.08</v>
      </c>
      <c r="R83" s="713" t="e">
        <f t="shared" si="14"/>
        <v>#REF!</v>
      </c>
      <c r="S83" s="361" t="e">
        <f t="shared" si="5"/>
        <v>#REF!</v>
      </c>
    </row>
    <row r="84" spans="1:19">
      <c r="A84" s="2990" t="e">
        <f>#REF!</f>
        <v>#REF!</v>
      </c>
      <c r="B84" s="2950" t="e">
        <f>#REF!</f>
        <v>#REF!</v>
      </c>
      <c r="C84" s="24" t="e">
        <f t="shared" si="6"/>
        <v>#REF!</v>
      </c>
      <c r="D84" s="716" t="s">
        <v>3133</v>
      </c>
      <c r="E84" s="24">
        <f t="shared" si="7"/>
        <v>1</v>
      </c>
      <c r="F84" s="716"/>
      <c r="G84" s="24">
        <f t="shared" si="8"/>
        <v>1</v>
      </c>
      <c r="H84" s="716"/>
      <c r="I84" s="24">
        <f t="shared" si="9"/>
        <v>1</v>
      </c>
      <c r="J84" s="716"/>
      <c r="K84" s="24">
        <f t="shared" si="10"/>
        <v>1</v>
      </c>
      <c r="L84" s="716"/>
      <c r="M84" s="24">
        <f t="shared" si="11"/>
        <v>1</v>
      </c>
      <c r="N84" s="716"/>
      <c r="O84" s="24">
        <f t="shared" si="12"/>
        <v>1</v>
      </c>
      <c r="P84" s="716" t="s">
        <v>3135</v>
      </c>
      <c r="Q84" s="24">
        <f t="shared" si="13"/>
        <v>1.08</v>
      </c>
      <c r="R84" s="713" t="e">
        <f t="shared" si="14"/>
        <v>#REF!</v>
      </c>
      <c r="S84" s="361" t="e">
        <f t="shared" si="5"/>
        <v>#REF!</v>
      </c>
    </row>
    <row r="85" spans="1:19">
      <c r="A85" s="2990" t="e">
        <f>#REF!</f>
        <v>#REF!</v>
      </c>
      <c r="B85" s="2950" t="e">
        <f>#REF!</f>
        <v>#REF!</v>
      </c>
      <c r="C85" s="24" t="e">
        <f t="shared" si="6"/>
        <v>#REF!</v>
      </c>
      <c r="D85" s="716" t="s">
        <v>3133</v>
      </c>
      <c r="E85" s="24">
        <f t="shared" si="7"/>
        <v>1</v>
      </c>
      <c r="F85" s="716"/>
      <c r="G85" s="24">
        <f t="shared" si="8"/>
        <v>1</v>
      </c>
      <c r="H85" s="716"/>
      <c r="I85" s="24">
        <f t="shared" si="9"/>
        <v>1</v>
      </c>
      <c r="J85" s="716"/>
      <c r="K85" s="24">
        <f t="shared" si="10"/>
        <v>1</v>
      </c>
      <c r="L85" s="716"/>
      <c r="M85" s="24">
        <f t="shared" si="11"/>
        <v>1</v>
      </c>
      <c r="N85" s="716"/>
      <c r="O85" s="24">
        <f t="shared" si="12"/>
        <v>1</v>
      </c>
      <c r="P85" s="716" t="s">
        <v>3135</v>
      </c>
      <c r="Q85" s="24">
        <f t="shared" si="13"/>
        <v>1.08</v>
      </c>
      <c r="R85" s="713" t="e">
        <f t="shared" si="14"/>
        <v>#REF!</v>
      </c>
      <c r="S85" s="361" t="e">
        <f t="shared" si="5"/>
        <v>#REF!</v>
      </c>
    </row>
    <row r="86" spans="1:19">
      <c r="A86" s="2990" t="e">
        <f>#REF!</f>
        <v>#REF!</v>
      </c>
      <c r="B86" s="2950" t="e">
        <f>#REF!</f>
        <v>#REF!</v>
      </c>
      <c r="C86" s="24" t="e">
        <f t="shared" si="6"/>
        <v>#REF!</v>
      </c>
      <c r="D86" s="716" t="s">
        <v>3133</v>
      </c>
      <c r="E86" s="24">
        <f t="shared" si="7"/>
        <v>1</v>
      </c>
      <c r="F86" s="716"/>
      <c r="G86" s="24">
        <f t="shared" si="8"/>
        <v>1</v>
      </c>
      <c r="H86" s="716"/>
      <c r="I86" s="24">
        <f t="shared" si="9"/>
        <v>1</v>
      </c>
      <c r="J86" s="716"/>
      <c r="K86" s="24">
        <f t="shared" si="10"/>
        <v>1</v>
      </c>
      <c r="L86" s="716"/>
      <c r="M86" s="24">
        <f t="shared" si="11"/>
        <v>1</v>
      </c>
      <c r="N86" s="716"/>
      <c r="O86" s="24">
        <f t="shared" si="12"/>
        <v>1</v>
      </c>
      <c r="P86" s="716" t="s">
        <v>3135</v>
      </c>
      <c r="Q86" s="24">
        <f t="shared" si="13"/>
        <v>1.08</v>
      </c>
      <c r="R86" s="713" t="e">
        <f t="shared" si="14"/>
        <v>#REF!</v>
      </c>
      <c r="S86" s="361" t="e">
        <f t="shared" si="5"/>
        <v>#REF!</v>
      </c>
    </row>
    <row r="87" spans="1:19">
      <c r="A87" s="2990" t="e">
        <f>#REF!</f>
        <v>#REF!</v>
      </c>
      <c r="B87" s="2950" t="e">
        <f>#REF!</f>
        <v>#REF!</v>
      </c>
      <c r="C87" s="24" t="e">
        <f t="shared" si="6"/>
        <v>#REF!</v>
      </c>
      <c r="D87" s="716" t="s">
        <v>3133</v>
      </c>
      <c r="E87" s="24">
        <f t="shared" si="7"/>
        <v>1</v>
      </c>
      <c r="F87" s="716"/>
      <c r="G87" s="24">
        <f t="shared" si="8"/>
        <v>1</v>
      </c>
      <c r="H87" s="716"/>
      <c r="I87" s="24">
        <f t="shared" si="9"/>
        <v>1</v>
      </c>
      <c r="J87" s="716"/>
      <c r="K87" s="24">
        <f t="shared" si="10"/>
        <v>1</v>
      </c>
      <c r="L87" s="716"/>
      <c r="M87" s="24">
        <f t="shared" si="11"/>
        <v>1</v>
      </c>
      <c r="N87" s="716"/>
      <c r="O87" s="24">
        <f t="shared" si="12"/>
        <v>1</v>
      </c>
      <c r="P87" s="716" t="s">
        <v>3135</v>
      </c>
      <c r="Q87" s="24">
        <f t="shared" si="13"/>
        <v>1.08</v>
      </c>
      <c r="R87" s="713" t="e">
        <f t="shared" si="14"/>
        <v>#REF!</v>
      </c>
      <c r="S87" s="361" t="e">
        <f t="shared" si="5"/>
        <v>#REF!</v>
      </c>
    </row>
    <row r="88" spans="1:19">
      <c r="A88" s="2990" t="e">
        <f>#REF!</f>
        <v>#REF!</v>
      </c>
      <c r="B88" s="2950" t="e">
        <f>#REF!</f>
        <v>#REF!</v>
      </c>
      <c r="C88" s="24" t="e">
        <f t="shared" si="6"/>
        <v>#REF!</v>
      </c>
      <c r="D88" s="716" t="s">
        <v>3133</v>
      </c>
      <c r="E88" s="24">
        <f t="shared" si="7"/>
        <v>1</v>
      </c>
      <c r="F88" s="716"/>
      <c r="G88" s="24">
        <f t="shared" si="8"/>
        <v>1</v>
      </c>
      <c r="H88" s="716"/>
      <c r="I88" s="24">
        <f t="shared" si="9"/>
        <v>1</v>
      </c>
      <c r="J88" s="716"/>
      <c r="K88" s="24">
        <f t="shared" si="10"/>
        <v>1</v>
      </c>
      <c r="L88" s="716"/>
      <c r="M88" s="24">
        <f t="shared" si="11"/>
        <v>1</v>
      </c>
      <c r="N88" s="716"/>
      <c r="O88" s="24">
        <f t="shared" si="12"/>
        <v>1</v>
      </c>
      <c r="P88" s="716" t="s">
        <v>3135</v>
      </c>
      <c r="Q88" s="24">
        <f t="shared" si="13"/>
        <v>1.08</v>
      </c>
      <c r="R88" s="713" t="e">
        <f t="shared" si="14"/>
        <v>#REF!</v>
      </c>
      <c r="S88" s="361" t="e">
        <f t="shared" ref="S88:S151" si="15">ROUND(R88*B88/10000,0)</f>
        <v>#REF!</v>
      </c>
    </row>
    <row r="89" spans="1:19">
      <c r="A89" s="2990" t="e">
        <f>#REF!</f>
        <v>#REF!</v>
      </c>
      <c r="B89" s="2950" t="e">
        <f>#REF!</f>
        <v>#REF!</v>
      </c>
      <c r="C89" s="24" t="e">
        <f t="shared" si="6"/>
        <v>#REF!</v>
      </c>
      <c r="D89" s="716" t="s">
        <v>3133</v>
      </c>
      <c r="E89" s="24">
        <f t="shared" si="7"/>
        <v>1</v>
      </c>
      <c r="F89" s="716"/>
      <c r="G89" s="24">
        <f t="shared" si="8"/>
        <v>1</v>
      </c>
      <c r="H89" s="716"/>
      <c r="I89" s="24">
        <f t="shared" si="9"/>
        <v>1</v>
      </c>
      <c r="J89" s="716"/>
      <c r="K89" s="24">
        <f t="shared" si="10"/>
        <v>1</v>
      </c>
      <c r="L89" s="716"/>
      <c r="M89" s="24">
        <f t="shared" si="11"/>
        <v>1</v>
      </c>
      <c r="N89" s="716"/>
      <c r="O89" s="24">
        <f t="shared" si="12"/>
        <v>1</v>
      </c>
      <c r="P89" s="716" t="s">
        <v>3135</v>
      </c>
      <c r="Q89" s="24">
        <f t="shared" si="13"/>
        <v>1.08</v>
      </c>
      <c r="R89" s="713" t="e">
        <f t="shared" si="14"/>
        <v>#REF!</v>
      </c>
      <c r="S89" s="361" t="e">
        <f t="shared" si="15"/>
        <v>#REF!</v>
      </c>
    </row>
    <row r="90" spans="1:19">
      <c r="A90" s="2990" t="e">
        <f>#REF!</f>
        <v>#REF!</v>
      </c>
      <c r="B90" s="2950" t="e">
        <f>#REF!</f>
        <v>#REF!</v>
      </c>
      <c r="C90" s="24" t="e">
        <f t="shared" ref="C90:C153" si="16">IF(B90="",1,(LOOKUP(B90,$3:$3,$4:$4)-LOOKUP($B$24,$3:$3,$4:$4)+100)/100)</f>
        <v>#REF!</v>
      </c>
      <c r="D90" s="716" t="s">
        <v>3133</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3135</v>
      </c>
      <c r="Q90" s="24">
        <f t="shared" ref="Q90:Q153" si="23">(SUMIF($17:$17,P90,$18:$18)-SUMIF($17:$17,$P$24,$18:$18)+100)/100</f>
        <v>1.08</v>
      </c>
      <c r="R90" s="713" t="e">
        <f t="shared" ref="R90:R153" si="24">IF(B90="",0,ROUND($R$24*C90*E90*G90*I90*K90*M90*O90*Q90,0))</f>
        <v>#REF!</v>
      </c>
      <c r="S90" s="361" t="e">
        <f t="shared" si="15"/>
        <v>#REF!</v>
      </c>
    </row>
    <row r="91" spans="1:19">
      <c r="A91" s="2990" t="e">
        <f>#REF!</f>
        <v>#REF!</v>
      </c>
      <c r="B91" s="2950" t="e">
        <f>#REF!</f>
        <v>#REF!</v>
      </c>
      <c r="C91" s="24" t="e">
        <f t="shared" si="16"/>
        <v>#REF!</v>
      </c>
      <c r="D91" s="716" t="s">
        <v>3133</v>
      </c>
      <c r="E91" s="24">
        <f t="shared" si="17"/>
        <v>1</v>
      </c>
      <c r="F91" s="716"/>
      <c r="G91" s="24">
        <f t="shared" si="18"/>
        <v>1</v>
      </c>
      <c r="H91" s="716"/>
      <c r="I91" s="24">
        <f t="shared" si="19"/>
        <v>1</v>
      </c>
      <c r="J91" s="716"/>
      <c r="K91" s="24">
        <f t="shared" si="20"/>
        <v>1</v>
      </c>
      <c r="L91" s="716"/>
      <c r="M91" s="24">
        <f t="shared" si="21"/>
        <v>1</v>
      </c>
      <c r="N91" s="716"/>
      <c r="O91" s="24">
        <f t="shared" si="22"/>
        <v>1</v>
      </c>
      <c r="P91" s="716" t="s">
        <v>3135</v>
      </c>
      <c r="Q91" s="24">
        <f t="shared" si="23"/>
        <v>1.08</v>
      </c>
      <c r="R91" s="713" t="e">
        <f t="shared" si="24"/>
        <v>#REF!</v>
      </c>
      <c r="S91" s="361" t="e">
        <f t="shared" si="15"/>
        <v>#REF!</v>
      </c>
    </row>
    <row r="92" spans="1:19">
      <c r="A92" s="2990" t="e">
        <f>#REF!</f>
        <v>#REF!</v>
      </c>
      <c r="B92" s="2950" t="e">
        <f>#REF!</f>
        <v>#REF!</v>
      </c>
      <c r="C92" s="24" t="e">
        <f t="shared" si="16"/>
        <v>#REF!</v>
      </c>
      <c r="D92" s="716" t="s">
        <v>3133</v>
      </c>
      <c r="E92" s="24">
        <f t="shared" si="17"/>
        <v>1</v>
      </c>
      <c r="F92" s="716"/>
      <c r="G92" s="24">
        <f t="shared" si="18"/>
        <v>1</v>
      </c>
      <c r="H92" s="716"/>
      <c r="I92" s="24">
        <f t="shared" si="19"/>
        <v>1</v>
      </c>
      <c r="J92" s="716"/>
      <c r="K92" s="24">
        <f t="shared" si="20"/>
        <v>1</v>
      </c>
      <c r="L92" s="716"/>
      <c r="M92" s="24">
        <f t="shared" si="21"/>
        <v>1</v>
      </c>
      <c r="N92" s="716"/>
      <c r="O92" s="24">
        <f t="shared" si="22"/>
        <v>1</v>
      </c>
      <c r="P92" s="716" t="s">
        <v>3135</v>
      </c>
      <c r="Q92" s="24">
        <f t="shared" si="23"/>
        <v>1.08</v>
      </c>
      <c r="R92" s="713" t="e">
        <f t="shared" si="24"/>
        <v>#REF!</v>
      </c>
      <c r="S92" s="361" t="e">
        <f t="shared" si="15"/>
        <v>#REF!</v>
      </c>
    </row>
    <row r="93" spans="1:19">
      <c r="A93" s="2990" t="e">
        <f>#REF!</f>
        <v>#REF!</v>
      </c>
      <c r="B93" s="2950" t="e">
        <f>#REF!</f>
        <v>#REF!</v>
      </c>
      <c r="C93" s="24" t="e">
        <f t="shared" si="16"/>
        <v>#REF!</v>
      </c>
      <c r="D93" s="716" t="s">
        <v>3133</v>
      </c>
      <c r="E93" s="24">
        <f t="shared" si="17"/>
        <v>1</v>
      </c>
      <c r="F93" s="716"/>
      <c r="G93" s="24">
        <f t="shared" si="18"/>
        <v>1</v>
      </c>
      <c r="H93" s="716"/>
      <c r="I93" s="24">
        <f t="shared" si="19"/>
        <v>1</v>
      </c>
      <c r="J93" s="716"/>
      <c r="K93" s="24">
        <f t="shared" si="20"/>
        <v>1</v>
      </c>
      <c r="L93" s="716"/>
      <c r="M93" s="24">
        <f t="shared" si="21"/>
        <v>1</v>
      </c>
      <c r="N93" s="716"/>
      <c r="O93" s="24">
        <f t="shared" si="22"/>
        <v>1</v>
      </c>
      <c r="P93" s="716" t="s">
        <v>3135</v>
      </c>
      <c r="Q93" s="24">
        <f t="shared" si="23"/>
        <v>1.08</v>
      </c>
      <c r="R93" s="713" t="e">
        <f t="shared" si="24"/>
        <v>#REF!</v>
      </c>
      <c r="S93" s="361" t="e">
        <f t="shared" si="15"/>
        <v>#REF!</v>
      </c>
    </row>
    <row r="94" spans="1:19">
      <c r="A94" s="2990" t="e">
        <f>#REF!</f>
        <v>#REF!</v>
      </c>
      <c r="B94" s="2950" t="e">
        <f>#REF!</f>
        <v>#REF!</v>
      </c>
      <c r="C94" s="24" t="e">
        <f t="shared" si="16"/>
        <v>#REF!</v>
      </c>
      <c r="D94" s="716" t="s">
        <v>3133</v>
      </c>
      <c r="E94" s="24">
        <f t="shared" si="17"/>
        <v>1</v>
      </c>
      <c r="F94" s="716"/>
      <c r="G94" s="24">
        <f t="shared" si="18"/>
        <v>1</v>
      </c>
      <c r="H94" s="716"/>
      <c r="I94" s="24">
        <f t="shared" si="19"/>
        <v>1</v>
      </c>
      <c r="J94" s="716"/>
      <c r="K94" s="24">
        <f t="shared" si="20"/>
        <v>1</v>
      </c>
      <c r="L94" s="716"/>
      <c r="M94" s="24">
        <f t="shared" si="21"/>
        <v>1</v>
      </c>
      <c r="N94" s="716"/>
      <c r="O94" s="24">
        <f t="shared" si="22"/>
        <v>1</v>
      </c>
      <c r="P94" s="716" t="s">
        <v>3135</v>
      </c>
      <c r="Q94" s="24">
        <f t="shared" si="23"/>
        <v>1.08</v>
      </c>
      <c r="R94" s="713" t="e">
        <f t="shared" si="24"/>
        <v>#REF!</v>
      </c>
      <c r="S94" s="361" t="e">
        <f t="shared" si="15"/>
        <v>#REF!</v>
      </c>
    </row>
    <row r="95" spans="1:19">
      <c r="A95" s="2990" t="e">
        <f>#REF!</f>
        <v>#REF!</v>
      </c>
      <c r="B95" s="2950" t="e">
        <f>#REF!</f>
        <v>#REF!</v>
      </c>
      <c r="C95" s="24" t="e">
        <f t="shared" si="16"/>
        <v>#REF!</v>
      </c>
      <c r="D95" s="716" t="s">
        <v>3133</v>
      </c>
      <c r="E95" s="24">
        <f t="shared" si="17"/>
        <v>1</v>
      </c>
      <c r="F95" s="716"/>
      <c r="G95" s="24">
        <f t="shared" si="18"/>
        <v>1</v>
      </c>
      <c r="H95" s="716"/>
      <c r="I95" s="24">
        <f t="shared" si="19"/>
        <v>1</v>
      </c>
      <c r="J95" s="716"/>
      <c r="K95" s="24">
        <f t="shared" si="20"/>
        <v>1</v>
      </c>
      <c r="L95" s="716"/>
      <c r="M95" s="24">
        <f t="shared" si="21"/>
        <v>1</v>
      </c>
      <c r="N95" s="716"/>
      <c r="O95" s="24">
        <f t="shared" si="22"/>
        <v>1</v>
      </c>
      <c r="P95" s="716" t="s">
        <v>3135</v>
      </c>
      <c r="Q95" s="24">
        <f t="shared" si="23"/>
        <v>1.08</v>
      </c>
      <c r="R95" s="713" t="e">
        <f t="shared" si="24"/>
        <v>#REF!</v>
      </c>
      <c r="S95" s="361" t="e">
        <f t="shared" si="15"/>
        <v>#REF!</v>
      </c>
    </row>
    <row r="96" spans="1:19">
      <c r="A96" s="2990" t="e">
        <f>#REF!</f>
        <v>#REF!</v>
      </c>
      <c r="B96" s="2950" t="e">
        <f>#REF!</f>
        <v>#REF!</v>
      </c>
      <c r="C96" s="24" t="e">
        <f t="shared" si="16"/>
        <v>#REF!</v>
      </c>
      <c r="D96" s="716" t="s">
        <v>3133</v>
      </c>
      <c r="E96" s="24">
        <f t="shared" si="17"/>
        <v>1</v>
      </c>
      <c r="F96" s="716"/>
      <c r="G96" s="24">
        <f t="shared" si="18"/>
        <v>1</v>
      </c>
      <c r="H96" s="716"/>
      <c r="I96" s="24">
        <f t="shared" si="19"/>
        <v>1</v>
      </c>
      <c r="J96" s="716"/>
      <c r="K96" s="24">
        <f t="shared" si="20"/>
        <v>1</v>
      </c>
      <c r="L96" s="716"/>
      <c r="M96" s="24">
        <f t="shared" si="21"/>
        <v>1</v>
      </c>
      <c r="N96" s="716"/>
      <c r="O96" s="24">
        <f t="shared" si="22"/>
        <v>1</v>
      </c>
      <c r="P96" s="716" t="s">
        <v>3135</v>
      </c>
      <c r="Q96" s="24">
        <f t="shared" si="23"/>
        <v>1.08</v>
      </c>
      <c r="R96" s="713" t="e">
        <f t="shared" si="24"/>
        <v>#REF!</v>
      </c>
      <c r="S96" s="361" t="e">
        <f t="shared" si="15"/>
        <v>#REF!</v>
      </c>
    </row>
    <row r="97" spans="1:19">
      <c r="A97" s="2990" t="e">
        <f>#REF!</f>
        <v>#REF!</v>
      </c>
      <c r="B97" s="2950" t="e">
        <f>#REF!</f>
        <v>#REF!</v>
      </c>
      <c r="C97" s="24" t="e">
        <f t="shared" si="16"/>
        <v>#REF!</v>
      </c>
      <c r="D97" s="716" t="s">
        <v>3133</v>
      </c>
      <c r="E97" s="24">
        <f t="shared" si="17"/>
        <v>1</v>
      </c>
      <c r="F97" s="716"/>
      <c r="G97" s="24">
        <f t="shared" si="18"/>
        <v>1</v>
      </c>
      <c r="H97" s="716"/>
      <c r="I97" s="24">
        <f t="shared" si="19"/>
        <v>1</v>
      </c>
      <c r="J97" s="716"/>
      <c r="K97" s="24">
        <f t="shared" si="20"/>
        <v>1</v>
      </c>
      <c r="L97" s="716"/>
      <c r="M97" s="24">
        <f t="shared" si="21"/>
        <v>1</v>
      </c>
      <c r="N97" s="716"/>
      <c r="O97" s="24">
        <f t="shared" si="22"/>
        <v>1</v>
      </c>
      <c r="P97" s="716" t="s">
        <v>3135</v>
      </c>
      <c r="Q97" s="24">
        <f t="shared" si="23"/>
        <v>1.08</v>
      </c>
      <c r="R97" s="713" t="e">
        <f t="shared" si="24"/>
        <v>#REF!</v>
      </c>
      <c r="S97" s="361" t="e">
        <f t="shared" si="15"/>
        <v>#REF!</v>
      </c>
    </row>
    <row r="98" spans="1:19">
      <c r="A98" s="2990" t="e">
        <f>#REF!</f>
        <v>#REF!</v>
      </c>
      <c r="B98" s="2950" t="e">
        <f>#REF!</f>
        <v>#REF!</v>
      </c>
      <c r="C98" s="24" t="e">
        <f t="shared" si="16"/>
        <v>#REF!</v>
      </c>
      <c r="D98" s="716" t="s">
        <v>3133</v>
      </c>
      <c r="E98" s="24">
        <f t="shared" si="17"/>
        <v>1</v>
      </c>
      <c r="F98" s="716"/>
      <c r="G98" s="24">
        <f t="shared" si="18"/>
        <v>1</v>
      </c>
      <c r="H98" s="716"/>
      <c r="I98" s="24">
        <f t="shared" si="19"/>
        <v>1</v>
      </c>
      <c r="J98" s="716"/>
      <c r="K98" s="24">
        <f t="shared" si="20"/>
        <v>1</v>
      </c>
      <c r="L98" s="716"/>
      <c r="M98" s="24">
        <f t="shared" si="21"/>
        <v>1</v>
      </c>
      <c r="N98" s="716"/>
      <c r="O98" s="24">
        <f t="shared" si="22"/>
        <v>1</v>
      </c>
      <c r="P98" s="716" t="s">
        <v>3135</v>
      </c>
      <c r="Q98" s="24">
        <f t="shared" si="23"/>
        <v>1.08</v>
      </c>
      <c r="R98" s="713" t="e">
        <f t="shared" si="24"/>
        <v>#REF!</v>
      </c>
      <c r="S98" s="361" t="e">
        <f t="shared" si="15"/>
        <v>#REF!</v>
      </c>
    </row>
    <row r="99" spans="1:19">
      <c r="A99" s="2990" t="e">
        <f>#REF!</f>
        <v>#REF!</v>
      </c>
      <c r="B99" s="2950" t="e">
        <f>#REF!</f>
        <v>#REF!</v>
      </c>
      <c r="C99" s="24" t="e">
        <f t="shared" si="16"/>
        <v>#REF!</v>
      </c>
      <c r="D99" s="716" t="s">
        <v>3133</v>
      </c>
      <c r="E99" s="24">
        <f t="shared" si="17"/>
        <v>1</v>
      </c>
      <c r="F99" s="716"/>
      <c r="G99" s="24">
        <f t="shared" si="18"/>
        <v>1</v>
      </c>
      <c r="H99" s="716"/>
      <c r="I99" s="24">
        <f t="shared" si="19"/>
        <v>1</v>
      </c>
      <c r="J99" s="716"/>
      <c r="K99" s="24">
        <f t="shared" si="20"/>
        <v>1</v>
      </c>
      <c r="L99" s="716"/>
      <c r="M99" s="24">
        <f t="shared" si="21"/>
        <v>1</v>
      </c>
      <c r="N99" s="716"/>
      <c r="O99" s="24">
        <f t="shared" si="22"/>
        <v>1</v>
      </c>
      <c r="P99" s="716" t="s">
        <v>3135</v>
      </c>
      <c r="Q99" s="24">
        <f t="shared" si="23"/>
        <v>1.08</v>
      </c>
      <c r="R99" s="713" t="e">
        <f t="shared" si="24"/>
        <v>#REF!</v>
      </c>
      <c r="S99" s="361" t="e">
        <f t="shared" si="15"/>
        <v>#REF!</v>
      </c>
    </row>
    <row r="100" spans="1:19">
      <c r="A100" s="2990" t="e">
        <f>#REF!</f>
        <v>#REF!</v>
      </c>
      <c r="B100" s="2950" t="e">
        <f>#REF!</f>
        <v>#REF!</v>
      </c>
      <c r="C100" s="24" t="e">
        <f t="shared" si="16"/>
        <v>#REF!</v>
      </c>
      <c r="D100" s="716" t="s">
        <v>3133</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3135</v>
      </c>
      <c r="Q100" s="24">
        <f t="shared" si="23"/>
        <v>1.08</v>
      </c>
      <c r="R100" s="713" t="e">
        <f t="shared" si="24"/>
        <v>#REF!</v>
      </c>
      <c r="S100" s="361" t="e">
        <f t="shared" si="15"/>
        <v>#REF!</v>
      </c>
    </row>
    <row r="101" spans="1:19">
      <c r="A101" s="2990" t="e">
        <f>#REF!</f>
        <v>#REF!</v>
      </c>
      <c r="B101" s="2950" t="e">
        <f>#REF!</f>
        <v>#REF!</v>
      </c>
      <c r="C101" s="24" t="e">
        <f t="shared" si="16"/>
        <v>#REF!</v>
      </c>
      <c r="D101" s="716" t="s">
        <v>3133</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3135</v>
      </c>
      <c r="Q101" s="24">
        <f t="shared" si="23"/>
        <v>1.08</v>
      </c>
      <c r="R101" s="713" t="e">
        <f t="shared" si="24"/>
        <v>#REF!</v>
      </c>
      <c r="S101" s="361" t="e">
        <f t="shared" si="15"/>
        <v>#REF!</v>
      </c>
    </row>
    <row r="102" spans="1:19">
      <c r="A102" s="2990" t="e">
        <f>#REF!</f>
        <v>#REF!</v>
      </c>
      <c r="B102" s="2950" t="e">
        <f>#REF!</f>
        <v>#REF!</v>
      </c>
      <c r="C102" s="24" t="e">
        <f t="shared" si="16"/>
        <v>#REF!</v>
      </c>
      <c r="D102" s="716" t="s">
        <v>3133</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3135</v>
      </c>
      <c r="Q102" s="24">
        <f t="shared" si="23"/>
        <v>1.08</v>
      </c>
      <c r="R102" s="713" t="e">
        <f t="shared" si="24"/>
        <v>#REF!</v>
      </c>
      <c r="S102" s="361" t="e">
        <f t="shared" si="15"/>
        <v>#REF!</v>
      </c>
    </row>
    <row r="103" spans="1:19">
      <c r="A103" s="2990" t="e">
        <f>#REF!</f>
        <v>#REF!</v>
      </c>
      <c r="B103" s="2950" t="e">
        <f>#REF!</f>
        <v>#REF!</v>
      </c>
      <c r="C103" s="24" t="e">
        <f t="shared" si="16"/>
        <v>#REF!</v>
      </c>
      <c r="D103" s="716" t="s">
        <v>3133</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3135</v>
      </c>
      <c r="Q103" s="24">
        <f t="shared" si="23"/>
        <v>1.08</v>
      </c>
      <c r="R103" s="713" t="e">
        <f t="shared" si="24"/>
        <v>#REF!</v>
      </c>
      <c r="S103" s="361" t="e">
        <f t="shared" si="15"/>
        <v>#REF!</v>
      </c>
    </row>
    <row r="104" spans="1:19">
      <c r="A104" s="2990" t="e">
        <f>#REF!</f>
        <v>#REF!</v>
      </c>
      <c r="B104" s="2950" t="e">
        <f>#REF!</f>
        <v>#REF!</v>
      </c>
      <c r="C104" s="24" t="e">
        <f t="shared" si="16"/>
        <v>#REF!</v>
      </c>
      <c r="D104" s="716" t="s">
        <v>3133</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3135</v>
      </c>
      <c r="Q104" s="24">
        <f t="shared" si="23"/>
        <v>1.08</v>
      </c>
      <c r="R104" s="713" t="e">
        <f t="shared" si="24"/>
        <v>#REF!</v>
      </c>
      <c r="S104" s="361" t="e">
        <f t="shared" si="15"/>
        <v>#REF!</v>
      </c>
    </row>
    <row r="105" spans="1:19">
      <c r="A105" s="2990" t="e">
        <f>#REF!</f>
        <v>#REF!</v>
      </c>
      <c r="B105" s="2950" t="e">
        <f>#REF!</f>
        <v>#REF!</v>
      </c>
      <c r="C105" s="24" t="e">
        <f t="shared" si="16"/>
        <v>#REF!</v>
      </c>
      <c r="D105" s="716" t="s">
        <v>3133</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3135</v>
      </c>
      <c r="Q105" s="24">
        <f t="shared" si="23"/>
        <v>1.08</v>
      </c>
      <c r="R105" s="713" t="e">
        <f t="shared" si="24"/>
        <v>#REF!</v>
      </c>
      <c r="S105" s="361" t="e">
        <f t="shared" si="15"/>
        <v>#REF!</v>
      </c>
    </row>
    <row r="106" spans="1:19">
      <c r="A106" s="2990" t="e">
        <f>#REF!</f>
        <v>#REF!</v>
      </c>
      <c r="B106" s="2950" t="e">
        <f>#REF!</f>
        <v>#REF!</v>
      </c>
      <c r="C106" s="24" t="e">
        <f t="shared" si="16"/>
        <v>#REF!</v>
      </c>
      <c r="D106" s="716" t="s">
        <v>3133</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3135</v>
      </c>
      <c r="Q106" s="24">
        <f t="shared" si="23"/>
        <v>1.08</v>
      </c>
      <c r="R106" s="713" t="e">
        <f t="shared" si="24"/>
        <v>#REF!</v>
      </c>
      <c r="S106" s="361" t="e">
        <f t="shared" si="15"/>
        <v>#REF!</v>
      </c>
    </row>
    <row r="107" spans="1:19">
      <c r="A107" s="2990" t="e">
        <f>#REF!</f>
        <v>#REF!</v>
      </c>
      <c r="B107" s="2950" t="e">
        <f>#REF!</f>
        <v>#REF!</v>
      </c>
      <c r="C107" s="24" t="e">
        <f t="shared" si="16"/>
        <v>#REF!</v>
      </c>
      <c r="D107" s="716" t="s">
        <v>3133</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3135</v>
      </c>
      <c r="Q107" s="24">
        <f t="shared" si="23"/>
        <v>1.08</v>
      </c>
      <c r="R107" s="713" t="e">
        <f t="shared" si="24"/>
        <v>#REF!</v>
      </c>
      <c r="S107" s="361" t="e">
        <f t="shared" si="15"/>
        <v>#REF!</v>
      </c>
    </row>
    <row r="108" spans="1:19">
      <c r="A108" s="2990" t="e">
        <f>#REF!</f>
        <v>#REF!</v>
      </c>
      <c r="B108" s="2950" t="e">
        <f>#REF!</f>
        <v>#REF!</v>
      </c>
      <c r="C108" s="24" t="e">
        <f t="shared" si="16"/>
        <v>#REF!</v>
      </c>
      <c r="D108" s="716" t="s">
        <v>3133</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3135</v>
      </c>
      <c r="Q108" s="24">
        <f t="shared" si="23"/>
        <v>1.08</v>
      </c>
      <c r="R108" s="713" t="e">
        <f t="shared" si="24"/>
        <v>#REF!</v>
      </c>
      <c r="S108" s="361" t="e">
        <f t="shared" si="15"/>
        <v>#REF!</v>
      </c>
    </row>
    <row r="109" spans="1:19">
      <c r="A109" s="2990" t="e">
        <f>#REF!</f>
        <v>#REF!</v>
      </c>
      <c r="B109" s="2950" t="e">
        <f>#REF!</f>
        <v>#REF!</v>
      </c>
      <c r="C109" s="24" t="e">
        <f t="shared" si="16"/>
        <v>#REF!</v>
      </c>
      <c r="D109" s="716" t="s">
        <v>3133</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3135</v>
      </c>
      <c r="Q109" s="24">
        <f t="shared" si="23"/>
        <v>1.08</v>
      </c>
      <c r="R109" s="713" t="e">
        <f t="shared" si="24"/>
        <v>#REF!</v>
      </c>
      <c r="S109" s="361" t="e">
        <f t="shared" si="15"/>
        <v>#REF!</v>
      </c>
    </row>
    <row r="110" spans="1:19">
      <c r="A110" s="2990" t="e">
        <f>#REF!</f>
        <v>#REF!</v>
      </c>
      <c r="B110" s="2950" t="e">
        <f>#REF!</f>
        <v>#REF!</v>
      </c>
      <c r="C110" s="24" t="e">
        <f t="shared" si="16"/>
        <v>#REF!</v>
      </c>
      <c r="D110" s="716" t="s">
        <v>3133</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3135</v>
      </c>
      <c r="Q110" s="24">
        <f t="shared" si="23"/>
        <v>1.08</v>
      </c>
      <c r="R110" s="713" t="e">
        <f t="shared" si="24"/>
        <v>#REF!</v>
      </c>
      <c r="S110" s="361" t="e">
        <f t="shared" si="15"/>
        <v>#REF!</v>
      </c>
    </row>
    <row r="111" spans="1:19">
      <c r="A111" s="2990" t="e">
        <f>#REF!</f>
        <v>#REF!</v>
      </c>
      <c r="B111" s="2950" t="e">
        <f>#REF!</f>
        <v>#REF!</v>
      </c>
      <c r="C111" s="24" t="e">
        <f t="shared" si="16"/>
        <v>#REF!</v>
      </c>
      <c r="D111" s="716" t="s">
        <v>3133</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3135</v>
      </c>
      <c r="Q111" s="24">
        <f t="shared" si="23"/>
        <v>1.08</v>
      </c>
      <c r="R111" s="713" t="e">
        <f t="shared" si="24"/>
        <v>#REF!</v>
      </c>
      <c r="S111" s="361" t="e">
        <f t="shared" si="15"/>
        <v>#REF!</v>
      </c>
    </row>
    <row r="112" spans="1:19">
      <c r="A112" s="2990" t="e">
        <f>#REF!</f>
        <v>#REF!</v>
      </c>
      <c r="B112" s="2950" t="e">
        <f>#REF!</f>
        <v>#REF!</v>
      </c>
      <c r="C112" s="24" t="e">
        <f t="shared" si="16"/>
        <v>#REF!</v>
      </c>
      <c r="D112" s="716" t="s">
        <v>3133</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3135</v>
      </c>
      <c r="Q112" s="24">
        <f t="shared" si="23"/>
        <v>1.08</v>
      </c>
      <c r="R112" s="713" t="e">
        <f t="shared" si="24"/>
        <v>#REF!</v>
      </c>
      <c r="S112" s="361" t="e">
        <f t="shared" si="15"/>
        <v>#REF!</v>
      </c>
    </row>
    <row r="113" spans="1:19">
      <c r="A113" s="2990" t="e">
        <f>#REF!</f>
        <v>#REF!</v>
      </c>
      <c r="B113" s="2950" t="e">
        <f>#REF!</f>
        <v>#REF!</v>
      </c>
      <c r="C113" s="24" t="e">
        <f t="shared" si="16"/>
        <v>#REF!</v>
      </c>
      <c r="D113" s="716" t="s">
        <v>3133</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3135</v>
      </c>
      <c r="Q113" s="24">
        <f t="shared" si="23"/>
        <v>1.08</v>
      </c>
      <c r="R113" s="713" t="e">
        <f t="shared" si="24"/>
        <v>#REF!</v>
      </c>
      <c r="S113" s="361" t="e">
        <f t="shared" si="15"/>
        <v>#REF!</v>
      </c>
    </row>
    <row r="114" spans="1:19">
      <c r="A114" s="2990" t="e">
        <f>#REF!</f>
        <v>#REF!</v>
      </c>
      <c r="B114" s="2950" t="e">
        <f>#REF!</f>
        <v>#REF!</v>
      </c>
      <c r="C114" s="24" t="e">
        <f t="shared" si="16"/>
        <v>#REF!</v>
      </c>
      <c r="D114" s="716" t="s">
        <v>3133</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3135</v>
      </c>
      <c r="Q114" s="24">
        <f t="shared" si="23"/>
        <v>1.08</v>
      </c>
      <c r="R114" s="713" t="e">
        <f t="shared" si="24"/>
        <v>#REF!</v>
      </c>
      <c r="S114" s="361" t="e">
        <f t="shared" si="15"/>
        <v>#REF!</v>
      </c>
    </row>
    <row r="115" spans="1:19">
      <c r="A115" s="2990" t="e">
        <f>#REF!</f>
        <v>#REF!</v>
      </c>
      <c r="B115" s="2950" t="e">
        <f>#REF!</f>
        <v>#REF!</v>
      </c>
      <c r="C115" s="24" t="e">
        <f t="shared" si="16"/>
        <v>#REF!</v>
      </c>
      <c r="D115" s="716" t="s">
        <v>3133</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3135</v>
      </c>
      <c r="Q115" s="24">
        <f t="shared" si="23"/>
        <v>1.08</v>
      </c>
      <c r="R115" s="713" t="e">
        <f t="shared" si="24"/>
        <v>#REF!</v>
      </c>
      <c r="S115" s="361" t="e">
        <f t="shared" si="15"/>
        <v>#REF!</v>
      </c>
    </row>
    <row r="116" spans="1:19">
      <c r="A116" s="2990" t="e">
        <f>#REF!</f>
        <v>#REF!</v>
      </c>
      <c r="B116" s="2950" t="e">
        <f>#REF!</f>
        <v>#REF!</v>
      </c>
      <c r="C116" s="24" t="e">
        <f t="shared" si="16"/>
        <v>#REF!</v>
      </c>
      <c r="D116" s="716" t="s">
        <v>3133</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3135</v>
      </c>
      <c r="Q116" s="24">
        <f t="shared" si="23"/>
        <v>1.08</v>
      </c>
      <c r="R116" s="713" t="e">
        <f t="shared" si="24"/>
        <v>#REF!</v>
      </c>
      <c r="S116" s="361" t="e">
        <f t="shared" si="15"/>
        <v>#REF!</v>
      </c>
    </row>
    <row r="117" spans="1:19">
      <c r="A117" s="2990" t="e">
        <f>#REF!</f>
        <v>#REF!</v>
      </c>
      <c r="B117" s="2950" t="e">
        <f>#REF!</f>
        <v>#REF!</v>
      </c>
      <c r="C117" s="24" t="e">
        <f t="shared" si="16"/>
        <v>#REF!</v>
      </c>
      <c r="D117" s="716" t="s">
        <v>3133</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3135</v>
      </c>
      <c r="Q117" s="24">
        <f t="shared" si="23"/>
        <v>1.08</v>
      </c>
      <c r="R117" s="713" t="e">
        <f t="shared" si="24"/>
        <v>#REF!</v>
      </c>
      <c r="S117" s="361" t="e">
        <f t="shared" si="15"/>
        <v>#REF!</v>
      </c>
    </row>
    <row r="118" spans="1:19">
      <c r="A118" s="2990" t="e">
        <f>#REF!</f>
        <v>#REF!</v>
      </c>
      <c r="B118" s="2950" t="e">
        <f>#REF!</f>
        <v>#REF!</v>
      </c>
      <c r="C118" s="24" t="e">
        <f t="shared" si="16"/>
        <v>#REF!</v>
      </c>
      <c r="D118" s="716" t="s">
        <v>3133</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3135</v>
      </c>
      <c r="Q118" s="24">
        <f t="shared" si="23"/>
        <v>1.08</v>
      </c>
      <c r="R118" s="713" t="e">
        <f t="shared" si="24"/>
        <v>#REF!</v>
      </c>
      <c r="S118" s="361" t="e">
        <f t="shared" si="15"/>
        <v>#REF!</v>
      </c>
    </row>
    <row r="119" spans="1:19">
      <c r="A119" s="2990" t="e">
        <f>#REF!</f>
        <v>#REF!</v>
      </c>
      <c r="B119" s="2950" t="e">
        <f>#REF!</f>
        <v>#REF!</v>
      </c>
      <c r="C119" s="24" t="e">
        <f t="shared" si="16"/>
        <v>#REF!</v>
      </c>
      <c r="D119" s="716" t="s">
        <v>3133</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3135</v>
      </c>
      <c r="Q119" s="24">
        <f t="shared" si="23"/>
        <v>1.08</v>
      </c>
      <c r="R119" s="713" t="e">
        <f t="shared" si="24"/>
        <v>#REF!</v>
      </c>
      <c r="S119" s="361" t="e">
        <f t="shared" si="15"/>
        <v>#REF!</v>
      </c>
    </row>
    <row r="120" spans="1:19">
      <c r="A120" s="2990" t="e">
        <f>#REF!</f>
        <v>#REF!</v>
      </c>
      <c r="B120" s="2950" t="e">
        <f>#REF!</f>
        <v>#REF!</v>
      </c>
      <c r="C120" s="24" t="e">
        <f t="shared" si="16"/>
        <v>#REF!</v>
      </c>
      <c r="D120" s="716" t="s">
        <v>3133</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3135</v>
      </c>
      <c r="Q120" s="24">
        <f t="shared" si="23"/>
        <v>1.08</v>
      </c>
      <c r="R120" s="713" t="e">
        <f t="shared" si="24"/>
        <v>#REF!</v>
      </c>
      <c r="S120" s="361" t="e">
        <f t="shared" si="15"/>
        <v>#REF!</v>
      </c>
    </row>
    <row r="121" spans="1:19">
      <c r="A121" s="2990" t="e">
        <f>#REF!</f>
        <v>#REF!</v>
      </c>
      <c r="B121" s="2950" t="e">
        <f>#REF!</f>
        <v>#REF!</v>
      </c>
      <c r="C121" s="24" t="e">
        <f t="shared" si="16"/>
        <v>#REF!</v>
      </c>
      <c r="D121" s="716" t="s">
        <v>3133</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3135</v>
      </c>
      <c r="Q121" s="24">
        <f t="shared" si="23"/>
        <v>1.08</v>
      </c>
      <c r="R121" s="713" t="e">
        <f t="shared" si="24"/>
        <v>#REF!</v>
      </c>
      <c r="S121" s="361" t="e">
        <f t="shared" si="15"/>
        <v>#REF!</v>
      </c>
    </row>
    <row r="122" spans="1:19">
      <c r="A122" s="2990" t="e">
        <f>#REF!</f>
        <v>#REF!</v>
      </c>
      <c r="B122" s="2950" t="e">
        <f>#REF!</f>
        <v>#REF!</v>
      </c>
      <c r="C122" s="24" t="e">
        <f t="shared" si="16"/>
        <v>#REF!</v>
      </c>
      <c r="D122" s="716" t="s">
        <v>3133</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3135</v>
      </c>
      <c r="Q122" s="24">
        <f t="shared" si="23"/>
        <v>1.08</v>
      </c>
      <c r="R122" s="713" t="e">
        <f t="shared" si="24"/>
        <v>#REF!</v>
      </c>
      <c r="S122" s="361" t="e">
        <f t="shared" si="15"/>
        <v>#REF!</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xr:uid="{00000000-0002-0000-2200-000000000000}">
      <formula1>估价方法</formula1>
    </dataValidation>
    <dataValidation type="list" allowBlank="1" showInputMessage="1" showErrorMessage="1" sqref="D20" xr:uid="{00000000-0002-0000-2200-000001000000}">
      <formula1>"需扣减承租人权益,——"</formula1>
    </dataValidation>
    <dataValidation type="list" allowBlank="1" showInputMessage="1" showErrorMessage="1" sqref="P24:P524" xr:uid="{00000000-0002-0000-2200-000002000000}">
      <formula1>一修多修正项8</formula1>
    </dataValidation>
    <dataValidation type="list" allowBlank="1" showInputMessage="1" showErrorMessage="1" sqref="N24:N524" xr:uid="{00000000-0002-0000-2200-000003000000}">
      <formula1>一修多修正项7</formula1>
    </dataValidation>
    <dataValidation type="list" allowBlank="1" showInputMessage="1" showErrorMessage="1" sqref="L24:L524" xr:uid="{00000000-0002-0000-2200-000004000000}">
      <formula1>一修多修正项6</formula1>
    </dataValidation>
    <dataValidation type="list" allowBlank="1" showInputMessage="1" showErrorMessage="1" sqref="J24:J524" xr:uid="{00000000-0002-0000-2200-000005000000}">
      <formula1>一修多修正项5</formula1>
    </dataValidation>
    <dataValidation type="list" allowBlank="1" showInputMessage="1" showErrorMessage="1" sqref="H24:H524" xr:uid="{00000000-0002-0000-2200-000006000000}">
      <formula1>一修多修正项4</formula1>
    </dataValidation>
    <dataValidation type="list" allowBlank="1" showInputMessage="1" showErrorMessage="1" sqref="F24:F524" xr:uid="{00000000-0002-0000-2200-000007000000}">
      <formula1>一修多修正项3</formula1>
    </dataValidation>
    <dataValidation type="list" allowBlank="1" showInputMessage="1" showErrorMessage="1" sqref="D24:D524" xr:uid="{00000000-0002-0000-2200-000008000000}">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topLeftCell="A19" zoomScale="85" zoomScaleNormal="85" zoomScaleSheetLayoutView="90" workbookViewId="0">
      <selection activeCell="I26" sqref="I26"/>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27</v>
      </c>
      <c r="D1" s="1798" t="s">
        <v>70</v>
      </c>
      <c r="E1" s="1799" t="s">
        <v>1371</v>
      </c>
      <c r="F1" s="1264">
        <f ca="1">J53</f>
        <v>28.16</v>
      </c>
      <c r="G1" s="1814">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f ca="1">C40+J29+L46</f>
        <v>240866</v>
      </c>
      <c r="C2" s="1823" t="s">
        <v>1500</v>
      </c>
      <c r="D2" s="1823"/>
      <c r="E2" s="1824"/>
      <c r="F2" s="1825"/>
      <c r="G2" s="1826"/>
      <c r="H2" s="1818"/>
      <c r="I2" s="1818"/>
      <c r="J2" s="1818"/>
      <c r="K2" s="1819"/>
      <c r="L2" s="1818"/>
      <c r="M2" s="1818"/>
    </row>
    <row r="3" spans="1:37" ht="18" customHeight="1" thickBot="1">
      <c r="A3" s="1827" t="s">
        <v>1501</v>
      </c>
      <c r="B3" s="1828">
        <f ca="1">IF(ISERROR(B2*10000/F43),0,ROUND(B2*10000/F43,0))</f>
        <v>29150</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f ca="1">C6+C10+C12</f>
        <v>15914</v>
      </c>
      <c r="D5" s="1800" t="s">
        <v>1386</v>
      </c>
      <c r="E5" s="1274"/>
      <c r="F5" s="1275"/>
      <c r="G5" s="1829"/>
      <c r="H5" s="344">
        <v>1</v>
      </c>
      <c r="I5" s="345" t="s">
        <v>1385</v>
      </c>
      <c r="J5" s="1273">
        <f ca="1">J6+J10+J12</f>
        <v>19568</v>
      </c>
      <c r="K5" s="1800" t="s">
        <v>1386</v>
      </c>
      <c r="L5" s="1274"/>
      <c r="M5" s="1275"/>
    </row>
    <row r="6" spans="1:37" ht="18" customHeight="1">
      <c r="A6" s="1272" t="s">
        <v>1032</v>
      </c>
      <c r="B6" s="3693" t="s">
        <v>1387</v>
      </c>
      <c r="C6" s="1277">
        <f ca="1">ROUND(F6*F8*F7*(1-F9)/10000,0)</f>
        <v>15894</v>
      </c>
      <c r="D6" s="164" t="s">
        <v>2999</v>
      </c>
      <c r="E6" s="347" t="s">
        <v>1389</v>
      </c>
      <c r="F6" s="348">
        <f ca="1">INDIRECT("'数据-取费表'!u"&amp;$G$1)</f>
        <v>5.27</v>
      </c>
      <c r="G6" s="1829"/>
      <c r="H6" s="1272" t="s">
        <v>1032</v>
      </c>
      <c r="I6" s="3693" t="s">
        <v>1387</v>
      </c>
      <c r="J6" s="346">
        <f ca="1">ROUND(M6*M8*M7*(1-M9)/10000,0)</f>
        <v>19544</v>
      </c>
      <c r="K6" s="164" t="s">
        <v>2998</v>
      </c>
      <c r="L6" s="347" t="s">
        <v>1389</v>
      </c>
      <c r="M6" s="348">
        <f ca="1">INDIRECT("'数据-取费表'!z"&amp;$G$1)</f>
        <v>7.2</v>
      </c>
    </row>
    <row r="7" spans="1:37" ht="18" customHeight="1">
      <c r="A7" s="1276"/>
      <c r="B7" s="3694"/>
      <c r="C7" s="1278"/>
      <c r="D7" s="352"/>
      <c r="E7" s="3388" t="s">
        <v>1390</v>
      </c>
      <c r="F7" s="348">
        <f ca="1">IF(INDIRECT("'数据-取费表'!ah"&amp;$G$1)="",INDIRECT("'数据-取费表'!k"&amp;$G$1),INDIRECT("'数据-取费表'!ah"&amp;$G$1))</f>
        <v>82629.64</v>
      </c>
      <c r="G7" s="1829"/>
      <c r="H7" s="349"/>
      <c r="I7" s="3694"/>
      <c r="J7" s="351"/>
      <c r="K7" s="352"/>
      <c r="L7" s="347" t="s">
        <v>1390</v>
      </c>
      <c r="M7" s="348">
        <f ca="1">F7</f>
        <v>82629.64</v>
      </c>
    </row>
    <row r="8" spans="1:37" ht="18" customHeight="1">
      <c r="A8" s="349"/>
      <c r="B8" s="3694"/>
      <c r="C8" s="351"/>
      <c r="D8" s="352"/>
      <c r="E8" s="347" t="s">
        <v>1391</v>
      </c>
      <c r="F8" s="348">
        <f ca="1">INDIRECT("'数据-取费表'!ai"&amp;$G$1)</f>
        <v>365</v>
      </c>
      <c r="G8" s="1829"/>
      <c r="H8" s="349"/>
      <c r="I8" s="3694"/>
      <c r="J8" s="351"/>
      <c r="K8" s="352"/>
      <c r="L8" s="347" t="s">
        <v>1391</v>
      </c>
      <c r="M8" s="348">
        <f ca="1">INDIRECT("'数据-取费表'!ai"&amp;$G$1)</f>
        <v>365</v>
      </c>
    </row>
    <row r="9" spans="1:37" ht="18" customHeight="1">
      <c r="A9" s="349"/>
      <c r="B9" s="3695"/>
      <c r="C9" s="351"/>
      <c r="D9" s="352"/>
      <c r="E9" s="347" t="s">
        <v>1392</v>
      </c>
      <c r="F9" s="357">
        <f ca="1">INDIRECT("'数据-取费表'!w"&amp;$G$1)</f>
        <v>0</v>
      </c>
      <c r="G9" s="1829"/>
      <c r="H9" s="349"/>
      <c r="I9" s="3695"/>
      <c r="J9" s="351"/>
      <c r="K9" s="352"/>
      <c r="L9" s="358" t="s">
        <v>1392</v>
      </c>
      <c r="M9" s="359">
        <f ca="1">INDIRECT("'数据-取费表'!ab"&amp;$G$1)</f>
        <v>0.1</v>
      </c>
    </row>
    <row r="10" spans="1:37" ht="18" customHeight="1">
      <c r="A10" s="1272" t="s">
        <v>1036</v>
      </c>
      <c r="B10" s="1801" t="s">
        <v>1393</v>
      </c>
      <c r="C10" s="361">
        <f ca="1">ROUND(IF(F10="押一",C6/12*F11,IF(F10="押二",C6/12*2*F11,IF(F10="押三",C6/12*3*F11,C11*F11))),0)</f>
        <v>20</v>
      </c>
      <c r="D10" s="1802" t="s">
        <v>3008</v>
      </c>
      <c r="E10" s="358" t="s">
        <v>1394</v>
      </c>
      <c r="F10" s="1347" t="s">
        <v>3039</v>
      </c>
      <c r="G10" s="1829"/>
      <c r="H10" s="1272" t="s">
        <v>1036</v>
      </c>
      <c r="I10" s="1801" t="s">
        <v>1393</v>
      </c>
      <c r="J10" s="346">
        <f ca="1">ROUND(IF(M10="押一",J6/12*M11,IF(M10="押二",J6/12*2*M11,IF(M10="押三",J6/12*3*M11,J11*M11))),0)</f>
        <v>24</v>
      </c>
      <c r="K10" s="1802" t="s">
        <v>3007</v>
      </c>
      <c r="L10" s="358" t="s">
        <v>1394</v>
      </c>
      <c r="M10" s="1347" t="s">
        <v>3039</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f ca="1">ROUND(C29*F13,0)</f>
        <v>55196</v>
      </c>
      <c r="D13" s="1312" t="s">
        <v>1399</v>
      </c>
      <c r="E13" s="1312" t="s">
        <v>1400</v>
      </c>
      <c r="F13" s="1313">
        <f ca="1">INDIRECT("'数据-取费表'!y"&amp;$G$1)</f>
        <v>0.95</v>
      </c>
      <c r="G13" s="1829"/>
      <c r="H13" s="1310">
        <v>2</v>
      </c>
      <c r="I13" s="1311" t="s">
        <v>1398</v>
      </c>
      <c r="J13" s="1271">
        <f ca="1">ROUND(J14*J15,0)</f>
        <v>46481</v>
      </c>
      <c r="K13" s="1318" t="s">
        <v>1399</v>
      </c>
      <c r="L13" s="1830"/>
      <c r="M13" s="1831"/>
    </row>
    <row r="14" spans="1:37" ht="18" customHeight="1">
      <c r="A14" s="1182" t="s">
        <v>1031</v>
      </c>
      <c r="B14" s="347" t="s">
        <v>1401</v>
      </c>
      <c r="C14" s="363">
        <f ca="1">INDIRECT("'数据-取费表'!m"&amp;$G$1)+INDIRECT("'数据-取费表'!t"&amp;$G$1)</f>
        <v>37183</v>
      </c>
      <c r="D14" s="3381" t="s">
        <v>1402</v>
      </c>
      <c r="E14" s="3379"/>
      <c r="F14" s="364"/>
      <c r="G14" s="1829"/>
      <c r="H14" s="1182" t="s">
        <v>1032</v>
      </c>
      <c r="I14" s="347" t="s">
        <v>1403</v>
      </c>
      <c r="J14" s="24">
        <f ca="1">C29</f>
        <v>58101</v>
      </c>
      <c r="K14" s="3387"/>
      <c r="L14" s="968"/>
      <c r="M14" s="969"/>
    </row>
    <row r="15" spans="1:37" s="1836" customFormat="1" ht="18" customHeight="1" thickBot="1">
      <c r="A15" s="1182" t="s">
        <v>1033</v>
      </c>
      <c r="B15" s="347" t="s">
        <v>1404</v>
      </c>
      <c r="C15" s="24">
        <f ca="1">ROUND(C14*F15,0)</f>
        <v>1859</v>
      </c>
      <c r="D15" s="365" t="s">
        <v>1405</v>
      </c>
      <c r="E15" s="365" t="s">
        <v>1406</v>
      </c>
      <c r="F15" s="366">
        <f>'数据-取费表'!B33</f>
        <v>0.05</v>
      </c>
      <c r="G15" s="1832"/>
      <c r="H15" s="1320" t="s">
        <v>1036</v>
      </c>
      <c r="I15" s="1321" t="s">
        <v>1400</v>
      </c>
      <c r="J15" s="1330">
        <f ca="1">INDIRECT("'数据-取费表'!ad"&amp;$G$1)</f>
        <v>0.8</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f ca="1">ROUND(INDIRECT("'数据-取费表'!m"&amp;$G$1)*F16,0)</f>
        <v>0</v>
      </c>
      <c r="D16" s="347" t="s">
        <v>1405</v>
      </c>
      <c r="E16" s="347" t="s">
        <v>1406</v>
      </c>
      <c r="F16" s="367">
        <f ca="1">IF(INDIRECT("'数据-取费表'!c"&amp;$G$1)="住宅",'数据-取费表'!B34,0)</f>
        <v>0</v>
      </c>
      <c r="G16" s="1829"/>
      <c r="H16" s="1310" t="s">
        <v>1027</v>
      </c>
      <c r="I16" s="1311" t="s">
        <v>1408</v>
      </c>
      <c r="J16" s="355">
        <f ca="1">ROUND(J17+J22+J23+J24,0)</f>
        <v>4439</v>
      </c>
      <c r="K16" s="1318" t="s">
        <v>1409</v>
      </c>
      <c r="L16" s="3383"/>
      <c r="M16" s="1275"/>
    </row>
    <row r="17" spans="1:37" s="1836" customFormat="1" ht="18" customHeight="1">
      <c r="A17" s="1182" t="s">
        <v>1374</v>
      </c>
      <c r="B17" s="347" t="s">
        <v>1410</v>
      </c>
      <c r="C17" s="24">
        <f ca="1">ROUND(F17*(F43+INDIRECT("'数据-取费表'!S"&amp;$G$1))/10000,0)</f>
        <v>1654</v>
      </c>
      <c r="D17" s="347" t="s">
        <v>1411</v>
      </c>
      <c r="E17" s="347" t="s">
        <v>1412</v>
      </c>
      <c r="F17" s="26">
        <f>'数据-取费表'!B35</f>
        <v>200</v>
      </c>
      <c r="G17" s="1832"/>
      <c r="H17" s="1182" t="s">
        <v>1032</v>
      </c>
      <c r="I17" s="347" t="s">
        <v>1413</v>
      </c>
      <c r="J17" s="24">
        <f ca="1">ROUND(IF(项目基本情况!B11="自然人",J6*M17/(1+'数据-取费表'!C42),J18+J19+J20),1)</f>
        <v>3302.2</v>
      </c>
      <c r="K17" s="3381" t="s">
        <v>1414</v>
      </c>
      <c r="L17" s="3380"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f ca="1">ROUND(C14*F18,0)</f>
        <v>558</v>
      </c>
      <c r="D18" s="347" t="s">
        <v>1405</v>
      </c>
      <c r="E18" s="347" t="s">
        <v>1406</v>
      </c>
      <c r="F18" s="367">
        <f>'数据-取费表'!B36</f>
        <v>1.4999999999999999E-2</v>
      </c>
      <c r="G18" s="1832"/>
      <c r="H18" s="1182" t="s">
        <v>1031</v>
      </c>
      <c r="I18" s="347" t="s">
        <v>1417</v>
      </c>
      <c r="J18" s="24">
        <f ca="1">ROUND(J6*M18/(1+'数据-取费表'!C42),2)</f>
        <v>1042.3499999999999</v>
      </c>
      <c r="K18" s="3380"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f ca="1">SUM(C14:C18)</f>
        <v>41254</v>
      </c>
      <c r="D19" s="140" t="s">
        <v>1420</v>
      </c>
      <c r="E19" s="3386"/>
      <c r="F19" s="26"/>
      <c r="G19" s="1829"/>
      <c r="H19" s="1182" t="s">
        <v>1033</v>
      </c>
      <c r="I19" s="347" t="s">
        <v>1421</v>
      </c>
      <c r="J19" s="24">
        <f ca="1">IF(K19="按租金收入计税",ROUND(J6*M19/(1+'数据-取费表'!C42),2),ROUND(C29*M19*0.7,2))</f>
        <v>2233.6</v>
      </c>
      <c r="K19" s="1806" t="s">
        <v>3050</v>
      </c>
      <c r="L19" s="347" t="s">
        <v>1406</v>
      </c>
      <c r="M19" s="367">
        <f>IF(K19="按租金收入计税",'数据-取费表'!B51,'数据-取费表'!B50)</f>
        <v>0.12</v>
      </c>
    </row>
    <row r="20" spans="1:37" s="1836" customFormat="1" ht="18" customHeight="1">
      <c r="A20" s="1182" t="s">
        <v>1036</v>
      </c>
      <c r="B20" s="347" t="s">
        <v>1423</v>
      </c>
      <c r="C20" s="24">
        <f ca="1">ROUND(C19*F20,0)</f>
        <v>825</v>
      </c>
      <c r="D20" s="369" t="s">
        <v>1424</v>
      </c>
      <c r="E20" s="347" t="s">
        <v>1406</v>
      </c>
      <c r="F20" s="367">
        <f>'数据-取费表'!B37</f>
        <v>0.02</v>
      </c>
      <c r="G20" s="1832"/>
      <c r="H20" s="1182" t="s">
        <v>1373</v>
      </c>
      <c r="I20" s="164" t="s">
        <v>1425</v>
      </c>
      <c r="J20" s="25">
        <f ca="1">ROUND(M20*M21/10000,2)</f>
        <v>26.23</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18</v>
      </c>
      <c r="D21" s="369" t="s">
        <v>1429</v>
      </c>
      <c r="E21" s="347" t="s">
        <v>1430</v>
      </c>
      <c r="F21" s="367">
        <f>'数据-取费表'!B38</f>
        <v>0.02</v>
      </c>
      <c r="G21" s="1832"/>
      <c r="H21" s="372"/>
      <c r="I21" s="356"/>
      <c r="J21" s="29"/>
      <c r="K21" s="373"/>
      <c r="L21" s="347" t="s">
        <v>1431</v>
      </c>
      <c r="M21" s="348">
        <f ca="1">INDIRECT("'数据-取费表'!r"&amp;$G$1)</f>
        <v>8744.9</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3386"/>
      <c r="F22" s="26"/>
      <c r="G22" s="1829"/>
      <c r="H22" s="1182" t="s">
        <v>1036</v>
      </c>
      <c r="I22" s="347" t="s">
        <v>1433</v>
      </c>
      <c r="J22" s="24">
        <f ca="1">ROUND(J14*M22,1)</f>
        <v>871.5</v>
      </c>
      <c r="K22" s="3380" t="s">
        <v>1434</v>
      </c>
      <c r="L22" s="347" t="s">
        <v>1406</v>
      </c>
      <c r="M22" s="374">
        <f ca="1">INDIRECT("'数据-取费表'!Ak"&amp;$G$1)</f>
        <v>1.4999999999999999E-2</v>
      </c>
    </row>
    <row r="23" spans="1:37" s="1836" customFormat="1" ht="18" customHeight="1">
      <c r="A23" s="1182" t="s">
        <v>1031</v>
      </c>
      <c r="B23" s="347" t="s">
        <v>1435</v>
      </c>
      <c r="C23" s="24">
        <f ca="1">IF('数据-取费表'!B22&lt;=1,ROUND(C19*F24*F23/2,0)+ROUND(C20*F24*F23/2,0),ROUND(C19*(POWER((1+F24),F23/2)-1),0)+ROUND(C20*(POWER((1+F24),F23/2)-1),0))</f>
        <v>3033</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f ca="1">ROUND(J13*M23,1)</f>
        <v>69.7</v>
      </c>
      <c r="K23" s="3380" t="s">
        <v>1438</v>
      </c>
      <c r="L23" s="347" t="s">
        <v>1439</v>
      </c>
      <c r="M23" s="376">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1440</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1376</v>
      </c>
      <c r="I24" s="1321" t="s">
        <v>1423</v>
      </c>
      <c r="J24" s="1322">
        <f ca="1">ROUND(J5*M24,1)</f>
        <v>195.7</v>
      </c>
      <c r="K24" s="1323" t="s">
        <v>1443</v>
      </c>
      <c r="L24" s="1321" t="s">
        <v>1439</v>
      </c>
      <c r="M24" s="1317">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3386"/>
      <c r="F25" s="26"/>
      <c r="G25" s="1829"/>
      <c r="H25" s="1310" t="s">
        <v>1028</v>
      </c>
      <c r="I25" s="1325" t="s">
        <v>1447</v>
      </c>
      <c r="J25" s="355">
        <f ca="1">J5-J16</f>
        <v>15129</v>
      </c>
      <c r="K25" s="1326" t="s">
        <v>1448</v>
      </c>
      <c r="L25" s="1327"/>
      <c r="M25" s="1328"/>
    </row>
    <row r="26" spans="1:37">
      <c r="A26" s="1182" t="s">
        <v>1031</v>
      </c>
      <c r="B26" s="347" t="s">
        <v>1449</v>
      </c>
      <c r="C26" s="24">
        <f ca="1">ROUND((C19+C20)*F26,0)</f>
        <v>8416</v>
      </c>
      <c r="D26" s="369" t="s">
        <v>1450</v>
      </c>
      <c r="E26" s="358" t="s">
        <v>1451</v>
      </c>
      <c r="F26" s="357">
        <f ca="1">INDIRECT("'数据-取费表'!q"&amp;$G$1)</f>
        <v>0.2</v>
      </c>
      <c r="G26" s="1829"/>
      <c r="H26" s="344" t="s">
        <v>1029</v>
      </c>
      <c r="I26" s="345" t="s">
        <v>1452</v>
      </c>
      <c r="J26" s="346">
        <f ca="1">IF(J5&lt;&gt;0,ROUND(J25*(1-((1+M28)/(1+M26))^M27)/(M26-M28),0),0)</f>
        <v>254839</v>
      </c>
      <c r="K26" s="370" t="s">
        <v>1453</v>
      </c>
      <c r="L26" s="347" t="s">
        <v>1454</v>
      </c>
      <c r="M26" s="357">
        <f ca="1">INDIRECT("'数据-取费表'!I"&amp;$G$1)</f>
        <v>5.5E-2</v>
      </c>
    </row>
    <row r="27" spans="1:37" ht="18" customHeight="1">
      <c r="A27" s="1182" t="s">
        <v>1033</v>
      </c>
      <c r="B27" s="347" t="s">
        <v>1455</v>
      </c>
      <c r="C27" s="24">
        <f ca="1">ROUND(F21*F26,4)</f>
        <v>4.0000000000000001E-3</v>
      </c>
      <c r="D27" s="369" t="s">
        <v>1456</v>
      </c>
      <c r="E27" s="365"/>
      <c r="F27" s="366"/>
      <c r="G27" s="1829"/>
      <c r="H27" s="349"/>
      <c r="I27" s="350"/>
      <c r="J27" s="351"/>
      <c r="K27" s="378" t="s">
        <v>1457</v>
      </c>
      <c r="L27" s="347" t="s">
        <v>1458</v>
      </c>
      <c r="M27" s="379">
        <f ca="1">INDIRECT("'数据-取费表'!ag"&amp;$G$1)</f>
        <v>18.52</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f ca="1">INDIRECT("'数据-取费表'!aa"&amp;$G$1)</f>
        <v>0.05</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f ca="1">ROUND((C19+C20+C23+C26)/(1-F21-C24-C27-C28),0)</f>
        <v>58101</v>
      </c>
      <c r="D29" s="1323"/>
      <c r="E29" s="1321"/>
      <c r="F29" s="1324"/>
      <c r="G29" s="1832"/>
      <c r="H29" s="380" t="s">
        <v>1030</v>
      </c>
      <c r="I29" s="381" t="s">
        <v>1463</v>
      </c>
      <c r="J29" s="382">
        <f ca="1">ROUND(J26/(1+F40)^F41,0)</f>
        <v>152094</v>
      </c>
      <c r="K29" s="383" t="s">
        <v>1464</v>
      </c>
      <c r="L29" s="384"/>
      <c r="M29" s="385">
        <f ca="1">INDIRECT("'数据-取费表'!k"&amp;$G$1)</f>
        <v>82629.64</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f ca="1">ROUND(C31+C36+C37+C38,0)</f>
        <v>3804</v>
      </c>
      <c r="D30" s="1318" t="s">
        <v>1409</v>
      </c>
      <c r="E30" s="3383"/>
      <c r="F30" s="1275"/>
      <c r="G30" s="1829"/>
      <c r="H30" s="741"/>
      <c r="I30" s="742"/>
      <c r="J30" s="743"/>
      <c r="K30" s="744"/>
      <c r="L30" s="745"/>
      <c r="M30" s="746"/>
    </row>
    <row r="31" spans="1:37" ht="18" customHeight="1">
      <c r="A31" s="1182" t="s">
        <v>1032</v>
      </c>
      <c r="B31" s="347" t="s">
        <v>1413</v>
      </c>
      <c r="C31" s="24">
        <f ca="1">ROUND(IF(项目基本情况!B11="自然人",C6*F31/(1+'数据-取费表'!C42),C32+C33+C34),1)</f>
        <v>2690.4</v>
      </c>
      <c r="D31" s="3381" t="s">
        <v>1414</v>
      </c>
      <c r="E31" s="3380"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f ca="1">IF(项目基本情况!B11="自然人","——",ROUND(C6*F32/(1+'数据-取费表'!C42),2))</f>
        <v>847.68</v>
      </c>
      <c r="D32" s="3380" t="s">
        <v>1418</v>
      </c>
      <c r="E32" s="347" t="s">
        <v>1406</v>
      </c>
      <c r="F32" s="377">
        <f>'数据-取费表'!B41</f>
        <v>5.6000000000000001E-2</v>
      </c>
      <c r="G32" s="1829"/>
      <c r="H32" s="741"/>
      <c r="I32" s="742"/>
      <c r="J32" s="743"/>
      <c r="K32" s="744"/>
      <c r="L32" s="745"/>
      <c r="M32" s="746"/>
    </row>
    <row r="33" spans="1:18" ht="18" customHeight="1">
      <c r="A33" s="1182" t="s">
        <v>1033</v>
      </c>
      <c r="B33" s="347" t="s">
        <v>1421</v>
      </c>
      <c r="C33" s="24">
        <f ca="1">IF(项目基本情况!B11="自然人","——",IF(D33="按租金收入计税",ROUND(C6*F33/(1+'数据-取费表'!C42),2),IF(D33="按房产原值计税",ROUND(C29*F33*0.7,2),INDIRECT("'数据-取费表'!Aj"&amp;$G$1))))</f>
        <v>1816.46</v>
      </c>
      <c r="D33" s="1806" t="s">
        <v>3050</v>
      </c>
      <c r="E33" s="347" t="s">
        <v>1406</v>
      </c>
      <c r="F33" s="367">
        <f>IF(D33="按票据","——",IF(D33="按租金收入计税",'数据-取费表'!B51,'数据-取费表'!B50))</f>
        <v>0.12</v>
      </c>
      <c r="G33" s="1829"/>
      <c r="H33" s="1837"/>
      <c r="I33" s="1838"/>
      <c r="J33" s="1839"/>
      <c r="K33" s="1840"/>
      <c r="L33" s="1837"/>
      <c r="M33" s="1837"/>
    </row>
    <row r="34" spans="1:18" ht="18" customHeight="1">
      <c r="A34" s="1272" t="s">
        <v>1373</v>
      </c>
      <c r="B34" s="164" t="s">
        <v>1425</v>
      </c>
      <c r="C34" s="25">
        <f ca="1">IF(项目基本情况!B11="自然人","——",ROUND(F34*F35/10000,2))</f>
        <v>26.23</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f ca="1">INDIRECT("'数据-取费表'!r"&amp;$G$1)</f>
        <v>8744.9</v>
      </c>
      <c r="G35" s="1829"/>
      <c r="H35" s="741"/>
      <c r="I35" s="1838"/>
      <c r="J35" s="1839"/>
      <c r="K35" s="1840"/>
      <c r="L35" s="1837"/>
      <c r="M35" s="1837"/>
    </row>
    <row r="36" spans="1:18" ht="18" customHeight="1">
      <c r="A36" s="1333" t="s">
        <v>1036</v>
      </c>
      <c r="B36" s="347" t="s">
        <v>1433</v>
      </c>
      <c r="C36" s="24">
        <f ca="1">ROUND(C29*F36,1)</f>
        <v>871.5</v>
      </c>
      <c r="D36" s="3380" t="s">
        <v>1466</v>
      </c>
      <c r="E36" s="347" t="s">
        <v>1406</v>
      </c>
      <c r="F36" s="374">
        <f ca="1">INDIRECT("'数据-取费表'!Ak"&amp;$G$1)</f>
        <v>1.4999999999999999E-2</v>
      </c>
      <c r="G36" s="1829"/>
      <c r="H36" s="1837"/>
      <c r="I36" s="1838"/>
      <c r="J36" s="1839"/>
      <c r="K36" s="747"/>
      <c r="L36" s="1837"/>
      <c r="M36" s="1837"/>
    </row>
    <row r="37" spans="1:18" ht="18" customHeight="1">
      <c r="A37" s="1182" t="s">
        <v>1072</v>
      </c>
      <c r="B37" s="347" t="s">
        <v>1437</v>
      </c>
      <c r="C37" s="24">
        <f ca="1">ROUND(C13*F37,1)</f>
        <v>82.8</v>
      </c>
      <c r="D37" s="3380" t="s">
        <v>1438</v>
      </c>
      <c r="E37" s="347" t="s">
        <v>1439</v>
      </c>
      <c r="F37" s="376">
        <f ca="1">INDIRECT("'数据-取费表'!Al"&amp;$G$1)</f>
        <v>1.5E-3</v>
      </c>
      <c r="G37" s="1829"/>
      <c r="H37" s="1837"/>
      <c r="I37" s="1838"/>
      <c r="J37" s="1839"/>
      <c r="K37" s="747"/>
      <c r="L37" s="1837"/>
      <c r="M37" s="1837"/>
    </row>
    <row r="38" spans="1:18" ht="18" customHeight="1" thickBot="1">
      <c r="A38" s="1320" t="s">
        <v>1376</v>
      </c>
      <c r="B38" s="1321" t="s">
        <v>1423</v>
      </c>
      <c r="C38" s="1322">
        <f ca="1">ROUND(C5*F38,1)</f>
        <v>159.1</v>
      </c>
      <c r="D38" s="1323" t="s">
        <v>1443</v>
      </c>
      <c r="E38" s="1321" t="s">
        <v>1439</v>
      </c>
      <c r="F38" s="1317">
        <f ca="1">INDIRECT("'数据-取费表'!Am"&amp;$G$1)</f>
        <v>0.01</v>
      </c>
      <c r="G38" s="1829"/>
      <c r="H38" s="1837"/>
      <c r="I38" s="1838"/>
      <c r="J38" s="1839"/>
      <c r="K38" s="1843"/>
      <c r="L38" s="1837"/>
      <c r="M38" s="1837"/>
    </row>
    <row r="39" spans="1:18" ht="24.6" customHeight="1" thickTop="1">
      <c r="A39" s="1310" t="s">
        <v>1028</v>
      </c>
      <c r="B39" s="1325" t="s">
        <v>1467</v>
      </c>
      <c r="C39" s="355">
        <f ca="1">C5-C30</f>
        <v>12110</v>
      </c>
      <c r="D39" s="1326" t="s">
        <v>1468</v>
      </c>
      <c r="E39" s="1327"/>
      <c r="F39" s="1328"/>
      <c r="G39" s="1829"/>
      <c r="H39" s="1837"/>
      <c r="I39" s="1838"/>
      <c r="J39" s="1839"/>
      <c r="K39" s="1843"/>
      <c r="L39" s="1837"/>
      <c r="M39" s="1837"/>
    </row>
    <row r="40" spans="1:18" ht="18" customHeight="1">
      <c r="A40" s="344" t="s">
        <v>1029</v>
      </c>
      <c r="B40" s="345" t="s">
        <v>1469</v>
      </c>
      <c r="C40" s="346">
        <f ca="1">ROUND(C39*(1-((1+F42)/(1+F40))^F41)/(F40-F42),0)</f>
        <v>88772</v>
      </c>
      <c r="D40" s="370" t="s">
        <v>1453</v>
      </c>
      <c r="E40" s="347" t="s">
        <v>1454</v>
      </c>
      <c r="F40" s="357">
        <f ca="1">INDIRECT("'数据-取费表'!I"&amp;$G$1)</f>
        <v>5.5E-2</v>
      </c>
      <c r="G40" s="1829"/>
      <c r="H40" s="1817"/>
      <c r="I40" s="1838"/>
      <c r="J40" s="1839"/>
      <c r="K40" s="1843"/>
      <c r="L40" s="1817"/>
      <c r="M40" s="1817"/>
    </row>
    <row r="41" spans="1:18" ht="18" customHeight="1">
      <c r="A41" s="349"/>
      <c r="B41" s="350"/>
      <c r="C41" s="351"/>
      <c r="D41" s="378" t="s">
        <v>1470</v>
      </c>
      <c r="E41" s="347" t="s">
        <v>1458</v>
      </c>
      <c r="F41" s="379">
        <f ca="1">IF(INDIRECT("'数据-取费表'!af"&amp;$G$1)=0,INDIRECT("'数据-取费表'!ae"&amp;$G$1),INDIRECT("'数据-取费表'!af"&amp;$G$1))</f>
        <v>9.64</v>
      </c>
      <c r="G41" s="1829"/>
      <c r="H41" s="728"/>
      <c r="I41" s="1838"/>
      <c r="J41" s="1839"/>
      <c r="K41" s="747"/>
      <c r="L41" s="728"/>
      <c r="M41" s="728"/>
    </row>
    <row r="42" spans="1:18" ht="18" customHeight="1">
      <c r="A42" s="353"/>
      <c r="B42" s="354"/>
      <c r="C42" s="355"/>
      <c r="D42" s="373"/>
      <c r="E42" s="347" t="s">
        <v>1461</v>
      </c>
      <c r="F42" s="357">
        <f ca="1">INDIRECT("'数据-取费表'!v"&amp;$G$1)</f>
        <v>0</v>
      </c>
      <c r="G42" s="1829"/>
      <c r="H42" s="728"/>
      <c r="I42" s="1838"/>
      <c r="J42" s="1839"/>
      <c r="K42" s="747"/>
      <c r="L42" s="728"/>
      <c r="M42" s="728"/>
    </row>
    <row r="43" spans="1:18" ht="18" customHeight="1" thickBot="1">
      <c r="A43" s="380" t="s">
        <v>1030</v>
      </c>
      <c r="B43" s="381" t="s">
        <v>1471</v>
      </c>
      <c r="C43" s="382">
        <f ca="1">ROUND(C40*10000/F43,0)</f>
        <v>10743</v>
      </c>
      <c r="D43" s="383" t="s">
        <v>1472</v>
      </c>
      <c r="E43" s="384" t="s">
        <v>1473</v>
      </c>
      <c r="F43" s="385">
        <f ca="1">INDIRECT("'数据-取费表'!k"&amp;$G$1)</f>
        <v>82629.64</v>
      </c>
      <c r="G43" s="1829"/>
      <c r="H43" s="728"/>
      <c r="I43" s="728"/>
      <c r="J43" s="728"/>
      <c r="K43" s="747"/>
      <c r="L43" s="728"/>
      <c r="M43" s="728"/>
    </row>
    <row r="44" spans="1:18" s="1820" customFormat="1" ht="18" customHeight="1">
      <c r="A44" s="1844"/>
      <c r="B44" s="1844"/>
      <c r="C44" s="1845"/>
      <c r="D44" s="1844"/>
      <c r="E44" s="1844"/>
      <c r="F44" s="1844" t="e">
        <f ca="1">F35+收益法办自!F35</f>
        <v>#N/A</v>
      </c>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f ca="1">C68-C40</f>
        <v>-131736</v>
      </c>
      <c r="D46" s="1850" t="str">
        <f>C2</f>
        <v>万元</v>
      </c>
      <c r="E46" s="1844"/>
      <c r="F46" s="1844"/>
      <c r="I46" s="1851" t="s">
        <v>1505</v>
      </c>
      <c r="J46" s="1852"/>
      <c r="K46" s="1853"/>
      <c r="L46" s="1854" t="str">
        <f ca="1">IF(M47="住宅",0,IF(L48&gt;J51,L60,J60))</f>
        <v>0</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f ca="1">INDIRECT("'数据-取费表'!d"&amp;$G$1)</f>
        <v>40</v>
      </c>
      <c r="M47" s="1816" t="str">
        <f>IF(ISNUMBER(FIND("住宅",C1)),"住宅","非住宅")</f>
        <v>非住宅</v>
      </c>
      <c r="O47" s="1862" t="s">
        <v>1037</v>
      </c>
      <c r="P47" s="1863" t="s">
        <v>1512</v>
      </c>
      <c r="Q47" s="1864">
        <f ca="1">C40+J29</f>
        <v>240866</v>
      </c>
      <c r="R47" s="1864" t="s">
        <v>1513</v>
      </c>
    </row>
    <row r="48" spans="1:18" s="1820" customFormat="1" ht="40.200000000000003" thickBot="1">
      <c r="A48" s="1341" t="s">
        <v>1125</v>
      </c>
      <c r="B48" s="345" t="s">
        <v>1385</v>
      </c>
      <c r="C48" s="3385">
        <f ca="1">C49+C53+C55</f>
        <v>0</v>
      </c>
      <c r="D48" s="1343"/>
      <c r="E48" s="1344"/>
      <c r="F48" s="1162"/>
      <c r="G48" s="787"/>
      <c r="H48" s="788"/>
      <c r="I48" s="1865" t="s">
        <v>1514</v>
      </c>
      <c r="J48" s="1866" t="s">
        <v>3035</v>
      </c>
      <c r="K48" s="1867" t="s">
        <v>1515</v>
      </c>
      <c r="L48" s="1868">
        <f ca="1">INDIRECT("'数据-取费表'!f"&amp;$G$1)</f>
        <v>28.16</v>
      </c>
      <c r="O48" s="1862" t="s">
        <v>1038</v>
      </c>
      <c r="P48" s="1863" t="s">
        <v>1516</v>
      </c>
      <c r="Q48" s="1864" t="str">
        <f ca="1">J60</f>
        <v>0</v>
      </c>
      <c r="R48" s="1864" t="s">
        <v>1517</v>
      </c>
    </row>
    <row r="49" spans="1:18" s="1820" customFormat="1" ht="13.8" thickBot="1">
      <c r="A49" s="1175" t="s">
        <v>1126</v>
      </c>
      <c r="B49" s="1807" t="s">
        <v>1474</v>
      </c>
      <c r="C49" s="1345">
        <f ca="1">ROUND(F49*F51*F50*(1-F52)/10000,0)</f>
        <v>0</v>
      </c>
      <c r="D49" s="1257" t="s">
        <v>3000</v>
      </c>
      <c r="E49" s="1808" t="s">
        <v>1475</v>
      </c>
      <c r="F49" s="1262"/>
      <c r="G49" s="1869"/>
      <c r="H49" s="788"/>
      <c r="I49" s="1865" t="s">
        <v>1518</v>
      </c>
      <c r="J49" s="1870">
        <v>1997</v>
      </c>
      <c r="K49" s="1867" t="s">
        <v>1519</v>
      </c>
      <c r="L49" s="1871"/>
      <c r="O49" s="1872" t="s">
        <v>1039</v>
      </c>
      <c r="P49" s="1863" t="s">
        <v>1520</v>
      </c>
      <c r="Q49" s="1864">
        <f ca="1">C29</f>
        <v>58101</v>
      </c>
      <c r="R49" s="1864" t="s">
        <v>1513</v>
      </c>
    </row>
    <row r="50" spans="1:18" s="1820" customFormat="1" ht="13.8" thickBot="1">
      <c r="A50" s="1176"/>
      <c r="B50" s="1179"/>
      <c r="C50" s="1349"/>
      <c r="D50" s="1153"/>
      <c r="E50" s="1258" t="s">
        <v>1390</v>
      </c>
      <c r="F50" s="1259">
        <f ca="1">F7</f>
        <v>82629.64</v>
      </c>
      <c r="H50" s="788"/>
      <c r="I50" s="1865" t="s">
        <v>1521</v>
      </c>
      <c r="J50" s="1873">
        <f>SUMPRODUCT((I63:I65=J47)*(J62:L62=J48)*(J63:L65))</f>
        <v>60</v>
      </c>
      <c r="K50" s="1867" t="s">
        <v>1522</v>
      </c>
      <c r="L50" s="1871"/>
      <c r="M50" s="1874"/>
      <c r="O50" s="1872" t="s">
        <v>1040</v>
      </c>
      <c r="P50" s="1863" t="s">
        <v>1523</v>
      </c>
      <c r="Q50" s="1875" t="e">
        <f ca="1">J58</f>
        <v>#VALUE!</v>
      </c>
      <c r="R50" s="1864"/>
    </row>
    <row r="51" spans="1:18" s="1820" customFormat="1" ht="13.8" thickBot="1">
      <c r="A51" s="1177"/>
      <c r="B51" s="1179"/>
      <c r="C51" s="1180"/>
      <c r="D51" s="1153"/>
      <c r="E51" s="1181" t="s">
        <v>1391</v>
      </c>
      <c r="F51" s="348">
        <f ca="1">F8</f>
        <v>365</v>
      </c>
      <c r="I51" s="1876" t="s">
        <v>1524</v>
      </c>
      <c r="J51" s="1877">
        <f>IF(J49="",J50,J49+J50-YEAR('数据-取费表'!B2))</f>
        <v>37</v>
      </c>
      <c r="K51" s="1878" t="s">
        <v>1525</v>
      </c>
      <c r="L51" s="1879">
        <f ca="1">ROUND(-PV(INDIRECT("'数据-取费表'!h"&amp;$G$1),L48,(C39-C13*C76),0),0)</f>
        <v>110814</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f ca="1">J53</f>
        <v>28.16</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f ca="1">IF(M47="住宅",IF(D1="——",MAX(J51,L48),MAX(J51,L48-'数据-取费表'!B24)),IF(D1="——",MIN(J51,L48),MIN(J51,L48-'数据-取费表'!B24)))</f>
        <v>28.16</v>
      </c>
      <c r="K53" s="3696" t="s">
        <v>1532</v>
      </c>
      <c r="L53" s="3697"/>
      <c r="O53" s="1862" t="s">
        <v>1043</v>
      </c>
      <c r="P53" s="1863" t="s">
        <v>1533</v>
      </c>
      <c r="Q53" s="1864">
        <f ca="1">Q47+Q48</f>
        <v>240866</v>
      </c>
      <c r="R53" s="1864" t="s">
        <v>1044</v>
      </c>
    </row>
    <row r="54" spans="1:18" s="1820" customFormat="1" ht="24.6" thickBot="1">
      <c r="A54" s="1386"/>
      <c r="B54" s="1803" t="s">
        <v>1372</v>
      </c>
      <c r="C54" s="1159"/>
      <c r="D54" s="1802"/>
      <c r="E54" s="3384"/>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1534</v>
      </c>
      <c r="P54" s="1817"/>
      <c r="Q54" s="1817"/>
      <c r="R54" s="1817"/>
    </row>
    <row r="55" spans="1:18" s="1820" customFormat="1" ht="13.8" thickBot="1">
      <c r="A55" s="1314" t="s">
        <v>1072</v>
      </c>
      <c r="B55" s="1805" t="s">
        <v>1397</v>
      </c>
      <c r="C55" s="1315"/>
      <c r="D55" s="1802"/>
      <c r="E55" s="3384"/>
      <c r="F55" s="1884"/>
      <c r="I55" s="1887" t="s">
        <v>1535</v>
      </c>
      <c r="J55" s="1888" t="e">
        <f ca="1">ROUND(IF(J47="钢混",J57/J50,1-(1-2%)*(J50-J57)/J50),3)</f>
        <v>#VALUE!</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f ca="1">C13</f>
        <v>55196</v>
      </c>
      <c r="D56" s="1891"/>
      <c r="E56" s="1892"/>
      <c r="F56" s="1884"/>
      <c r="I56" s="1893" t="s">
        <v>1538</v>
      </c>
      <c r="J56" s="1894" t="s">
        <v>3033</v>
      </c>
      <c r="K56" s="1865" t="s">
        <v>1539</v>
      </c>
      <c r="L56" s="1868" t="str">
        <f ca="1">IF(L48&lt;J51,"——",L48-J53)</f>
        <v>——</v>
      </c>
      <c r="O56" s="1862" t="s">
        <v>1037</v>
      </c>
      <c r="P56" s="1863" t="s">
        <v>1512</v>
      </c>
      <c r="Q56" s="1864">
        <f ca="1">C40+J29</f>
        <v>240866</v>
      </c>
      <c r="R56" s="1864" t="s">
        <v>1513</v>
      </c>
    </row>
    <row r="57" spans="1:18" s="1820" customFormat="1" ht="24.6" thickBot="1">
      <c r="A57" s="1895"/>
      <c r="B57" s="1150" t="s">
        <v>1462</v>
      </c>
      <c r="C57" s="282">
        <f ca="1">C29</f>
        <v>58101</v>
      </c>
      <c r="D57" s="1896"/>
      <c r="E57" s="1897"/>
      <c r="F57" s="1898"/>
      <c r="I57" s="1899" t="s">
        <v>1540</v>
      </c>
      <c r="J57" s="1900" t="str">
        <f ca="1">IF(OR(M47="住宅",J51&lt;L48,J56="是"),"——",J51-L48)</f>
        <v>——</v>
      </c>
      <c r="K57" s="1865" t="s">
        <v>1541</v>
      </c>
      <c r="L57" s="1868" t="str">
        <f ca="1">IF(L48&lt;J51,"——",IF(L55="比较法",L49,IF(L55="基准地价",L50,L51)))</f>
        <v>——</v>
      </c>
      <c r="O57" s="1862" t="s">
        <v>1038</v>
      </c>
      <c r="P57" s="1863" t="s">
        <v>1542</v>
      </c>
      <c r="Q57" s="1864">
        <f ca="1">L60</f>
        <v>0</v>
      </c>
      <c r="R57" s="1864" t="s">
        <v>1543</v>
      </c>
    </row>
    <row r="58" spans="1:18" s="1820" customFormat="1" ht="24.6" thickBot="1">
      <c r="A58" s="360" t="s">
        <v>1027</v>
      </c>
      <c r="B58" s="1158" t="s">
        <v>1408</v>
      </c>
      <c r="C58" s="361">
        <f ca="1">ROUND(C59+C64+C65+C66,0)</f>
        <v>5861</v>
      </c>
      <c r="D58" s="1160" t="s">
        <v>1409</v>
      </c>
      <c r="E58" s="1161"/>
      <c r="F58" s="1162"/>
      <c r="I58" s="1899" t="s">
        <v>1544</v>
      </c>
      <c r="J58" s="1901" t="e">
        <f ca="1">IF(J55&lt;0.4,0.4,J55)</f>
        <v>#VALUE!</v>
      </c>
      <c r="K58" s="1878" t="s">
        <v>1545</v>
      </c>
      <c r="L58" s="1868" t="e">
        <f ca="1">ROUND(POWER(1+L52,L47-L48)*(POWER(1+L52,L48)-1)/(POWER(1+L52,L47)-1),4)</f>
        <v>#DIV/0!</v>
      </c>
      <c r="O58" s="1872" t="s">
        <v>1039</v>
      </c>
      <c r="P58" s="1863" t="s">
        <v>1546</v>
      </c>
      <c r="Q58" s="1864">
        <f>IF(L55="比较法",L49,IF(L55="基准地价",L50,0))</f>
        <v>0</v>
      </c>
      <c r="R58" s="1864" t="s">
        <v>1513</v>
      </c>
    </row>
    <row r="59" spans="1:18" s="1820" customFormat="1" ht="24.6" thickBot="1">
      <c r="A59" s="1182" t="s">
        <v>1032</v>
      </c>
      <c r="B59" s="1150" t="s">
        <v>1413</v>
      </c>
      <c r="C59" s="24">
        <f ca="1">ROUND(IF(项目基本情况!B11="自然人",C48*F59,C60+C61+C62),1)</f>
        <v>4906.7</v>
      </c>
      <c r="D59" s="1163" t="s">
        <v>1414</v>
      </c>
      <c r="E59" s="1164" t="s">
        <v>1415</v>
      </c>
      <c r="F59" s="368" t="str">
        <f ca="1">IF(项目基本情况!B11="企业","",IF(INDIRECT("'数据-取费表'!c"&amp;$G$1)="住宅",5%,IF(F49*F50*F51/12/(1+'数据-取费表'!C42)&gt;20000,12%,7%)))</f>
        <v/>
      </c>
      <c r="I59" s="1899" t="s">
        <v>1547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1548</v>
      </c>
      <c r="Q59" s="1875">
        <f>L52</f>
        <v>0</v>
      </c>
      <c r="R59" s="1864"/>
    </row>
    <row r="60" spans="1:18" s="1820" customFormat="1" ht="16.2" thickBot="1">
      <c r="A60" s="1182" t="s">
        <v>1031</v>
      </c>
      <c r="B60" s="1150" t="s">
        <v>1417</v>
      </c>
      <c r="C60" s="24">
        <f ca="1">IF(项目基本情况!B11="自然人","——",ROUND(C48*F60/(1+'数据-取费表'!C42),2))</f>
        <v>0</v>
      </c>
      <c r="D60" s="1164" t="s">
        <v>1418</v>
      </c>
      <c r="E60" s="1150" t="s">
        <v>1406</v>
      </c>
      <c r="F60" s="377">
        <f t="shared" ref="F60:F66" si="0">F32</f>
        <v>5.6000000000000001E-2</v>
      </c>
      <c r="I60" s="1902" t="s">
        <v>1549</v>
      </c>
      <c r="J60" s="1903" t="str">
        <f ca="1">IF(OR(M47="住宅",J51&lt;L48,J56="是"),"0",ROUND(J59/(1+J52)^J53,0))</f>
        <v>0</v>
      </c>
      <c r="K60" s="1904" t="s">
        <v>1550</v>
      </c>
      <c r="L60" s="1903">
        <f ca="1">IF(OR(M47="住宅",L48&lt;J51),0,ROUND(L57*(L58/L59-1),0))</f>
        <v>0</v>
      </c>
      <c r="O60" s="1872" t="s">
        <v>1041</v>
      </c>
      <c r="P60" s="1863" t="s">
        <v>1551</v>
      </c>
      <c r="Q60" s="1864" t="e">
        <f ca="1">L58</f>
        <v>#DIV/0!</v>
      </c>
      <c r="R60" s="1864" t="s">
        <v>1552</v>
      </c>
    </row>
    <row r="61" spans="1:18" s="1820" customFormat="1" ht="13.8" thickBot="1">
      <c r="A61" s="1182" t="s">
        <v>1476</v>
      </c>
      <c r="B61" s="1150" t="s">
        <v>1477</v>
      </c>
      <c r="C61" s="24">
        <f ca="1">IF(项目基本情况!B11="自然人","——",IF(D61="按租金收入计税",ROUND(C48*F61,2),IF(D61="按房产原值计税",ROUND(C57*F61*0.7,2),INDIRECT("'数据-取费表'!Aj"&amp;$G$1))))</f>
        <v>4880.4799999999996</v>
      </c>
      <c r="D61" s="1806" t="s">
        <v>1422</v>
      </c>
      <c r="E61" s="1150" t="s">
        <v>1478</v>
      </c>
      <c r="F61" s="367">
        <f t="shared" si="0"/>
        <v>0.12</v>
      </c>
      <c r="I61" s="1905"/>
      <c r="J61" s="1905"/>
      <c r="K61" s="1905"/>
      <c r="L61" s="1905"/>
      <c r="O61" s="1872" t="s">
        <v>1042</v>
      </c>
      <c r="P61" s="1863" t="str">
        <f>K59</f>
        <v>建筑物剩余耐用年限下的土地年期修正系数Kn</v>
      </c>
      <c r="Q61" s="1864" t="e">
        <f ca="1">L59</f>
        <v>#DIV/0!</v>
      </c>
      <c r="R61" s="1864" t="s">
        <v>1553</v>
      </c>
    </row>
    <row r="62" spans="1:18" s="1820" customFormat="1" ht="13.8" thickBot="1">
      <c r="A62" s="1182" t="s">
        <v>1479</v>
      </c>
      <c r="B62" s="1149" t="s">
        <v>1480</v>
      </c>
      <c r="C62" s="25">
        <f ca="1">IF(项目基本情况!B11="自然人","——",ROUND(F62*F63/10000,2))</f>
        <v>26.23</v>
      </c>
      <c r="D62" s="1165" t="s">
        <v>1481</v>
      </c>
      <c r="E62" s="1150" t="s">
        <v>1482</v>
      </c>
      <c r="F62" s="371">
        <f t="shared" si="0"/>
        <v>30</v>
      </c>
      <c r="I62" s="1906" t="s">
        <v>1554</v>
      </c>
      <c r="J62" s="1907" t="s">
        <v>1555</v>
      </c>
      <c r="K62" s="1907" t="s">
        <v>1556</v>
      </c>
      <c r="L62" s="1907" t="s">
        <v>1557</v>
      </c>
      <c r="M62" s="1908" t="s">
        <v>1558</v>
      </c>
      <c r="O62" s="1862" t="s">
        <v>1043</v>
      </c>
      <c r="P62" s="1863" t="s">
        <v>1559</v>
      </c>
      <c r="Q62" s="1864">
        <f ca="1">Q56+Q57</f>
        <v>240866</v>
      </c>
      <c r="R62" s="1864" t="s">
        <v>1044</v>
      </c>
    </row>
    <row r="63" spans="1:18" s="1820" customFormat="1" ht="13.8" thickBot="1">
      <c r="A63" s="372"/>
      <c r="B63" s="1156"/>
      <c r="C63" s="29"/>
      <c r="D63" s="1166"/>
      <c r="E63" s="1150" t="s">
        <v>1483</v>
      </c>
      <c r="F63" s="348">
        <f t="shared" ca="1" si="0"/>
        <v>8744.9</v>
      </c>
      <c r="I63" s="1906" t="s">
        <v>1560</v>
      </c>
      <c r="J63" s="1907">
        <v>70</v>
      </c>
      <c r="K63" s="1907">
        <v>50</v>
      </c>
      <c r="L63" s="1907">
        <v>80</v>
      </c>
      <c r="M63" s="1909">
        <v>0.02</v>
      </c>
      <c r="O63" s="1847" t="s">
        <v>1561</v>
      </c>
      <c r="P63" s="1817"/>
      <c r="Q63" s="1817"/>
      <c r="R63" s="1817"/>
    </row>
    <row r="64" spans="1:18" s="1820" customFormat="1" ht="13.8" thickBot="1">
      <c r="A64" s="1182" t="s">
        <v>1484</v>
      </c>
      <c r="B64" s="1150" t="s">
        <v>1485</v>
      </c>
      <c r="C64" s="24">
        <f ca="1">ROUND(C57*F64,1)</f>
        <v>871.5</v>
      </c>
      <c r="D64" s="1164" t="s">
        <v>1486</v>
      </c>
      <c r="E64" s="1150" t="s">
        <v>1478</v>
      </c>
      <c r="F64" s="374">
        <f t="shared" ca="1" si="0"/>
        <v>1.4999999999999999E-2</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f ca="1">ROUND(C56*F65,1)</f>
        <v>82.8</v>
      </c>
      <c r="D65" s="1164" t="s">
        <v>1438</v>
      </c>
      <c r="E65" s="1150" t="s">
        <v>1439</v>
      </c>
      <c r="F65" s="376">
        <f t="shared" ca="1" si="0"/>
        <v>1.5E-3</v>
      </c>
      <c r="I65" s="1906" t="s">
        <v>1563</v>
      </c>
      <c r="J65" s="1907">
        <v>40</v>
      </c>
      <c r="K65" s="1907">
        <v>30</v>
      </c>
      <c r="L65" s="1907">
        <v>50</v>
      </c>
      <c r="M65" s="1909">
        <v>0.02</v>
      </c>
      <c r="O65" s="1862" t="s">
        <v>1037</v>
      </c>
      <c r="P65" s="1863" t="s">
        <v>1564</v>
      </c>
      <c r="Q65" s="1864">
        <f ca="1">C40+J29</f>
        <v>240866</v>
      </c>
      <c r="R65" s="1864" t="s">
        <v>1513</v>
      </c>
    </row>
    <row r="66" spans="1:18" s="1820" customFormat="1" ht="16.2" thickBot="1">
      <c r="A66" s="1182" t="s">
        <v>1488</v>
      </c>
      <c r="B66" s="1150" t="s">
        <v>1423</v>
      </c>
      <c r="C66" s="24">
        <f ca="1">ROUND(C48*F66,1)</f>
        <v>0</v>
      </c>
      <c r="D66" s="1164" t="s">
        <v>1489</v>
      </c>
      <c r="E66" s="1150" t="s">
        <v>1406</v>
      </c>
      <c r="F66" s="357">
        <f t="shared" ca="1" si="0"/>
        <v>0.01</v>
      </c>
      <c r="O66" s="1862" t="s">
        <v>1038</v>
      </c>
      <c r="P66" s="1863" t="s">
        <v>1542</v>
      </c>
      <c r="Q66" s="1864">
        <f ca="1">L60</f>
        <v>0</v>
      </c>
      <c r="R66" s="1864" t="s">
        <v>1565</v>
      </c>
    </row>
    <row r="67" spans="1:18" s="1820" customFormat="1" ht="24.6" thickBot="1">
      <c r="A67" s="1157" t="s">
        <v>1028</v>
      </c>
      <c r="B67" s="1167" t="s">
        <v>1447</v>
      </c>
      <c r="C67" s="361">
        <f ca="1">C48-C58</f>
        <v>-5861</v>
      </c>
      <c r="D67" s="1163" t="s">
        <v>1448</v>
      </c>
      <c r="E67" s="1168"/>
      <c r="F67" s="1169"/>
      <c r="O67" s="1872" t="s">
        <v>1039</v>
      </c>
      <c r="P67" s="1863" t="s">
        <v>1546</v>
      </c>
      <c r="Q67" s="1910">
        <f ca="1">L51</f>
        <v>110814</v>
      </c>
      <c r="R67" s="1864" t="s">
        <v>1566</v>
      </c>
    </row>
    <row r="68" spans="1:18" s="1820" customFormat="1" ht="16.2" thickBot="1">
      <c r="A68" s="1147" t="s">
        <v>1029</v>
      </c>
      <c r="B68" s="1148" t="s">
        <v>1469</v>
      </c>
      <c r="C68" s="346">
        <f ca="1">ROUND(C67*(1-((1+F70)/(1+F68))^F69)/(F68-F70),0)</f>
        <v>-42964</v>
      </c>
      <c r="D68" s="1165" t="s">
        <v>1453</v>
      </c>
      <c r="E68" s="1150" t="s">
        <v>1454</v>
      </c>
      <c r="F68" s="357">
        <f ca="1">F40</f>
        <v>5.5E-2</v>
      </c>
      <c r="O68" s="1872" t="s">
        <v>1040</v>
      </c>
      <c r="P68" s="1911" t="s">
        <v>1567</v>
      </c>
      <c r="Q68" s="1864">
        <f ca="1">ROUND(Q69-Q70*Q71,0)</f>
        <v>7418</v>
      </c>
      <c r="R68" s="1864" t="s">
        <v>1048</v>
      </c>
    </row>
    <row r="69" spans="1:18" s="1820" customFormat="1" ht="13.8" thickBot="1">
      <c r="A69" s="1151"/>
      <c r="B69" s="1152"/>
      <c r="C69" s="351"/>
      <c r="D69" s="1170" t="s">
        <v>1457</v>
      </c>
      <c r="E69" s="1150" t="s">
        <v>1458</v>
      </c>
      <c r="F69" s="379">
        <f ca="1">F41</f>
        <v>9.64</v>
      </c>
      <c r="O69" s="1872" t="s">
        <v>1045</v>
      </c>
      <c r="P69" s="1911" t="s">
        <v>1568</v>
      </c>
      <c r="Q69" s="1864">
        <f ca="1">C39</f>
        <v>12110</v>
      </c>
      <c r="R69" s="1864" t="s">
        <v>1513</v>
      </c>
    </row>
    <row r="70" spans="1:18" s="1820" customFormat="1" ht="13.8" thickBot="1">
      <c r="A70" s="1154"/>
      <c r="B70" s="1155"/>
      <c r="C70" s="355"/>
      <c r="D70" s="1166"/>
      <c r="E70" s="1150" t="s">
        <v>1461</v>
      </c>
      <c r="F70" s="1256"/>
      <c r="O70" s="1872" t="s">
        <v>1046</v>
      </c>
      <c r="P70" s="1911" t="s">
        <v>1569</v>
      </c>
      <c r="Q70" s="1864">
        <f ca="1">C13</f>
        <v>55196</v>
      </c>
      <c r="R70" s="1864" t="s">
        <v>1513</v>
      </c>
    </row>
    <row r="71" spans="1:18" s="1820" customFormat="1" ht="13.8" thickBot="1">
      <c r="A71" s="1171" t="s">
        <v>1030</v>
      </c>
      <c r="B71" s="1172" t="s">
        <v>1471</v>
      </c>
      <c r="C71" s="382">
        <f ca="1">ROUND(C68*10000/F71,0)</f>
        <v>-5200</v>
      </c>
      <c r="D71" s="1173" t="s">
        <v>1472</v>
      </c>
      <c r="E71" s="1174" t="s">
        <v>1473</v>
      </c>
      <c r="F71" s="385">
        <f ca="1">F43</f>
        <v>82629.64</v>
      </c>
      <c r="O71" s="1872" t="s">
        <v>1047</v>
      </c>
      <c r="P71" s="1911" t="s">
        <v>1570</v>
      </c>
      <c r="Q71" s="1875">
        <f ca="1">C76</f>
        <v>8.5000000000000006E-2</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#DIV/0!</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#DIV/0!</v>
      </c>
      <c r="R74" s="1864" t="s">
        <v>1553</v>
      </c>
    </row>
    <row r="75" spans="1:18" ht="13.8" thickBot="1">
      <c r="A75" s="1820"/>
      <c r="B75" s="386" t="s">
        <v>1490</v>
      </c>
      <c r="C75" s="387">
        <f ca="1">ROUND(C13*C76,0)</f>
        <v>4692</v>
      </c>
      <c r="D75" s="1820"/>
      <c r="E75" s="1820"/>
      <c r="F75" s="1820"/>
      <c r="K75" s="1846"/>
      <c r="L75" s="1820"/>
      <c r="O75" s="1862" t="s">
        <v>1043</v>
      </c>
      <c r="P75" s="1863" t="s">
        <v>1533</v>
      </c>
      <c r="Q75" s="1864">
        <f ca="1">Q65+Q66</f>
        <v>240866</v>
      </c>
      <c r="R75" s="1864" t="s">
        <v>1044</v>
      </c>
    </row>
    <row r="76" spans="1:18">
      <c r="B76" s="388" t="s">
        <v>1491</v>
      </c>
      <c r="C76" s="389">
        <f ca="1">INDIRECT("'数据-取费表'!j"&amp;$G$1)</f>
        <v>8.5000000000000006E-2</v>
      </c>
      <c r="I76" s="1820"/>
      <c r="J76" s="1820"/>
      <c r="K76" s="1846"/>
      <c r="L76" s="1820"/>
    </row>
    <row r="77" spans="1:18">
      <c r="B77" s="390" t="s">
        <v>1492</v>
      </c>
      <c r="C77" s="391"/>
      <c r="I77" s="1820"/>
      <c r="J77" s="1820"/>
      <c r="K77" s="1846"/>
      <c r="L77" s="1820"/>
    </row>
    <row r="78" spans="1:18">
      <c r="B78" s="314" t="s">
        <v>1493</v>
      </c>
      <c r="C78" s="392"/>
    </row>
    <row r="79" spans="1:18">
      <c r="B79" s="386" t="s">
        <v>1494</v>
      </c>
      <c r="C79" s="318">
        <f ca="1">1-C80</f>
        <v>0.61299999999999999</v>
      </c>
    </row>
    <row r="80" spans="1:18">
      <c r="B80" s="386" t="s">
        <v>1495</v>
      </c>
      <c r="C80" s="318">
        <f ca="1">ROUND(C75/C39,3)</f>
        <v>0.38700000000000001</v>
      </c>
    </row>
    <row r="81" spans="2:3">
      <c r="B81" s="314" t="s">
        <v>1496</v>
      </c>
      <c r="C81" s="282"/>
    </row>
    <row r="82" spans="2:3">
      <c r="B82" s="317" t="s">
        <v>1497</v>
      </c>
      <c r="C82" s="319">
        <f ca="1">1-C83</f>
        <v>0.378</v>
      </c>
    </row>
    <row r="83" spans="2:3">
      <c r="B83" s="317" t="s">
        <v>1498</v>
      </c>
      <c r="C83" s="318">
        <f ca="1">ROUND(C13/C40,3)</f>
        <v>0.622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xr:uid="{00000000-0002-0000-2300-000000000000}">
      <formula1>"在建（套用方法）,土地（套用方法）,——"</formula1>
    </dataValidation>
    <dataValidation type="list" allowBlank="1" showInputMessage="1" showErrorMessage="1" sqref="M10 F10 F53" xr:uid="{00000000-0002-0000-2300-000001000000}">
      <formula1>"押一,押二,押三,自定义"</formula1>
    </dataValidation>
    <dataValidation type="list" allowBlank="1" showInputMessage="1" showErrorMessage="1" sqref="L55" xr:uid="{00000000-0002-0000-2300-000002000000}">
      <formula1>"比较法,基准地价,收益还原"</formula1>
    </dataValidation>
    <dataValidation type="list" allowBlank="1" showInputMessage="1" showErrorMessage="1" sqref="J56" xr:uid="{00000000-0002-0000-2300-000003000000}">
      <formula1>判定</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47" xr:uid="{00000000-0002-0000-2300-000005000000}">
      <formula1>"钢,钢混,砖混"</formula1>
    </dataValidation>
    <dataValidation type="list" allowBlank="1" showInputMessage="1" showErrorMessage="1" sqref="C1" xr:uid="{00000000-0002-0000-2300-000006000000}">
      <formula1>项目类型</formula1>
    </dataValidation>
    <dataValidation type="list" allowBlank="1" showInputMessage="1" showErrorMessage="1" sqref="D33 D61" xr:uid="{00000000-0002-0000-2300-000007000000}">
      <formula1>"按租金收入计税,按房产原值计税,按票据"</formula1>
    </dataValidation>
    <dataValidation type="list" allowBlank="1" showInputMessage="1" showErrorMessage="1" sqref="K19" xr:uid="{00000000-0002-0000-2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zoomScale="85" zoomScaleNormal="85" zoomScaleSheetLayoutView="90" workbookViewId="0">
      <selection activeCell="F6" sqref="F6"/>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3385</v>
      </c>
      <c r="D1" s="1798" t="s">
        <v>70</v>
      </c>
      <c r="E1" s="1799" t="s">
        <v>1371</v>
      </c>
      <c r="F1" s="1264" t="e">
        <f ca="1">J53</f>
        <v>#N/A</v>
      </c>
      <c r="G1" s="1814" t="e">
        <f>MATCH(C1,'数据-取费表'!A6:A16,0)+5</f>
        <v>#N/A</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t="e">
        <f ca="1">C40+J29+L46</f>
        <v>#N/A</v>
      </c>
      <c r="C2" s="1823" t="s">
        <v>1500</v>
      </c>
      <c r="D2" s="1823"/>
      <c r="E2" s="1824"/>
      <c r="F2" s="1825"/>
      <c r="G2" s="1826"/>
      <c r="H2" s="1818"/>
      <c r="I2" s="1818"/>
      <c r="J2" s="1818"/>
      <c r="K2" s="1819"/>
      <c r="L2" s="1818"/>
      <c r="M2" s="1818"/>
    </row>
    <row r="3" spans="1:37" ht="18" customHeight="1" thickBot="1">
      <c r="A3" s="1827" t="s">
        <v>1501</v>
      </c>
      <c r="B3" s="1828">
        <f ca="1">IF(ISERROR(B2*10000/F43),0,ROUND(B2*10000/F43,0))</f>
        <v>0</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t="e">
        <f ca="1">C6+C10+C12</f>
        <v>#N/A</v>
      </c>
      <c r="D5" s="1800" t="s">
        <v>1386</v>
      </c>
      <c r="E5" s="1274"/>
      <c r="F5" s="1275"/>
      <c r="G5" s="1829"/>
      <c r="H5" s="344">
        <v>1</v>
      </c>
      <c r="I5" s="345" t="s">
        <v>1385</v>
      </c>
      <c r="J5" s="1273" t="e">
        <f ca="1">J6+J10+J12</f>
        <v>#N/A</v>
      </c>
      <c r="K5" s="1800" t="s">
        <v>1386</v>
      </c>
      <c r="L5" s="1274"/>
      <c r="M5" s="1275"/>
    </row>
    <row r="6" spans="1:37" ht="18" customHeight="1">
      <c r="A6" s="1272" t="s">
        <v>1032</v>
      </c>
      <c r="B6" s="3693" t="s">
        <v>1387</v>
      </c>
      <c r="C6" s="1277" t="e">
        <f ca="1">ROUND(F6*F8*F7*(1-F9)/10000,0)</f>
        <v>#N/A</v>
      </c>
      <c r="D6" s="164" t="s">
        <v>2999</v>
      </c>
      <c r="E6" s="347" t="s">
        <v>1389</v>
      </c>
      <c r="F6" s="348" t="e">
        <f ca="1">INDIRECT("'数据-取费表'!u"&amp;$G$1)</f>
        <v>#N/A</v>
      </c>
      <c r="G6" s="1829"/>
      <c r="H6" s="1272" t="s">
        <v>1032</v>
      </c>
      <c r="I6" s="3693" t="s">
        <v>1387</v>
      </c>
      <c r="J6" s="346" t="e">
        <f ca="1">ROUND(M6*M8*M7*(1-M9)/10000,0)</f>
        <v>#N/A</v>
      </c>
      <c r="K6" s="164" t="s">
        <v>2998</v>
      </c>
      <c r="L6" s="347" t="s">
        <v>1389</v>
      </c>
      <c r="M6" s="348" t="e">
        <f ca="1">INDIRECT("'数据-取费表'!z"&amp;$G$1)</f>
        <v>#N/A</v>
      </c>
    </row>
    <row r="7" spans="1:37" ht="18" customHeight="1">
      <c r="A7" s="1276"/>
      <c r="B7" s="3694"/>
      <c r="C7" s="1278"/>
      <c r="D7" s="352"/>
      <c r="E7" s="1279" t="s">
        <v>1390</v>
      </c>
      <c r="F7" s="348" t="e">
        <f ca="1">IF(INDIRECT("'数据-取费表'!ah"&amp;$G$1)="",INDIRECT("'数据-取费表'!k"&amp;$G$1),INDIRECT("'数据-取费表'!ah"&amp;$G$1))</f>
        <v>#N/A</v>
      </c>
      <c r="G7" s="1829"/>
      <c r="H7" s="349"/>
      <c r="I7" s="3694"/>
      <c r="J7" s="351"/>
      <c r="K7" s="352"/>
      <c r="L7" s="347" t="s">
        <v>1390</v>
      </c>
      <c r="M7" s="348" t="e">
        <f ca="1">F7</f>
        <v>#N/A</v>
      </c>
    </row>
    <row r="8" spans="1:37" ht="18" customHeight="1">
      <c r="A8" s="349"/>
      <c r="B8" s="3694"/>
      <c r="C8" s="351"/>
      <c r="D8" s="352"/>
      <c r="E8" s="347" t="s">
        <v>1391</v>
      </c>
      <c r="F8" s="348" t="e">
        <f ca="1">INDIRECT("'数据-取费表'!ai"&amp;$G$1)</f>
        <v>#N/A</v>
      </c>
      <c r="G8" s="1829"/>
      <c r="H8" s="349"/>
      <c r="I8" s="3694"/>
      <c r="J8" s="351"/>
      <c r="K8" s="352"/>
      <c r="L8" s="347" t="s">
        <v>1391</v>
      </c>
      <c r="M8" s="348" t="e">
        <f ca="1">INDIRECT("'数据-取费表'!ai"&amp;$G$1)</f>
        <v>#N/A</v>
      </c>
    </row>
    <row r="9" spans="1:37" ht="18" customHeight="1">
      <c r="A9" s="349"/>
      <c r="B9" s="3695"/>
      <c r="C9" s="351"/>
      <c r="D9" s="352"/>
      <c r="E9" s="347" t="s">
        <v>1392</v>
      </c>
      <c r="F9" s="357" t="e">
        <f ca="1">INDIRECT("'数据-取费表'!w"&amp;$G$1)</f>
        <v>#N/A</v>
      </c>
      <c r="G9" s="1829"/>
      <c r="H9" s="349"/>
      <c r="I9" s="3695"/>
      <c r="J9" s="351"/>
      <c r="K9" s="352"/>
      <c r="L9" s="358" t="s">
        <v>1392</v>
      </c>
      <c r="M9" s="359" t="e">
        <f ca="1">INDIRECT("'数据-取费表'!ab"&amp;$G$1)</f>
        <v>#N/A</v>
      </c>
    </row>
    <row r="10" spans="1:37" ht="18" customHeight="1">
      <c r="A10" s="1272" t="s">
        <v>1036</v>
      </c>
      <c r="B10" s="1801" t="s">
        <v>1393</v>
      </c>
      <c r="C10" s="361" t="e">
        <f ca="1">ROUND(IF(F10="押一",C6/12*F11,IF(F10="押二",C6/12*2*F11,IF(F10="押三",C6/12*3*F11,C11*F11))),0)</f>
        <v>#N/A</v>
      </c>
      <c r="D10" s="1802" t="s">
        <v>3008</v>
      </c>
      <c r="E10" s="358" t="s">
        <v>1394</v>
      </c>
      <c r="F10" s="1347" t="s">
        <v>3039</v>
      </c>
      <c r="G10" s="1829"/>
      <c r="H10" s="1272" t="s">
        <v>1036</v>
      </c>
      <c r="I10" s="1801" t="s">
        <v>1393</v>
      </c>
      <c r="J10" s="346" t="e">
        <f ca="1">ROUND(IF(M10="押一",J6/12*M11,IF(M10="押二",J6/12*2*M11,IF(M10="押三",J6/12*3*M11,J11*M11))),0)</f>
        <v>#N/A</v>
      </c>
      <c r="K10" s="1802" t="s">
        <v>3007</v>
      </c>
      <c r="L10" s="358" t="s">
        <v>1394</v>
      </c>
      <c r="M10" s="1347" t="s">
        <v>3039</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t="e">
        <f ca="1">ROUND(C29*F13,0)</f>
        <v>#N/A</v>
      </c>
      <c r="D13" s="1312" t="s">
        <v>1399</v>
      </c>
      <c r="E13" s="1312" t="s">
        <v>1400</v>
      </c>
      <c r="F13" s="1313" t="e">
        <f ca="1">INDIRECT("'数据-取费表'!y"&amp;$G$1)</f>
        <v>#N/A</v>
      </c>
      <c r="G13" s="1829"/>
      <c r="H13" s="1310">
        <v>2</v>
      </c>
      <c r="I13" s="1311" t="s">
        <v>1398</v>
      </c>
      <c r="J13" s="1271" t="e">
        <f ca="1">ROUND(J14*J15,0)</f>
        <v>#N/A</v>
      </c>
      <c r="K13" s="1318" t="s">
        <v>1399</v>
      </c>
      <c r="L13" s="1830"/>
      <c r="M13" s="1831"/>
    </row>
    <row r="14" spans="1:37" ht="18" customHeight="1">
      <c r="A14" s="1182" t="s">
        <v>1031</v>
      </c>
      <c r="B14" s="347" t="s">
        <v>1401</v>
      </c>
      <c r="C14" s="363" t="e">
        <f ca="1">INDIRECT("'数据-取费表'!m"&amp;$G$1)+INDIRECT("'数据-取费表'!t"&amp;$G$1)</f>
        <v>#N/A</v>
      </c>
      <c r="D14" s="1778" t="s">
        <v>1402</v>
      </c>
      <c r="E14" s="1772"/>
      <c r="F14" s="364"/>
      <c r="G14" s="1829"/>
      <c r="H14" s="1182" t="s">
        <v>1032</v>
      </c>
      <c r="I14" s="347" t="s">
        <v>1403</v>
      </c>
      <c r="J14" s="24" t="e">
        <f ca="1">C29</f>
        <v>#N/A</v>
      </c>
      <c r="K14" s="15"/>
      <c r="L14" s="968"/>
      <c r="M14" s="969"/>
    </row>
    <row r="15" spans="1:37" s="1836" customFormat="1" ht="18" customHeight="1" thickBot="1">
      <c r="A15" s="1182" t="s">
        <v>1033</v>
      </c>
      <c r="B15" s="347" t="s">
        <v>1404</v>
      </c>
      <c r="C15" s="24" t="e">
        <f ca="1">ROUND(C14*F15,0)</f>
        <v>#N/A</v>
      </c>
      <c r="D15" s="365" t="s">
        <v>1405</v>
      </c>
      <c r="E15" s="365" t="s">
        <v>1406</v>
      </c>
      <c r="F15" s="366">
        <f>'数据-取费表'!B33</f>
        <v>0.05</v>
      </c>
      <c r="G15" s="1832"/>
      <c r="H15" s="1320" t="s">
        <v>1036</v>
      </c>
      <c r="I15" s="1321" t="s">
        <v>1400</v>
      </c>
      <c r="J15" s="1330" t="e">
        <f ca="1">INDIRECT("'数据-取费表'!ad"&amp;$G$1)</f>
        <v>#N/A</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t="e">
        <f ca="1">ROUND(INDIRECT("'数据-取费表'!m"&amp;$G$1)*F16,0)</f>
        <v>#N/A</v>
      </c>
      <c r="D16" s="347" t="s">
        <v>1405</v>
      </c>
      <c r="E16" s="347" t="s">
        <v>1406</v>
      </c>
      <c r="F16" s="367" t="e">
        <f ca="1">IF(INDIRECT("'数据-取费表'!c"&amp;$G$1)="住宅",'数据-取费表'!B34,0)</f>
        <v>#N/A</v>
      </c>
      <c r="G16" s="1829"/>
      <c r="H16" s="1310" t="s">
        <v>1027</v>
      </c>
      <c r="I16" s="1311" t="s">
        <v>1408</v>
      </c>
      <c r="J16" s="355" t="e">
        <f ca="1">ROUND(J17+J22+J23+J24,0)</f>
        <v>#N/A</v>
      </c>
      <c r="K16" s="1318" t="s">
        <v>1409</v>
      </c>
      <c r="L16" s="1319"/>
      <c r="M16" s="1275"/>
    </row>
    <row r="17" spans="1:37" s="1836" customFormat="1" ht="18" customHeight="1">
      <c r="A17" s="1182" t="s">
        <v>1374</v>
      </c>
      <c r="B17" s="347" t="s">
        <v>1410</v>
      </c>
      <c r="C17" s="24" t="e">
        <f ca="1">ROUND(F17*(F43+INDIRECT("'数据-取费表'!S"&amp;$G$1))/10000,0)</f>
        <v>#N/A</v>
      </c>
      <c r="D17" s="347" t="s">
        <v>1411</v>
      </c>
      <c r="E17" s="347" t="s">
        <v>1412</v>
      </c>
      <c r="F17" s="26">
        <f>'数据-取费表'!B35</f>
        <v>200</v>
      </c>
      <c r="G17" s="1832"/>
      <c r="H17" s="1182" t="s">
        <v>1032</v>
      </c>
      <c r="I17" s="347" t="s">
        <v>1413</v>
      </c>
      <c r="J17" s="24" t="e">
        <f ca="1">ROUND(IF(项目基本情况!B11="自然人",J6*M17/(1+'数据-取费表'!C42),J18+J19+J20),1)</f>
        <v>#N/A</v>
      </c>
      <c r="K17" s="1778" t="s">
        <v>1414</v>
      </c>
      <c r="L17" s="1776"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t="e">
        <f ca="1">ROUND(C14*F18,0)</f>
        <v>#N/A</v>
      </c>
      <c r="D18" s="347" t="s">
        <v>1405</v>
      </c>
      <c r="E18" s="347" t="s">
        <v>1406</v>
      </c>
      <c r="F18" s="367">
        <f>'数据-取费表'!B36</f>
        <v>1.4999999999999999E-2</v>
      </c>
      <c r="G18" s="1832"/>
      <c r="H18" s="1182" t="s">
        <v>1031</v>
      </c>
      <c r="I18" s="347" t="s">
        <v>1417</v>
      </c>
      <c r="J18" s="24" t="e">
        <f ca="1">ROUND(J6*M18/(1+'数据-取费表'!C42),2)</f>
        <v>#N/A</v>
      </c>
      <c r="K18" s="1776"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t="e">
        <f ca="1">SUM(C14:C18)</f>
        <v>#N/A</v>
      </c>
      <c r="D19" s="140" t="s">
        <v>1420</v>
      </c>
      <c r="E19" s="1796"/>
      <c r="F19" s="26"/>
      <c r="G19" s="1829"/>
      <c r="H19" s="1182" t="s">
        <v>1033</v>
      </c>
      <c r="I19" s="347" t="s">
        <v>1421</v>
      </c>
      <c r="J19" s="24" t="e">
        <f ca="1">IF(K19="按租金收入计税",ROUND(J6*M19/(1+'数据-取费表'!C42),2),ROUND(C29*M19*0.7,2))</f>
        <v>#N/A</v>
      </c>
      <c r="K19" s="1806" t="s">
        <v>3050</v>
      </c>
      <c r="L19" s="347" t="s">
        <v>1406</v>
      </c>
      <c r="M19" s="367">
        <f>IF(K19="按租金收入计税",'数据-取费表'!B51,'数据-取费表'!B50)</f>
        <v>0.12</v>
      </c>
    </row>
    <row r="20" spans="1:37" s="1836" customFormat="1" ht="18" customHeight="1">
      <c r="A20" s="1182" t="s">
        <v>1036</v>
      </c>
      <c r="B20" s="347" t="s">
        <v>1423</v>
      </c>
      <c r="C20" s="24" t="e">
        <f ca="1">ROUND(C19*F20,0)</f>
        <v>#N/A</v>
      </c>
      <c r="D20" s="369" t="s">
        <v>1424</v>
      </c>
      <c r="E20" s="347" t="s">
        <v>1406</v>
      </c>
      <c r="F20" s="367">
        <f>'数据-取费表'!B37</f>
        <v>0.02</v>
      </c>
      <c r="G20" s="1832"/>
      <c r="H20" s="1182" t="s">
        <v>1373</v>
      </c>
      <c r="I20" s="164" t="s">
        <v>1425</v>
      </c>
      <c r="J20" s="25" t="e">
        <f ca="1">ROUND(M20*M21/10000,2)</f>
        <v>#N/A</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18</v>
      </c>
      <c r="D21" s="369" t="s">
        <v>1429</v>
      </c>
      <c r="E21" s="347" t="s">
        <v>1430</v>
      </c>
      <c r="F21" s="367">
        <f>'数据-取费表'!B38</f>
        <v>0.02</v>
      </c>
      <c r="G21" s="1832"/>
      <c r="H21" s="372"/>
      <c r="I21" s="356"/>
      <c r="J21" s="29"/>
      <c r="K21" s="373"/>
      <c r="L21" s="347" t="s">
        <v>1431</v>
      </c>
      <c r="M21" s="348" t="e">
        <f ca="1">INDIRECT("'数据-取费表'!r"&amp;$G$1)</f>
        <v>#N/A</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1796"/>
      <c r="F22" s="26"/>
      <c r="G22" s="1829"/>
      <c r="H22" s="1182" t="s">
        <v>1036</v>
      </c>
      <c r="I22" s="347" t="s">
        <v>1433</v>
      </c>
      <c r="J22" s="24" t="e">
        <f ca="1">ROUND(J14*M22,1)</f>
        <v>#N/A</v>
      </c>
      <c r="K22" s="1776" t="s">
        <v>1434</v>
      </c>
      <c r="L22" s="347" t="s">
        <v>1406</v>
      </c>
      <c r="M22" s="374" t="e">
        <f ca="1">INDIRECT("'数据-取费表'!Ak"&amp;$G$1)</f>
        <v>#N/A</v>
      </c>
    </row>
    <row r="23" spans="1:37" s="1836" customFormat="1" ht="18" customHeight="1">
      <c r="A23" s="1182" t="s">
        <v>1031</v>
      </c>
      <c r="B23" s="347" t="s">
        <v>1435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t="e">
        <f ca="1">ROUND(J13*M23,1)</f>
        <v>#N/A</v>
      </c>
      <c r="K23" s="1776" t="s">
        <v>1438</v>
      </c>
      <c r="L23" s="347" t="s">
        <v>1439</v>
      </c>
      <c r="M23" s="376" t="e">
        <f ca="1">INDIRECT("'数据-取费表'!Al"&amp;$G$1)</f>
        <v>#N/A</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1440</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1377</v>
      </c>
      <c r="I24" s="1321" t="s">
        <v>1423</v>
      </c>
      <c r="J24" s="1322" t="e">
        <f ca="1">ROUND(J5*M24,1)</f>
        <v>#N/A</v>
      </c>
      <c r="K24" s="1323" t="s">
        <v>1443</v>
      </c>
      <c r="L24" s="1321" t="s">
        <v>1439</v>
      </c>
      <c r="M24" s="1317" t="e">
        <f ca="1">INDIRECT("'数据-取费表'!Am"&amp;$G$1)</f>
        <v>#N/A</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1796"/>
      <c r="F25" s="26"/>
      <c r="G25" s="1829"/>
      <c r="H25" s="1310" t="s">
        <v>1028</v>
      </c>
      <c r="I25" s="1325" t="s">
        <v>1447</v>
      </c>
      <c r="J25" s="355" t="e">
        <f ca="1">J5-J16</f>
        <v>#N/A</v>
      </c>
      <c r="K25" s="1326" t="s">
        <v>1448</v>
      </c>
      <c r="L25" s="1327"/>
      <c r="M25" s="1328"/>
    </row>
    <row r="26" spans="1:37">
      <c r="A26" s="1182" t="s">
        <v>1031</v>
      </c>
      <c r="B26" s="347" t="s">
        <v>1449</v>
      </c>
      <c r="C26" s="24" t="e">
        <f ca="1">ROUND((C19+C20)*F26,0)</f>
        <v>#N/A</v>
      </c>
      <c r="D26" s="369" t="s">
        <v>1450</v>
      </c>
      <c r="E26" s="358" t="s">
        <v>1451</v>
      </c>
      <c r="F26" s="357" t="e">
        <f ca="1">INDIRECT("'数据-取费表'!q"&amp;$G$1)</f>
        <v>#N/A</v>
      </c>
      <c r="G26" s="1829"/>
      <c r="H26" s="344" t="s">
        <v>1029</v>
      </c>
      <c r="I26" s="345" t="s">
        <v>1452</v>
      </c>
      <c r="J26" s="346" t="e">
        <f ca="1">IF(J5&lt;&gt;0,ROUND(J25*(1-((1+M28)/(1+M26))^M27)/(M26-M28),0),0)</f>
        <v>#N/A</v>
      </c>
      <c r="K26" s="370" t="s">
        <v>1453</v>
      </c>
      <c r="L26" s="347" t="s">
        <v>1454</v>
      </c>
      <c r="M26" s="357" t="e">
        <f ca="1">INDIRECT("'数据-取费表'!I"&amp;$G$1)</f>
        <v>#N/A</v>
      </c>
    </row>
    <row r="27" spans="1:37" ht="18" customHeight="1">
      <c r="A27" s="1182" t="s">
        <v>1033</v>
      </c>
      <c r="B27" s="347" t="s">
        <v>1455</v>
      </c>
      <c r="C27" s="24" t="e">
        <f ca="1">ROUND(F21*F26,4)</f>
        <v>#N/A</v>
      </c>
      <c r="D27" s="369" t="s">
        <v>1456</v>
      </c>
      <c r="E27" s="365"/>
      <c r="F27" s="366"/>
      <c r="G27" s="1829"/>
      <c r="H27" s="349"/>
      <c r="I27" s="350"/>
      <c r="J27" s="351"/>
      <c r="K27" s="378" t="s">
        <v>1457</v>
      </c>
      <c r="L27" s="347" t="s">
        <v>1458</v>
      </c>
      <c r="M27" s="379" t="e">
        <f ca="1">INDIRECT("'数据-取费表'!ag"&amp;$G$1)</f>
        <v>#N/A</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t="e">
        <f ca="1">INDIRECT("'数据-取费表'!aa"&amp;$G$1)</f>
        <v>#N/A</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t="e">
        <f ca="1">ROUND((C19+C20+C23+C26)/(1-F21-C24-C27-C28),0)</f>
        <v>#N/A</v>
      </c>
      <c r="D29" s="1323"/>
      <c r="E29" s="1321"/>
      <c r="F29" s="1324"/>
      <c r="G29" s="1832"/>
      <c r="H29" s="380" t="s">
        <v>1030</v>
      </c>
      <c r="I29" s="381" t="s">
        <v>1463</v>
      </c>
      <c r="J29" s="382" t="e">
        <f ca="1">ROUND(J26/(1+F40)^F41,0)</f>
        <v>#N/A</v>
      </c>
      <c r="K29" s="383" t="s">
        <v>1464</v>
      </c>
      <c r="L29" s="384"/>
      <c r="M29" s="385" t="e">
        <f ca="1">INDIRECT("'数据-取费表'!k"&amp;$G$1)</f>
        <v>#N/A</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t="e">
        <f ca="1">ROUND(C31+C36+C37+C38,0)</f>
        <v>#N/A</v>
      </c>
      <c r="D30" s="1318" t="s">
        <v>1409</v>
      </c>
      <c r="E30" s="1319"/>
      <c r="F30" s="1275"/>
      <c r="G30" s="1829"/>
      <c r="H30" s="741"/>
      <c r="I30" s="742"/>
      <c r="J30" s="743"/>
      <c r="K30" s="744"/>
      <c r="L30" s="745"/>
      <c r="M30" s="746"/>
    </row>
    <row r="31" spans="1:37" ht="18" customHeight="1">
      <c r="A31" s="1182" t="s">
        <v>1032</v>
      </c>
      <c r="B31" s="347" t="s">
        <v>1413</v>
      </c>
      <c r="C31" s="24" t="e">
        <f ca="1">ROUND(IF(项目基本情况!B11="自然人",C6*F31/(1+'数据-取费表'!C42),C32+C33+C34),1)</f>
        <v>#N/A</v>
      </c>
      <c r="D31" s="1778" t="s">
        <v>1414</v>
      </c>
      <c r="E31" s="1776"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t="e">
        <f ca="1">IF(项目基本情况!B11="自然人","——",ROUND(C6*F32/(1+'数据-取费表'!C42),2))</f>
        <v>#N/A</v>
      </c>
      <c r="D32" s="1776" t="s">
        <v>1418</v>
      </c>
      <c r="E32" s="347" t="s">
        <v>1406</v>
      </c>
      <c r="F32" s="377">
        <f>'数据-取费表'!B41</f>
        <v>5.6000000000000001E-2</v>
      </c>
      <c r="G32" s="1829"/>
      <c r="H32" s="741"/>
      <c r="I32" s="742"/>
      <c r="J32" s="743"/>
      <c r="K32" s="744"/>
      <c r="L32" s="745"/>
      <c r="M32" s="746"/>
    </row>
    <row r="33" spans="1:18" ht="18" customHeight="1">
      <c r="A33" s="1182" t="s">
        <v>1033</v>
      </c>
      <c r="B33" s="347" t="s">
        <v>1421</v>
      </c>
      <c r="C33" s="24" t="e">
        <f ca="1">IF(项目基本情况!B11="自然人","——",IF(D33="按租金收入计税",ROUND(C6*F33/(1+'数据-取费表'!C42),2),IF(D33="按房产原值计税",ROUND(C29*F33*0.7,2),INDIRECT("'数据-取费表'!Aj"&amp;$G$1))))</f>
        <v>#N/A</v>
      </c>
      <c r="D33" s="1806" t="s">
        <v>3050</v>
      </c>
      <c r="E33" s="347" t="s">
        <v>1406</v>
      </c>
      <c r="F33" s="367">
        <f>IF(D33="按票据","——",IF(D33="按租金收入计税",'数据-取费表'!B51,'数据-取费表'!B50))</f>
        <v>0.12</v>
      </c>
      <c r="G33" s="1829"/>
      <c r="H33" s="1837"/>
      <c r="I33" s="1838"/>
      <c r="J33" s="1839"/>
      <c r="K33" s="1840"/>
      <c r="L33" s="1837"/>
      <c r="M33" s="1837"/>
    </row>
    <row r="34" spans="1:18" ht="18" customHeight="1">
      <c r="A34" s="1272" t="s">
        <v>1373</v>
      </c>
      <c r="B34" s="164" t="s">
        <v>1425</v>
      </c>
      <c r="C34" s="25" t="e">
        <f ca="1">IF(项目基本情况!B11="自然人","——",ROUND(F34*F35/10000,2))</f>
        <v>#N/A</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t="e">
        <f ca="1">INDIRECT("'数据-取费表'!r"&amp;$G$1)</f>
        <v>#N/A</v>
      </c>
      <c r="G35" s="1829"/>
      <c r="H35" s="741"/>
      <c r="I35" s="1838"/>
      <c r="J35" s="1839"/>
      <c r="K35" s="1840"/>
      <c r="L35" s="1837"/>
      <c r="M35" s="1837"/>
    </row>
    <row r="36" spans="1:18" ht="18" customHeight="1">
      <c r="A36" s="1333" t="s">
        <v>1036</v>
      </c>
      <c r="B36" s="347" t="s">
        <v>1433</v>
      </c>
      <c r="C36" s="24" t="e">
        <f ca="1">ROUND(C29*F36,1)</f>
        <v>#N/A</v>
      </c>
      <c r="D36" s="1776" t="s">
        <v>1466</v>
      </c>
      <c r="E36" s="347" t="s">
        <v>1406</v>
      </c>
      <c r="F36" s="374" t="e">
        <f ca="1">INDIRECT("'数据-取费表'!Ak"&amp;$G$1)</f>
        <v>#N/A</v>
      </c>
      <c r="G36" s="1829"/>
      <c r="H36" s="1837"/>
      <c r="I36" s="1838"/>
      <c r="J36" s="1839"/>
      <c r="K36" s="747"/>
      <c r="L36" s="1837"/>
      <c r="M36" s="1837"/>
    </row>
    <row r="37" spans="1:18" ht="18" customHeight="1">
      <c r="A37" s="1182" t="s">
        <v>1072</v>
      </c>
      <c r="B37" s="347" t="s">
        <v>1437</v>
      </c>
      <c r="C37" s="24" t="e">
        <f ca="1">ROUND(C13*F37,1)</f>
        <v>#N/A</v>
      </c>
      <c r="D37" s="1776" t="s">
        <v>1438</v>
      </c>
      <c r="E37" s="347" t="s">
        <v>1439</v>
      </c>
      <c r="F37" s="376" t="e">
        <f ca="1">INDIRECT("'数据-取费表'!Al"&amp;$G$1)</f>
        <v>#N/A</v>
      </c>
      <c r="G37" s="1829"/>
      <c r="H37" s="1837"/>
      <c r="I37" s="1838"/>
      <c r="J37" s="1839"/>
      <c r="K37" s="747"/>
      <c r="L37" s="1837"/>
      <c r="M37" s="1837"/>
    </row>
    <row r="38" spans="1:18" ht="18" customHeight="1" thickBot="1">
      <c r="A38" s="1320" t="s">
        <v>1377</v>
      </c>
      <c r="B38" s="1321" t="s">
        <v>1423</v>
      </c>
      <c r="C38" s="1322" t="e">
        <f ca="1">ROUND(C5*F38,1)</f>
        <v>#N/A</v>
      </c>
      <c r="D38" s="1323" t="s">
        <v>1443</v>
      </c>
      <c r="E38" s="1321" t="s">
        <v>1439</v>
      </c>
      <c r="F38" s="1317" t="e">
        <f ca="1">INDIRECT("'数据-取费表'!Am"&amp;$G$1)</f>
        <v>#N/A</v>
      </c>
      <c r="G38" s="1829"/>
      <c r="H38" s="1837"/>
      <c r="I38" s="1838"/>
      <c r="J38" s="1839"/>
      <c r="K38" s="1843"/>
      <c r="L38" s="1837"/>
      <c r="M38" s="1837"/>
    </row>
    <row r="39" spans="1:18" ht="24.6" customHeight="1" thickTop="1">
      <c r="A39" s="1310" t="s">
        <v>1028</v>
      </c>
      <c r="B39" s="1325" t="s">
        <v>1467</v>
      </c>
      <c r="C39" s="355" t="e">
        <f ca="1">C5-C30</f>
        <v>#N/A</v>
      </c>
      <c r="D39" s="1326" t="s">
        <v>1468</v>
      </c>
      <c r="E39" s="1327"/>
      <c r="F39" s="1328"/>
      <c r="G39" s="1829"/>
      <c r="H39" s="1837"/>
      <c r="I39" s="1838"/>
      <c r="J39" s="1839"/>
      <c r="K39" s="1843"/>
      <c r="L39" s="1837"/>
      <c r="M39" s="1837"/>
    </row>
    <row r="40" spans="1:18" ht="18" customHeight="1">
      <c r="A40" s="344" t="s">
        <v>1029</v>
      </c>
      <c r="B40" s="345" t="s">
        <v>1469</v>
      </c>
      <c r="C40" s="346" t="e">
        <f ca="1">ROUND(C39*(1-((1+F42)/(1+F40))^F41)/(F40-F42),0)</f>
        <v>#N/A</v>
      </c>
      <c r="D40" s="370" t="s">
        <v>1453</v>
      </c>
      <c r="E40" s="347" t="s">
        <v>1454</v>
      </c>
      <c r="F40" s="357" t="e">
        <f ca="1">INDIRECT("'数据-取费表'!I"&amp;$G$1)</f>
        <v>#N/A</v>
      </c>
      <c r="G40" s="1829"/>
      <c r="H40" s="1817"/>
      <c r="I40" s="1838"/>
      <c r="J40" s="1839"/>
      <c r="K40" s="1843"/>
      <c r="L40" s="1817"/>
      <c r="M40" s="1817"/>
    </row>
    <row r="41" spans="1:18" ht="18" customHeight="1">
      <c r="A41" s="349"/>
      <c r="B41" s="350"/>
      <c r="C41" s="351"/>
      <c r="D41" s="378" t="s">
        <v>1470</v>
      </c>
      <c r="E41" s="347" t="s">
        <v>1458</v>
      </c>
      <c r="F41" s="379" t="e">
        <f ca="1">IF(INDIRECT("'数据-取费表'!af"&amp;$G$1)=0,INDIRECT("'数据-取费表'!ae"&amp;$G$1),INDIRECT("'数据-取费表'!af"&amp;$G$1))</f>
        <v>#N/A</v>
      </c>
      <c r="G41" s="1829"/>
      <c r="H41" s="728"/>
      <c r="I41" s="1838"/>
      <c r="J41" s="1839"/>
      <c r="K41" s="747"/>
      <c r="L41" s="728"/>
      <c r="M41" s="728"/>
    </row>
    <row r="42" spans="1:18" ht="18" customHeight="1">
      <c r="A42" s="353"/>
      <c r="B42" s="354"/>
      <c r="C42" s="355"/>
      <c r="D42" s="373"/>
      <c r="E42" s="347" t="s">
        <v>1461</v>
      </c>
      <c r="F42" s="357" t="e">
        <f ca="1">INDIRECT("'数据-取费表'!v"&amp;$G$1)</f>
        <v>#N/A</v>
      </c>
      <c r="G42" s="1829"/>
      <c r="H42" s="728"/>
      <c r="I42" s="1838"/>
      <c r="J42" s="1839"/>
      <c r="K42" s="747"/>
      <c r="L42" s="728"/>
      <c r="M42" s="728"/>
    </row>
    <row r="43" spans="1:18" ht="18" customHeight="1" thickBot="1">
      <c r="A43" s="380" t="s">
        <v>1030</v>
      </c>
      <c r="B43" s="381" t="s">
        <v>1471</v>
      </c>
      <c r="C43" s="382" t="e">
        <f ca="1">ROUND(C40*10000/F43,0)</f>
        <v>#N/A</v>
      </c>
      <c r="D43" s="383" t="s">
        <v>1472</v>
      </c>
      <c r="E43" s="384" t="s">
        <v>1473</v>
      </c>
      <c r="F43" s="385" t="e">
        <f ca="1">INDIRECT("'数据-取费表'!k"&amp;$G$1)</f>
        <v>#N/A</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t="e">
        <f ca="1">C68-C40</f>
        <v>#N/A</v>
      </c>
      <c r="D46" s="1850" t="str">
        <f>C2</f>
        <v>万元</v>
      </c>
      <c r="E46" s="1844"/>
      <c r="F46" s="1844"/>
      <c r="I46" s="1851" t="s">
        <v>1505</v>
      </c>
      <c r="J46" s="1852"/>
      <c r="K46" s="1853"/>
      <c r="L46" s="1854" t="e">
        <f ca="1">IF(M47="住宅",0,IF(L48&gt;J51,L60,J60))</f>
        <v>#N/A</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t="e">
        <f ca="1">INDIRECT("'数据-取费表'!d"&amp;$G$1)</f>
        <v>#N/A</v>
      </c>
      <c r="M47" s="1816" t="str">
        <f>IF(ISNUMBER(FIND("住宅",C1)),"住宅","非住宅")</f>
        <v>非住宅</v>
      </c>
      <c r="O47" s="1862" t="s">
        <v>1037</v>
      </c>
      <c r="P47" s="1863" t="s">
        <v>1512</v>
      </c>
      <c r="Q47" s="1864" t="e">
        <f ca="1">C40+J29</f>
        <v>#N/A</v>
      </c>
      <c r="R47" s="1864" t="s">
        <v>1513</v>
      </c>
    </row>
    <row r="48" spans="1:18" s="1820" customFormat="1" ht="40.200000000000003" thickBot="1">
      <c r="A48" s="1341" t="s">
        <v>1125</v>
      </c>
      <c r="B48" s="345" t="s">
        <v>1385</v>
      </c>
      <c r="C48" s="1795" t="e">
        <f ca="1">C49+C53+C55</f>
        <v>#N/A</v>
      </c>
      <c r="D48" s="1343"/>
      <c r="E48" s="1344"/>
      <c r="F48" s="1162"/>
      <c r="G48" s="787"/>
      <c r="H48" s="788"/>
      <c r="I48" s="1865" t="s">
        <v>1514</v>
      </c>
      <c r="J48" s="1866" t="s">
        <v>3035</v>
      </c>
      <c r="K48" s="1867" t="s">
        <v>1515</v>
      </c>
      <c r="L48" s="1868" t="e">
        <f ca="1">INDIRECT("'数据-取费表'!f"&amp;$G$1)</f>
        <v>#N/A</v>
      </c>
      <c r="O48" s="1862" t="s">
        <v>1038</v>
      </c>
      <c r="P48" s="1863" t="s">
        <v>1516</v>
      </c>
      <c r="Q48" s="1864" t="e">
        <f ca="1">J60</f>
        <v>#N/A</v>
      </c>
      <c r="R48" s="1864" t="s">
        <v>1517</v>
      </c>
    </row>
    <row r="49" spans="1:18" s="1820" customFormat="1" ht="13.8" thickBot="1">
      <c r="A49" s="1175" t="s">
        <v>1126</v>
      </c>
      <c r="B49" s="1807" t="s">
        <v>1474</v>
      </c>
      <c r="C49" s="1345" t="e">
        <f ca="1">ROUND(F49*F51*F50*(1-F52)/10000,0)</f>
        <v>#N/A</v>
      </c>
      <c r="D49" s="1257" t="s">
        <v>3000</v>
      </c>
      <c r="E49" s="1808" t="s">
        <v>1475</v>
      </c>
      <c r="F49" s="1262"/>
      <c r="G49" s="1869"/>
      <c r="H49" s="788"/>
      <c r="I49" s="1865" t="s">
        <v>1518</v>
      </c>
      <c r="J49" s="1870">
        <v>1997</v>
      </c>
      <c r="K49" s="1867" t="s">
        <v>1519</v>
      </c>
      <c r="L49" s="1871"/>
      <c r="O49" s="1872" t="s">
        <v>1039</v>
      </c>
      <c r="P49" s="1863" t="s">
        <v>1520</v>
      </c>
      <c r="Q49" s="1864" t="e">
        <f ca="1">C29</f>
        <v>#N/A</v>
      </c>
      <c r="R49" s="1864" t="s">
        <v>1513</v>
      </c>
    </row>
    <row r="50" spans="1:18" s="1820" customFormat="1" ht="13.8" thickBot="1">
      <c r="A50" s="1176"/>
      <c r="B50" s="1179"/>
      <c r="C50" s="1349"/>
      <c r="D50" s="1153"/>
      <c r="E50" s="1258" t="s">
        <v>1390</v>
      </c>
      <c r="F50" s="1259" t="e">
        <f ca="1">F7</f>
        <v>#N/A</v>
      </c>
      <c r="H50" s="788"/>
      <c r="I50" s="1865" t="s">
        <v>1521</v>
      </c>
      <c r="J50" s="1873">
        <f>SUMPRODUCT((I63:I65=J47)*(J62:L62=J48)*(J63:L65))</f>
        <v>60</v>
      </c>
      <c r="K50" s="1867" t="s">
        <v>1522</v>
      </c>
      <c r="L50" s="1871"/>
      <c r="M50" s="1874"/>
      <c r="O50" s="1872" t="s">
        <v>1040</v>
      </c>
      <c r="P50" s="1863" t="s">
        <v>1523</v>
      </c>
      <c r="Q50" s="1875" t="e">
        <f ca="1">J58</f>
        <v>#N/A</v>
      </c>
      <c r="R50" s="1864"/>
    </row>
    <row r="51" spans="1:18" s="1820" customFormat="1" ht="13.8" thickBot="1">
      <c r="A51" s="1177"/>
      <c r="B51" s="1179"/>
      <c r="C51" s="1180"/>
      <c r="D51" s="1153"/>
      <c r="E51" s="1181" t="s">
        <v>1391</v>
      </c>
      <c r="F51" s="348" t="e">
        <f ca="1">F8</f>
        <v>#N/A</v>
      </c>
      <c r="I51" s="1876" t="s">
        <v>1524</v>
      </c>
      <c r="J51" s="1877">
        <f>IF(J49="",J50,J49+J50-YEAR('数据-取费表'!B2))</f>
        <v>37</v>
      </c>
      <c r="K51" s="1878" t="s">
        <v>1525</v>
      </c>
      <c r="L51" s="1879" t="e">
        <f ca="1">ROUND(-PV(INDIRECT("'数据-取费表'!h"&amp;$G$1),L48,(C39-C13*C76),0),0)</f>
        <v>#N/A</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t="e">
        <f ca="1">J53</f>
        <v>#N/A</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t="e">
        <f ca="1">IF(M47="住宅",IF(D1="——",MAX(J51,L48),MAX(J51,L48-'数据-取费表'!B24)),IF(D1="——",MIN(J51,L48),MIN(J51,L48-'数据-取费表'!B24)))</f>
        <v>#N/A</v>
      </c>
      <c r="K53" s="3696" t="s">
        <v>1532</v>
      </c>
      <c r="L53" s="3697"/>
      <c r="O53" s="1862" t="s">
        <v>1043</v>
      </c>
      <c r="P53" s="1863" t="s">
        <v>1533</v>
      </c>
      <c r="Q53" s="1864" t="e">
        <f ca="1">Q47+Q48</f>
        <v>#N/A</v>
      </c>
      <c r="R53" s="1864" t="s">
        <v>1044</v>
      </c>
    </row>
    <row r="54" spans="1:18" s="1820" customFormat="1" ht="24.6" thickBot="1">
      <c r="A54" s="1386"/>
      <c r="B54" s="1803" t="s">
        <v>1372</v>
      </c>
      <c r="C54" s="1159"/>
      <c r="D54" s="1802"/>
      <c r="E54" s="1810"/>
      <c r="F54" s="1884"/>
      <c r="I54" s="188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6"/>
      <c r="K54" s="1886"/>
      <c r="L54" s="1886"/>
      <c r="M54" s="1869"/>
      <c r="O54" s="1847" t="s">
        <v>1534</v>
      </c>
      <c r="P54" s="1817"/>
      <c r="Q54" s="1817"/>
      <c r="R54" s="1817"/>
    </row>
    <row r="55" spans="1:18" s="1820" customFormat="1" ht="13.8" thickBot="1">
      <c r="A55" s="1314" t="s">
        <v>1072</v>
      </c>
      <c r="B55" s="1805" t="s">
        <v>1397</v>
      </c>
      <c r="C55" s="1315"/>
      <c r="D55" s="1802"/>
      <c r="E55" s="1810"/>
      <c r="F55" s="1884"/>
      <c r="I55" s="1887" t="s">
        <v>1535</v>
      </c>
      <c r="J55" s="1888" t="e">
        <f ca="1">ROUND(IF(J47="钢混",J57/J50,1-(1-2%)*(J50-J57)/J50),3)</f>
        <v>#N/A</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t="e">
        <f ca="1">C13</f>
        <v>#N/A</v>
      </c>
      <c r="D56" s="1891"/>
      <c r="E56" s="1892"/>
      <c r="F56" s="1884"/>
      <c r="I56" s="1893" t="s">
        <v>1538</v>
      </c>
      <c r="J56" s="1894" t="s">
        <v>3033</v>
      </c>
      <c r="K56" s="1865" t="s">
        <v>1539</v>
      </c>
      <c r="L56" s="1868" t="e">
        <f ca="1">IF(L48&lt;J51,"——",L48-J53)</f>
        <v>#N/A</v>
      </c>
      <c r="O56" s="1862" t="s">
        <v>1037</v>
      </c>
      <c r="P56" s="1863" t="s">
        <v>1512</v>
      </c>
      <c r="Q56" s="1864" t="e">
        <f ca="1">C40+J29</f>
        <v>#N/A</v>
      </c>
      <c r="R56" s="1864" t="s">
        <v>1513</v>
      </c>
    </row>
    <row r="57" spans="1:18" s="1820" customFormat="1" ht="24.6" thickBot="1">
      <c r="A57" s="1895"/>
      <c r="B57" s="1150" t="s">
        <v>1462</v>
      </c>
      <c r="C57" s="282" t="e">
        <f ca="1">C29</f>
        <v>#N/A</v>
      </c>
      <c r="D57" s="1896"/>
      <c r="E57" s="1897"/>
      <c r="F57" s="1898"/>
      <c r="I57" s="1899" t="s">
        <v>1540</v>
      </c>
      <c r="J57" s="1900" t="e">
        <f ca="1">IF(OR(M47="住宅",J51&lt;L48,J56="是"),"——",J51-L48)</f>
        <v>#N/A</v>
      </c>
      <c r="K57" s="1865" t="s">
        <v>1541</v>
      </c>
      <c r="L57" s="1868" t="e">
        <f ca="1">IF(L48&lt;J51,"——",IF(L55="比较法",L49,IF(L55="基准地价",L50,L51)))</f>
        <v>#N/A</v>
      </c>
      <c r="O57" s="1862" t="s">
        <v>1038</v>
      </c>
      <c r="P57" s="1863" t="s">
        <v>1542</v>
      </c>
      <c r="Q57" s="1864" t="e">
        <f ca="1">L60</f>
        <v>#N/A</v>
      </c>
      <c r="R57" s="1864" t="s">
        <v>1543</v>
      </c>
    </row>
    <row r="58" spans="1:18" s="1820" customFormat="1" ht="24.6" thickBot="1">
      <c r="A58" s="360" t="s">
        <v>1027</v>
      </c>
      <c r="B58" s="1158" t="s">
        <v>1408</v>
      </c>
      <c r="C58" s="361" t="e">
        <f ca="1">ROUND(C59+C64+C65+C66,0)</f>
        <v>#N/A</v>
      </c>
      <c r="D58" s="1160" t="s">
        <v>1409</v>
      </c>
      <c r="E58" s="1161"/>
      <c r="F58" s="1162"/>
      <c r="I58" s="1899" t="s">
        <v>1544</v>
      </c>
      <c r="J58" s="1901" t="e">
        <f ca="1">IF(J55&lt;0.4,0.4,J55)</f>
        <v>#N/A</v>
      </c>
      <c r="K58" s="1878" t="s">
        <v>1545</v>
      </c>
      <c r="L58" s="1868" t="e">
        <f ca="1">ROUND(POWER(1+L52,L47-L48)*(POWER(1+L52,L48)-1)/(POWER(1+L52,L47)-1),4)</f>
        <v>#N/A</v>
      </c>
      <c r="O58" s="1872" t="s">
        <v>1039</v>
      </c>
      <c r="P58" s="1863" t="s">
        <v>1546</v>
      </c>
      <c r="Q58" s="1864">
        <f>IF(L55="比较法",L49,IF(L55="基准地价",L50,0))</f>
        <v>0</v>
      </c>
      <c r="R58" s="1864" t="s">
        <v>1513</v>
      </c>
    </row>
    <row r="59" spans="1:18" s="1820" customFormat="1" ht="24.6" thickBot="1">
      <c r="A59" s="1182" t="s">
        <v>1032</v>
      </c>
      <c r="B59" s="1150" t="s">
        <v>1413</v>
      </c>
      <c r="C59" s="24" t="e">
        <f ca="1">ROUND(IF(项目基本情况!B11="自然人",C48*F59,C60+C61+C62),1)</f>
        <v>#N/A</v>
      </c>
      <c r="D59" s="1163" t="s">
        <v>1414</v>
      </c>
      <c r="E59" s="1164" t="s">
        <v>1415</v>
      </c>
      <c r="F59" s="368" t="str">
        <f ca="1">IF(项目基本情况!B11="企业","",IF(INDIRECT("'数据-取费表'!c"&amp;$G$1)="住宅",5%,IF(F49*F50*F51/12/(1+'数据-取费表'!C42)&gt;20000,12%,7%)))</f>
        <v/>
      </c>
      <c r="I59" s="1899" t="s">
        <v>1547</v>
      </c>
      <c r="J59" s="1900" t="e">
        <f ca="1">IF(OR(M47="住宅",J51&lt;L48,J56="是"),"——",ROUND(C29*J58,0))</f>
        <v>#N/A</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#N/A</v>
      </c>
      <c r="M59" s="1816" t="e">
        <f ca="1">ROUND(POWER(1+L52,L47-(J51+'数据-取费表'!B24))*(POWER(1+L52,(J51+'数据-取费表'!B24))-1)/(POWER(1+L52,L47)-1),4)</f>
        <v>#N/A</v>
      </c>
      <c r="N59" s="1816" t="e">
        <f ca="1">ROUND(POWER(1+L52,L47-(J51+'数据-取费表'!B20))*(POWER(1+L52,(J51+'数据-取费表'!B20))-1)/(POWER(1+L52,L47)-1),4)</f>
        <v>#N/A</v>
      </c>
      <c r="O59" s="1872" t="s">
        <v>1040</v>
      </c>
      <c r="P59" s="1863" t="s">
        <v>1548</v>
      </c>
      <c r="Q59" s="1875">
        <f>L52</f>
        <v>0</v>
      </c>
      <c r="R59" s="1864"/>
    </row>
    <row r="60" spans="1:18" s="1820" customFormat="1" ht="16.2" thickBot="1">
      <c r="A60" s="1182" t="s">
        <v>1031</v>
      </c>
      <c r="B60" s="1150" t="s">
        <v>1417</v>
      </c>
      <c r="C60" s="24" t="e">
        <f ca="1">IF(项目基本情况!B11="自然人","——",ROUND(C48*F60/(1+'数据-取费表'!C42),2))</f>
        <v>#N/A</v>
      </c>
      <c r="D60" s="1164" t="s">
        <v>1418</v>
      </c>
      <c r="E60" s="1150" t="s">
        <v>1406</v>
      </c>
      <c r="F60" s="377">
        <f t="shared" ref="F60:F66" si="0">F32</f>
        <v>5.6000000000000001E-2</v>
      </c>
      <c r="I60" s="1902" t="s">
        <v>1549</v>
      </c>
      <c r="J60" s="1903" t="e">
        <f ca="1">IF(OR(M47="住宅",J51&lt;L48,J56="是"),"0",ROUND(J59/(1+J52)^J53,0))</f>
        <v>#N/A</v>
      </c>
      <c r="K60" s="1904" t="s">
        <v>1550</v>
      </c>
      <c r="L60" s="1903" t="e">
        <f ca="1">IF(OR(M47="住宅",L48&lt;J51),0,ROUND(L57*(L58/L59-1),0))</f>
        <v>#N/A</v>
      </c>
      <c r="O60" s="1872" t="s">
        <v>1041</v>
      </c>
      <c r="P60" s="1863" t="s">
        <v>1551</v>
      </c>
      <c r="Q60" s="1864" t="e">
        <f ca="1">L58</f>
        <v>#N/A</v>
      </c>
      <c r="R60" s="1864" t="s">
        <v>1552</v>
      </c>
    </row>
    <row r="61" spans="1:18" s="1820" customFormat="1" ht="13.8" thickBot="1">
      <c r="A61" s="1182" t="s">
        <v>1476</v>
      </c>
      <c r="B61" s="1150" t="s">
        <v>1477</v>
      </c>
      <c r="C61" s="24" t="e">
        <f ca="1">IF(项目基本情况!B11="自然人","——",IF(D61="按租金收入计税",ROUND(C48*F61,2),IF(D61="按房产原值计税",ROUND(C57*F61*0.7,2),INDIRECT("'数据-取费表'!Aj"&amp;$G$1))))</f>
        <v>#N/A</v>
      </c>
      <c r="D61" s="1806" t="s">
        <v>1422</v>
      </c>
      <c r="E61" s="1150" t="s">
        <v>1478</v>
      </c>
      <c r="F61" s="367">
        <f t="shared" si="0"/>
        <v>0.12</v>
      </c>
      <c r="I61" s="1905"/>
      <c r="J61" s="1905"/>
      <c r="K61" s="1905"/>
      <c r="L61" s="1905"/>
      <c r="O61" s="1872" t="s">
        <v>1042</v>
      </c>
      <c r="P61" s="1863" t="str">
        <f>K59</f>
        <v>建筑物剩余耐用年限下的土地年期修正系数Kn</v>
      </c>
      <c r="Q61" s="1864" t="e">
        <f ca="1">L59</f>
        <v>#N/A</v>
      </c>
      <c r="R61" s="1864" t="s">
        <v>1553</v>
      </c>
    </row>
    <row r="62" spans="1:18" s="1820" customFormat="1" ht="13.8" thickBot="1">
      <c r="A62" s="1182" t="s">
        <v>1479</v>
      </c>
      <c r="B62" s="1149" t="s">
        <v>1480</v>
      </c>
      <c r="C62" s="25" t="e">
        <f ca="1">IF(项目基本情况!B11="自然人","——",ROUND(F62*F63/10000,2))</f>
        <v>#N/A</v>
      </c>
      <c r="D62" s="1165" t="s">
        <v>1481</v>
      </c>
      <c r="E62" s="1150" t="s">
        <v>1482</v>
      </c>
      <c r="F62" s="371">
        <f t="shared" si="0"/>
        <v>30</v>
      </c>
      <c r="I62" s="1906" t="s">
        <v>1554</v>
      </c>
      <c r="J62" s="1907" t="s">
        <v>1555</v>
      </c>
      <c r="K62" s="1907" t="s">
        <v>1556</v>
      </c>
      <c r="L62" s="1907" t="s">
        <v>1557</v>
      </c>
      <c r="M62" s="1908" t="s">
        <v>1558</v>
      </c>
      <c r="O62" s="1862" t="s">
        <v>1043</v>
      </c>
      <c r="P62" s="1863" t="s">
        <v>1559</v>
      </c>
      <c r="Q62" s="1864" t="e">
        <f ca="1">Q56+Q57</f>
        <v>#N/A</v>
      </c>
      <c r="R62" s="1864" t="s">
        <v>1044</v>
      </c>
    </row>
    <row r="63" spans="1:18" s="1820" customFormat="1" ht="13.8" thickBot="1">
      <c r="A63" s="372"/>
      <c r="B63" s="1156"/>
      <c r="C63" s="29"/>
      <c r="D63" s="1166"/>
      <c r="E63" s="1150" t="s">
        <v>1483</v>
      </c>
      <c r="F63" s="348" t="e">
        <f t="shared" ca="1" si="0"/>
        <v>#N/A</v>
      </c>
      <c r="I63" s="1906" t="s">
        <v>1560</v>
      </c>
      <c r="J63" s="1907">
        <v>70</v>
      </c>
      <c r="K63" s="1907">
        <v>50</v>
      </c>
      <c r="L63" s="1907">
        <v>80</v>
      </c>
      <c r="M63" s="1909">
        <v>0.02</v>
      </c>
      <c r="O63" s="1847" t="s">
        <v>1561</v>
      </c>
      <c r="P63" s="1817"/>
      <c r="Q63" s="1817"/>
      <c r="R63" s="1817"/>
    </row>
    <row r="64" spans="1:18" s="1820" customFormat="1" ht="13.8" thickBot="1">
      <c r="A64" s="1182" t="s">
        <v>1484</v>
      </c>
      <c r="B64" s="1150" t="s">
        <v>1485</v>
      </c>
      <c r="C64" s="24" t="e">
        <f ca="1">ROUND(C57*F64,1)</f>
        <v>#N/A</v>
      </c>
      <c r="D64" s="1164" t="s">
        <v>1486</v>
      </c>
      <c r="E64" s="1150" t="s">
        <v>1478</v>
      </c>
      <c r="F64" s="374" t="e">
        <f t="shared" ca="1" si="0"/>
        <v>#N/A</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t="e">
        <f ca="1">ROUND(C56*F65,1)</f>
        <v>#N/A</v>
      </c>
      <c r="D65" s="1164" t="s">
        <v>1438</v>
      </c>
      <c r="E65" s="1150" t="s">
        <v>1439</v>
      </c>
      <c r="F65" s="376" t="e">
        <f t="shared" ca="1" si="0"/>
        <v>#N/A</v>
      </c>
      <c r="I65" s="1906" t="s">
        <v>1563</v>
      </c>
      <c r="J65" s="1907">
        <v>40</v>
      </c>
      <c r="K65" s="1907">
        <v>30</v>
      </c>
      <c r="L65" s="1907">
        <v>50</v>
      </c>
      <c r="M65" s="1909">
        <v>0.02</v>
      </c>
      <c r="O65" s="1862" t="s">
        <v>1037</v>
      </c>
      <c r="P65" s="1863" t="s">
        <v>1564</v>
      </c>
      <c r="Q65" s="1864" t="e">
        <f ca="1">C40+J29</f>
        <v>#N/A</v>
      </c>
      <c r="R65" s="1864" t="s">
        <v>1513</v>
      </c>
    </row>
    <row r="66" spans="1:18" s="1820" customFormat="1" ht="16.2" thickBot="1">
      <c r="A66" s="1182" t="s">
        <v>1488</v>
      </c>
      <c r="B66" s="1150" t="s">
        <v>1423</v>
      </c>
      <c r="C66" s="24" t="e">
        <f ca="1">ROUND(C48*F66,1)</f>
        <v>#N/A</v>
      </c>
      <c r="D66" s="1164" t="s">
        <v>1489</v>
      </c>
      <c r="E66" s="1150" t="s">
        <v>1406</v>
      </c>
      <c r="F66" s="357" t="e">
        <f t="shared" ca="1" si="0"/>
        <v>#N/A</v>
      </c>
      <c r="O66" s="1862" t="s">
        <v>1038</v>
      </c>
      <c r="P66" s="1863" t="s">
        <v>1542</v>
      </c>
      <c r="Q66" s="1864" t="e">
        <f ca="1">L60</f>
        <v>#N/A</v>
      </c>
      <c r="R66" s="1864" t="s">
        <v>1565</v>
      </c>
    </row>
    <row r="67" spans="1:18" s="1820" customFormat="1" ht="24.6" thickBot="1">
      <c r="A67" s="1157" t="s">
        <v>1028</v>
      </c>
      <c r="B67" s="1167" t="s">
        <v>1447</v>
      </c>
      <c r="C67" s="361" t="e">
        <f ca="1">C48-C58</f>
        <v>#N/A</v>
      </c>
      <c r="D67" s="1163" t="s">
        <v>1448</v>
      </c>
      <c r="E67" s="1168"/>
      <c r="F67" s="1169"/>
      <c r="O67" s="1872" t="s">
        <v>1039</v>
      </c>
      <c r="P67" s="1863" t="s">
        <v>1546</v>
      </c>
      <c r="Q67" s="1910" t="e">
        <f ca="1">L51</f>
        <v>#N/A</v>
      </c>
      <c r="R67" s="1864" t="s">
        <v>1566</v>
      </c>
    </row>
    <row r="68" spans="1:18" s="1820" customFormat="1" ht="16.2" thickBot="1">
      <c r="A68" s="1147" t="s">
        <v>1029</v>
      </c>
      <c r="B68" s="1148" t="s">
        <v>1469</v>
      </c>
      <c r="C68" s="346" t="e">
        <f ca="1">ROUND(C67*(1-((1+F70)/(1+F68))^F69)/(F68-F70),0)</f>
        <v>#N/A</v>
      </c>
      <c r="D68" s="1165" t="s">
        <v>1453</v>
      </c>
      <c r="E68" s="1150" t="s">
        <v>1454</v>
      </c>
      <c r="F68" s="357" t="e">
        <f ca="1">F40</f>
        <v>#N/A</v>
      </c>
      <c r="O68" s="1872" t="s">
        <v>1040</v>
      </c>
      <c r="P68" s="1911" t="s">
        <v>1567</v>
      </c>
      <c r="Q68" s="1864" t="e">
        <f ca="1">ROUND(Q69-Q70*Q71,0)</f>
        <v>#N/A</v>
      </c>
      <c r="R68" s="1864" t="s">
        <v>1048</v>
      </c>
    </row>
    <row r="69" spans="1:18" s="1820" customFormat="1" ht="13.8" thickBot="1">
      <c r="A69" s="1151"/>
      <c r="B69" s="1152"/>
      <c r="C69" s="351"/>
      <c r="D69" s="1170" t="s">
        <v>1457</v>
      </c>
      <c r="E69" s="1150" t="s">
        <v>1458</v>
      </c>
      <c r="F69" s="379" t="e">
        <f ca="1">F41</f>
        <v>#N/A</v>
      </c>
      <c r="O69" s="1872" t="s">
        <v>1045</v>
      </c>
      <c r="P69" s="1911" t="s">
        <v>1568</v>
      </c>
      <c r="Q69" s="1864" t="e">
        <f ca="1">C39</f>
        <v>#N/A</v>
      </c>
      <c r="R69" s="1864" t="s">
        <v>1513</v>
      </c>
    </row>
    <row r="70" spans="1:18" s="1820" customFormat="1" ht="13.8" thickBot="1">
      <c r="A70" s="1154"/>
      <c r="B70" s="1155"/>
      <c r="C70" s="355"/>
      <c r="D70" s="1166"/>
      <c r="E70" s="1150" t="s">
        <v>1461</v>
      </c>
      <c r="F70" s="1256"/>
      <c r="O70" s="1872" t="s">
        <v>1046</v>
      </c>
      <c r="P70" s="1911" t="s">
        <v>1569</v>
      </c>
      <c r="Q70" s="1864" t="e">
        <f ca="1">C13</f>
        <v>#N/A</v>
      </c>
      <c r="R70" s="1864" t="s">
        <v>1513</v>
      </c>
    </row>
    <row r="71" spans="1:18" s="1820" customFormat="1" ht="13.8" thickBot="1">
      <c r="A71" s="1171" t="s">
        <v>1030</v>
      </c>
      <c r="B71" s="1172" t="s">
        <v>1471</v>
      </c>
      <c r="C71" s="382" t="e">
        <f ca="1">ROUND(C68*10000/F71,0)</f>
        <v>#N/A</v>
      </c>
      <c r="D71" s="1173" t="s">
        <v>1472</v>
      </c>
      <c r="E71" s="1174" t="s">
        <v>1473</v>
      </c>
      <c r="F71" s="385" t="e">
        <f ca="1">F43</f>
        <v>#N/A</v>
      </c>
      <c r="O71" s="1872" t="s">
        <v>1047</v>
      </c>
      <c r="P71" s="1911" t="s">
        <v>1570</v>
      </c>
      <c r="Q71" s="1875" t="e">
        <f ca="1">C76</f>
        <v>#N/A</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#N/A</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#N/A</v>
      </c>
      <c r="R74" s="1864" t="s">
        <v>1553</v>
      </c>
    </row>
    <row r="75" spans="1:18" ht="13.8" thickBot="1">
      <c r="A75" s="1820"/>
      <c r="B75" s="386" t="s">
        <v>1490</v>
      </c>
      <c r="C75" s="387" t="e">
        <f ca="1">ROUND(C13*C76,0)</f>
        <v>#N/A</v>
      </c>
      <c r="D75" s="1820"/>
      <c r="E75" s="1820"/>
      <c r="F75" s="1820"/>
      <c r="K75" s="1846"/>
      <c r="L75" s="1820"/>
      <c r="O75" s="1862" t="s">
        <v>1043</v>
      </c>
      <c r="P75" s="1863" t="s">
        <v>1533</v>
      </c>
      <c r="Q75" s="1864" t="e">
        <f ca="1">Q65+Q66</f>
        <v>#N/A</v>
      </c>
      <c r="R75" s="1864" t="s">
        <v>1044</v>
      </c>
    </row>
    <row r="76" spans="1:18">
      <c r="B76" s="388" t="s">
        <v>1491</v>
      </c>
      <c r="C76" s="389" t="e">
        <f ca="1">INDIRECT("'数据-取费表'!j"&amp;$G$1)</f>
        <v>#N/A</v>
      </c>
      <c r="I76" s="1820"/>
      <c r="J76" s="1820"/>
      <c r="K76" s="1846"/>
      <c r="L76" s="1820"/>
    </row>
    <row r="77" spans="1:18">
      <c r="B77" s="390" t="s">
        <v>1492</v>
      </c>
      <c r="C77" s="391"/>
      <c r="I77" s="1820"/>
      <c r="J77" s="1820"/>
      <c r="K77" s="1846"/>
      <c r="L77" s="1820"/>
    </row>
    <row r="78" spans="1:18">
      <c r="B78" s="314" t="s">
        <v>1493</v>
      </c>
      <c r="C78" s="392"/>
    </row>
    <row r="79" spans="1:18">
      <c r="B79" s="386" t="s">
        <v>1494</v>
      </c>
      <c r="C79" s="318" t="e">
        <f ca="1">1-C80</f>
        <v>#N/A</v>
      </c>
    </row>
    <row r="80" spans="1:18">
      <c r="B80" s="386" t="s">
        <v>1495</v>
      </c>
      <c r="C80" s="318" t="e">
        <f ca="1">ROUND(C75/C39,3)</f>
        <v>#N/A</v>
      </c>
    </row>
    <row r="81" spans="2:3">
      <c r="B81" s="314" t="s">
        <v>1496</v>
      </c>
      <c r="C81" s="282"/>
    </row>
    <row r="82" spans="2:3">
      <c r="B82" s="317" t="s">
        <v>1497</v>
      </c>
      <c r="C82" s="319" t="e">
        <f ca="1">1-C83</f>
        <v>#N/A</v>
      </c>
    </row>
    <row r="83" spans="2:3">
      <c r="B83" s="317" t="s">
        <v>1498</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594"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2511</v>
      </c>
      <c r="B1" s="2552" t="s">
        <v>2512</v>
      </c>
      <c r="C1" s="1613" t="s">
        <v>2513</v>
      </c>
      <c r="D1" s="1600"/>
      <c r="E1" s="2553"/>
      <c r="F1" s="2554" t="s">
        <v>2514</v>
      </c>
      <c r="G1" s="1610" t="s">
        <v>2515</v>
      </c>
      <c r="H1" s="1609"/>
      <c r="I1" s="1609"/>
      <c r="J1" s="1609"/>
      <c r="K1" s="1611"/>
      <c r="L1" s="1612"/>
      <c r="M1" s="1613"/>
      <c r="N1" s="1613"/>
      <c r="O1" s="1613"/>
      <c r="P1" s="2555"/>
      <c r="Q1" s="1599"/>
      <c r="R1" s="1599"/>
      <c r="S1" s="1599"/>
      <c r="T1" s="1599"/>
      <c r="U1" s="1599"/>
      <c r="V1" s="1599"/>
      <c r="W1" s="1599"/>
      <c r="X1" s="1599"/>
      <c r="Y1" s="1599"/>
      <c r="Z1" s="1599"/>
      <c r="AA1" s="1599"/>
      <c r="AB1" s="1599"/>
      <c r="AC1" s="1607"/>
    </row>
    <row r="2" spans="1:29" s="393" customFormat="1" ht="28.5" customHeight="1" thickTop="1">
      <c r="A2" s="1596" t="s">
        <v>1378</v>
      </c>
      <c r="B2" s="1398" t="e">
        <f ca="1">IF(C2="——",ROUND(C49*D3/10000,0),ROUND(C49*D3/10000,0)-D2)</f>
        <v>#DIV/0!</v>
      </c>
      <c r="C2" s="2556"/>
      <c r="D2" s="1346" t="e">
        <f ca="1">SUMIF(INDIRECT("'"&amp;F2&amp;"'"&amp;"!A:A"),"承租人权益价值",INDIRECT("'"&amp;F2&amp;"'"&amp;"!c:c"))</f>
        <v>#REF!</v>
      </c>
      <c r="E2" s="2557" t="s">
        <v>2516</v>
      </c>
      <c r="F2" s="2558"/>
      <c r="G2" s="1106"/>
      <c r="H2" s="1106"/>
      <c r="I2" s="1106"/>
      <c r="J2" s="1106"/>
      <c r="K2" s="2559"/>
      <c r="L2" s="2560"/>
      <c r="M2" s="2561"/>
      <c r="N2" s="2561"/>
      <c r="O2" s="2561"/>
      <c r="P2" s="2562"/>
      <c r="Q2" s="2563"/>
      <c r="R2" s="2563"/>
      <c r="S2" s="2563"/>
      <c r="T2" s="2563"/>
      <c r="U2" s="2563"/>
      <c r="V2" s="2563"/>
      <c r="W2" s="2563"/>
      <c r="X2" s="2563"/>
      <c r="Y2" s="2563"/>
      <c r="Z2" s="2563"/>
      <c r="AA2" s="2563"/>
      <c r="AB2" s="2563"/>
      <c r="AC2" s="2564"/>
    </row>
    <row r="3" spans="1:29" s="393" customFormat="1" ht="28.5" customHeight="1" thickBot="1">
      <c r="A3" s="247" t="s">
        <v>1379</v>
      </c>
      <c r="B3" s="398" t="e">
        <f ca="1">IF(C2="——",C49,ROUND(B2*10000/D3,0))</f>
        <v>#DIV/0!</v>
      </c>
      <c r="C3" s="399" t="s">
        <v>2517</v>
      </c>
      <c r="D3" s="398">
        <f>IF(D1="",'数据-汇总表'!E3,SUMIF('数据-汇总表'!$C19:$C33,D1,'数据-汇总表'!$E19:$E33))</f>
        <v>166451.09</v>
      </c>
      <c r="E3" s="1106"/>
      <c r="F3" s="2565"/>
      <c r="G3" s="1106"/>
      <c r="H3" s="1106"/>
      <c r="I3" s="1106"/>
      <c r="J3" s="1106"/>
      <c r="K3" s="2559"/>
      <c r="L3" s="2560"/>
      <c r="M3" s="2561"/>
      <c r="N3" s="2561"/>
      <c r="O3" s="2561"/>
      <c r="P3" s="2562"/>
      <c r="Q3" s="2563"/>
      <c r="R3" s="2563"/>
      <c r="S3" s="2563"/>
      <c r="T3" s="2563"/>
      <c r="U3" s="2563"/>
      <c r="V3" s="2563"/>
      <c r="W3" s="2563"/>
      <c r="X3" s="2563"/>
      <c r="Y3" s="2563"/>
      <c r="Z3" s="2563"/>
      <c r="AA3" s="2563"/>
      <c r="AB3" s="2563"/>
      <c r="AC3" s="1263"/>
    </row>
    <row r="4" spans="1:29" ht="14.4">
      <c r="A4" s="400" t="s">
        <v>2518</v>
      </c>
      <c r="B4" s="401"/>
      <c r="C4" s="3661" t="s">
        <v>2519</v>
      </c>
      <c r="D4" s="3662"/>
      <c r="E4" s="3663" t="s">
        <v>2520</v>
      </c>
      <c r="F4" s="3664"/>
      <c r="G4" s="3661" t="s">
        <v>2521</v>
      </c>
      <c r="H4" s="3662"/>
      <c r="I4" s="3661" t="s">
        <v>2522</v>
      </c>
      <c r="J4" s="3662"/>
      <c r="K4" s="2566" t="s">
        <v>2523</v>
      </c>
      <c r="L4" s="1112"/>
      <c r="M4" s="1113"/>
      <c r="N4" s="1113"/>
      <c r="O4" s="1113"/>
      <c r="P4" s="3665" t="s">
        <v>2524</v>
      </c>
      <c r="Q4" s="3666"/>
      <c r="R4" s="3671" t="s">
        <v>2520</v>
      </c>
      <c r="S4" s="3672"/>
      <c r="T4" s="3671" t="s">
        <v>2521</v>
      </c>
      <c r="U4" s="3672"/>
      <c r="V4" s="3656" t="s">
        <v>2522</v>
      </c>
      <c r="W4" s="3656"/>
      <c r="X4" s="1791"/>
      <c r="Y4" s="3671" t="s">
        <v>2524</v>
      </c>
      <c r="Z4" s="3672"/>
      <c r="AA4" s="3658" t="s">
        <v>2520</v>
      </c>
      <c r="AB4" s="3658" t="s">
        <v>2521</v>
      </c>
      <c r="AC4" s="3658" t="s">
        <v>2522</v>
      </c>
    </row>
    <row r="5" spans="1:29">
      <c r="A5" s="403"/>
      <c r="B5" s="404"/>
      <c r="C5" s="3723" t="s">
        <v>2525</v>
      </c>
      <c r="D5" s="3724"/>
      <c r="E5" s="3725" t="s">
        <v>2526</v>
      </c>
      <c r="F5" s="3726"/>
      <c r="G5" s="3723" t="s">
        <v>2527</v>
      </c>
      <c r="H5" s="3724"/>
      <c r="I5" s="3723" t="s">
        <v>2528</v>
      </c>
      <c r="J5" s="3724"/>
      <c r="K5" s="2567"/>
      <c r="L5" s="1112"/>
      <c r="M5" s="1113"/>
      <c r="N5" s="1113"/>
      <c r="O5" s="1113"/>
      <c r="P5" s="3667"/>
      <c r="Q5" s="3668"/>
      <c r="R5" s="3673"/>
      <c r="S5" s="3674"/>
      <c r="T5" s="3673"/>
      <c r="U5" s="3674"/>
      <c r="V5" s="3656"/>
      <c r="W5" s="3656"/>
      <c r="X5" s="1791"/>
      <c r="Y5" s="3673"/>
      <c r="Z5" s="3674"/>
      <c r="AA5" s="3659"/>
      <c r="AB5" s="3659"/>
      <c r="AC5" s="3659"/>
    </row>
    <row r="6" spans="1:29" ht="15" thickBot="1">
      <c r="A6" s="405"/>
      <c r="B6" s="406"/>
      <c r="C6" s="3677" t="s">
        <v>2529</v>
      </c>
      <c r="D6" s="3678"/>
      <c r="E6" s="3685" t="s">
        <v>2529</v>
      </c>
      <c r="F6" s="3686"/>
      <c r="G6" s="3677" t="s">
        <v>2529</v>
      </c>
      <c r="H6" s="3678"/>
      <c r="I6" s="3677" t="s">
        <v>2529</v>
      </c>
      <c r="J6" s="3678"/>
      <c r="K6" s="2567" t="s">
        <v>2530</v>
      </c>
      <c r="L6" s="1112"/>
      <c r="M6" s="1113"/>
      <c r="N6" s="1113"/>
      <c r="O6" s="1113"/>
      <c r="P6" s="3669"/>
      <c r="Q6" s="3670"/>
      <c r="R6" s="3673"/>
      <c r="S6" s="3674"/>
      <c r="T6" s="3675"/>
      <c r="U6" s="3676"/>
      <c r="V6" s="3656"/>
      <c r="W6" s="3656"/>
      <c r="X6" s="1791"/>
      <c r="Y6" s="3675"/>
      <c r="Z6" s="3676"/>
      <c r="AA6" s="3660"/>
      <c r="AB6" s="3660"/>
      <c r="AC6" s="3660"/>
    </row>
    <row r="7" spans="1:29" s="117" customFormat="1" ht="15" thickBot="1">
      <c r="A7" s="407" t="s">
        <v>2531</v>
      </c>
      <c r="B7" s="408"/>
      <c r="C7" s="409">
        <f>'数据-取费表'!B2</f>
        <v>43903</v>
      </c>
      <c r="D7" s="410">
        <v>100</v>
      </c>
      <c r="E7" s="411"/>
      <c r="F7" s="412">
        <f>SUMIF(58:58,YEAR(E7)&amp;"-"&amp;MONTH(E7),59:59)</f>
        <v>0</v>
      </c>
      <c r="G7" s="411"/>
      <c r="H7" s="410">
        <f>SUMIF(58:58,YEAR(G7)&amp;"-"&amp;MONTH(G7),59:59)</f>
        <v>0</v>
      </c>
      <c r="I7" s="411"/>
      <c r="J7" s="410">
        <f>SUMIF(58:58,YEAR(I7)&amp;"-"&amp;MONTH(I7),59:59)</f>
        <v>0</v>
      </c>
      <c r="K7" s="2568"/>
      <c r="L7" s="1114"/>
      <c r="M7" s="1115"/>
      <c r="N7" s="1115"/>
      <c r="O7" s="1115"/>
      <c r="P7" s="3681" t="s">
        <v>2532</v>
      </c>
      <c r="Q7" s="3683"/>
      <c r="R7" s="766" t="s">
        <v>23</v>
      </c>
      <c r="S7" s="767">
        <f t="shared" ref="S7:S15" si="0">F7</f>
        <v>0</v>
      </c>
      <c r="T7" s="766" t="s">
        <v>23</v>
      </c>
      <c r="U7" s="767">
        <f t="shared" ref="U7:U15" si="1">H7</f>
        <v>0</v>
      </c>
      <c r="V7" s="766" t="s">
        <v>23</v>
      </c>
      <c r="W7" s="767">
        <f t="shared" ref="W7:W15" si="2">J7</f>
        <v>0</v>
      </c>
      <c r="X7" s="768"/>
      <c r="Y7" s="3681" t="s">
        <v>2532</v>
      </c>
      <c r="Z7" s="3682"/>
      <c r="AA7" s="769" t="e">
        <f>D7/F7</f>
        <v>#DIV/0!</v>
      </c>
      <c r="AB7" s="769" t="e">
        <f>D7/H7</f>
        <v>#DIV/0!</v>
      </c>
      <c r="AC7" s="769" t="e">
        <f>D7/J7</f>
        <v>#DIV/0!</v>
      </c>
    </row>
    <row r="8" spans="1:29" s="117" customFormat="1" ht="15" thickBot="1">
      <c r="A8" s="407" t="s">
        <v>2533</v>
      </c>
      <c r="B8" s="408"/>
      <c r="C8" s="413" t="s">
        <v>2534</v>
      </c>
      <c r="D8" s="410">
        <v>100</v>
      </c>
      <c r="E8" s="2569"/>
      <c r="F8" s="412">
        <f>SUMIF(61:61,E8,62:62)-SUMIF(61:61,C8,62:62)+100</f>
        <v>0</v>
      </c>
      <c r="G8" s="413"/>
      <c r="H8" s="410">
        <f>SUMIF(61:61,G8,62:62)-SUMIF(61:61,C8,62:62)+100</f>
        <v>0</v>
      </c>
      <c r="I8" s="2569"/>
      <c r="J8" s="410">
        <f>SUMIF(61:61,I8,62:62)-SUMIF(61:61,C8,62:62)+100</f>
        <v>0</v>
      </c>
      <c r="K8" s="2568"/>
      <c r="L8" s="1114"/>
      <c r="M8" s="1115"/>
      <c r="N8" s="1115"/>
      <c r="O8" s="1115"/>
      <c r="P8" s="3681" t="s">
        <v>2535</v>
      </c>
      <c r="Q8" s="3682"/>
      <c r="R8" s="766" t="s">
        <v>23</v>
      </c>
      <c r="S8" s="767">
        <f t="shared" si="0"/>
        <v>0</v>
      </c>
      <c r="T8" s="766" t="s">
        <v>23</v>
      </c>
      <c r="U8" s="767">
        <f t="shared" si="1"/>
        <v>0</v>
      </c>
      <c r="V8" s="766" t="s">
        <v>23</v>
      </c>
      <c r="W8" s="767">
        <f t="shared" si="2"/>
        <v>0</v>
      </c>
      <c r="X8" s="768"/>
      <c r="Y8" s="3681" t="s">
        <v>2535</v>
      </c>
      <c r="Z8" s="3682"/>
      <c r="AA8" s="769" t="e">
        <f t="shared" ref="AA8:AA19" si="3">D8/F8</f>
        <v>#DIV/0!</v>
      </c>
      <c r="AB8" s="769" t="e">
        <f t="shared" ref="AB8:AB19" si="4">D8/H8</f>
        <v>#DIV/0!</v>
      </c>
      <c r="AC8" s="769" t="e">
        <f t="shared" ref="AC8:AC19" si="5">D8/J8</f>
        <v>#DIV/0!</v>
      </c>
    </row>
    <row r="9" spans="1:29" s="117" customFormat="1" ht="14.4">
      <c r="A9" s="414" t="s">
        <v>2536</v>
      </c>
      <c r="B9" s="71" t="s">
        <v>2537</v>
      </c>
      <c r="C9" s="415"/>
      <c r="D9" s="135">
        <v>100</v>
      </c>
      <c r="E9" s="416"/>
      <c r="F9" s="417">
        <f>SUMIF(63:63,E9,64:64)-SUMIF(63:63,C9,64:64)+100</f>
        <v>100</v>
      </c>
      <c r="G9" s="418"/>
      <c r="H9" s="135">
        <f>SUMIF(63:63,G9,64:64)-SUMIF(63:63,C9,64:64)+100</f>
        <v>100</v>
      </c>
      <c r="I9" s="418"/>
      <c r="J9" s="135">
        <f>SUMIF(63:63,I9,64:64)-SUMIF(63:63,C9,64:64)+100</f>
        <v>100</v>
      </c>
      <c r="K9" s="2568"/>
      <c r="L9" s="1114"/>
      <c r="M9" s="1115"/>
      <c r="N9" s="1115"/>
      <c r="O9" s="1115"/>
      <c r="P9" s="3657" t="s">
        <v>2538</v>
      </c>
      <c r="Q9" s="1773" t="str">
        <f t="shared" ref="Q9:Q15" si="6">B9</f>
        <v>用途</v>
      </c>
      <c r="R9" s="766" t="s">
        <v>17</v>
      </c>
      <c r="S9" s="767">
        <f t="shared" si="0"/>
        <v>100</v>
      </c>
      <c r="T9" s="766" t="s">
        <v>17</v>
      </c>
      <c r="U9" s="767">
        <f t="shared" si="1"/>
        <v>100</v>
      </c>
      <c r="V9" s="766" t="s">
        <v>17</v>
      </c>
      <c r="W9" s="767">
        <f t="shared" si="2"/>
        <v>100</v>
      </c>
      <c r="X9" s="768"/>
      <c r="Y9" s="3486" t="s">
        <v>2539</v>
      </c>
      <c r="Z9" s="55" t="str">
        <f t="shared" ref="Z9:Z15" si="7">Q9</f>
        <v>用途</v>
      </c>
      <c r="AA9" s="769">
        <f t="shared" si="3"/>
        <v>1</v>
      </c>
      <c r="AB9" s="769">
        <f t="shared" si="4"/>
        <v>1</v>
      </c>
      <c r="AC9" s="769">
        <f t="shared" si="5"/>
        <v>1</v>
      </c>
    </row>
    <row r="10" spans="1:29" s="426" customFormat="1" ht="28.8">
      <c r="A10" s="420"/>
      <c r="B10" s="421" t="s">
        <v>2540</v>
      </c>
      <c r="C10" s="422"/>
      <c r="D10" s="136">
        <v>100</v>
      </c>
      <c r="E10" s="423"/>
      <c r="F10" s="424">
        <f>SUMIF(65:65,E10,66:66)-SUMIF(65:65,C10,66:66)+100</f>
        <v>100</v>
      </c>
      <c r="G10" s="422"/>
      <c r="H10" s="136">
        <f>SUMIF(65:65,G10,66:66)-SUMIF(65:65,C10,66:66)+100</f>
        <v>100</v>
      </c>
      <c r="I10" s="422"/>
      <c r="J10" s="136">
        <f>SUMIF(65:65,I10,66:66)-SUMIF(65:65,C10,66:66)+100</f>
        <v>100</v>
      </c>
      <c r="K10" s="425"/>
      <c r="L10" s="1117"/>
      <c r="M10" s="1118"/>
      <c r="N10" s="1118"/>
      <c r="O10" s="1118"/>
      <c r="P10" s="3657"/>
      <c r="Q10" s="1773" t="str">
        <f t="shared" si="6"/>
        <v>土地使用年限（年）</v>
      </c>
      <c r="R10" s="766" t="s">
        <v>17</v>
      </c>
      <c r="S10" s="767">
        <f t="shared" si="0"/>
        <v>100</v>
      </c>
      <c r="T10" s="766" t="s">
        <v>17</v>
      </c>
      <c r="U10" s="767">
        <f t="shared" si="1"/>
        <v>100</v>
      </c>
      <c r="V10" s="766" t="s">
        <v>17</v>
      </c>
      <c r="W10" s="767">
        <f t="shared" si="2"/>
        <v>100</v>
      </c>
      <c r="X10" s="768"/>
      <c r="Y10" s="3486"/>
      <c r="Z10" s="55" t="str">
        <f t="shared" si="7"/>
        <v>土地使用年限（年）</v>
      </c>
      <c r="AA10" s="769">
        <f t="shared" si="3"/>
        <v>1</v>
      </c>
      <c r="AB10" s="769">
        <f t="shared" si="4"/>
        <v>1</v>
      </c>
      <c r="AC10" s="769">
        <f t="shared" si="5"/>
        <v>1</v>
      </c>
    </row>
    <row r="11" spans="1:29" ht="15">
      <c r="A11" s="427"/>
      <c r="B11" s="421" t="s">
        <v>2541</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0"/>
      <c r="M11" s="1113"/>
      <c r="N11" s="1113"/>
      <c r="O11" s="1113"/>
      <c r="P11" s="3657"/>
      <c r="Q11" s="1773" t="str">
        <f t="shared" si="6"/>
        <v>容积率</v>
      </c>
      <c r="R11" s="766" t="s">
        <v>21</v>
      </c>
      <c r="S11" s="767" t="e">
        <f t="shared" si="0"/>
        <v>#N/A</v>
      </c>
      <c r="T11" s="766" t="s">
        <v>21</v>
      </c>
      <c r="U11" s="767" t="e">
        <f t="shared" si="1"/>
        <v>#N/A</v>
      </c>
      <c r="V11" s="766" t="s">
        <v>21</v>
      </c>
      <c r="W11" s="767" t="e">
        <f t="shared" si="2"/>
        <v>#N/A</v>
      </c>
      <c r="X11" s="768"/>
      <c r="Y11" s="3486"/>
      <c r="Z11" s="55" t="str">
        <f t="shared" si="7"/>
        <v>容积率</v>
      </c>
      <c r="AA11" s="769" t="e">
        <f t="shared" si="3"/>
        <v>#N/A</v>
      </c>
      <c r="AB11" s="769" t="e">
        <f t="shared" si="4"/>
        <v>#N/A</v>
      </c>
      <c r="AC11" s="769" t="e">
        <f t="shared" si="5"/>
        <v>#N/A</v>
      </c>
    </row>
    <row r="12" spans="1:29" s="117" customFormat="1" ht="15">
      <c r="A12" s="430"/>
      <c r="B12" s="2570">
        <v>111</v>
      </c>
      <c r="C12" s="431"/>
      <c r="D12" s="432">
        <v>100</v>
      </c>
      <c r="E12" s="431"/>
      <c r="F12" s="424">
        <f>SUMIF(70:70,E12,71:71)-SUMIF(70:70,C12,71:71)+100</f>
        <v>100</v>
      </c>
      <c r="G12" s="431"/>
      <c r="H12" s="136">
        <f>SUMIF(70:70,G12,71:71)-SUMIF(70:70,C12,71:71)+100</f>
        <v>100</v>
      </c>
      <c r="I12" s="431"/>
      <c r="J12" s="136">
        <f>SUMIF(70:70,I12,71:71)-SUMIF(70:70,C12,71:71)+100</f>
        <v>100</v>
      </c>
      <c r="K12" s="2571"/>
      <c r="L12" s="1114"/>
      <c r="M12" s="1115"/>
      <c r="N12" s="1115"/>
      <c r="O12" s="1115"/>
      <c r="P12" s="3657"/>
      <c r="Q12" s="1773">
        <f t="shared" si="6"/>
        <v>111</v>
      </c>
      <c r="R12" s="766" t="s">
        <v>21</v>
      </c>
      <c r="S12" s="767">
        <f t="shared" si="0"/>
        <v>100</v>
      </c>
      <c r="T12" s="766" t="s">
        <v>21</v>
      </c>
      <c r="U12" s="767">
        <f t="shared" si="1"/>
        <v>100</v>
      </c>
      <c r="V12" s="766" t="s">
        <v>21</v>
      </c>
      <c r="W12" s="767">
        <f t="shared" si="2"/>
        <v>100</v>
      </c>
      <c r="X12" s="768"/>
      <c r="Y12" s="3486"/>
      <c r="Z12" s="55">
        <f t="shared" si="7"/>
        <v>111</v>
      </c>
      <c r="AA12" s="769">
        <f>D12/F12</f>
        <v>1</v>
      </c>
      <c r="AB12" s="769">
        <f>D12/H12</f>
        <v>1</v>
      </c>
      <c r="AC12" s="769">
        <f>D12/J12</f>
        <v>1</v>
      </c>
    </row>
    <row r="13" spans="1:29" ht="15">
      <c r="A13" s="427"/>
      <c r="B13" s="2570">
        <v>111</v>
      </c>
      <c r="C13" s="433"/>
      <c r="D13" s="434">
        <v>100</v>
      </c>
      <c r="E13" s="433"/>
      <c r="F13" s="424">
        <f>SUMIF(72:72,E13,73:73)-SUMIF(72:72,C13,73:73)+100</f>
        <v>100</v>
      </c>
      <c r="G13" s="433"/>
      <c r="H13" s="434">
        <f>SUMIF(72:72,G13,73:73)-SUMIF(72:72,C13,73:73)+100</f>
        <v>100</v>
      </c>
      <c r="I13" s="433"/>
      <c r="J13" s="434">
        <f>SUMIF(72:72,I13,73:73)-SUMIF(72:72,C13,73:73)+100</f>
        <v>100</v>
      </c>
      <c r="K13" s="2571"/>
      <c r="L13" s="1122"/>
      <c r="M13" s="1113"/>
      <c r="N13" s="1113"/>
      <c r="O13" s="1113"/>
      <c r="P13" s="3657"/>
      <c r="Q13" s="1773">
        <f t="shared" si="6"/>
        <v>111</v>
      </c>
      <c r="R13" s="766" t="s">
        <v>21</v>
      </c>
      <c r="S13" s="767">
        <f t="shared" si="0"/>
        <v>100</v>
      </c>
      <c r="T13" s="766" t="s">
        <v>21</v>
      </c>
      <c r="U13" s="767">
        <f t="shared" si="1"/>
        <v>100</v>
      </c>
      <c r="V13" s="766" t="s">
        <v>21</v>
      </c>
      <c r="W13" s="767">
        <f t="shared" si="2"/>
        <v>100</v>
      </c>
      <c r="X13" s="768"/>
      <c r="Y13" s="3486"/>
      <c r="Z13" s="55">
        <f t="shared" si="7"/>
        <v>111</v>
      </c>
      <c r="AA13" s="769">
        <f t="shared" si="3"/>
        <v>1</v>
      </c>
      <c r="AB13" s="769">
        <f t="shared" si="4"/>
        <v>1</v>
      </c>
      <c r="AC13" s="769">
        <f t="shared" si="5"/>
        <v>1</v>
      </c>
    </row>
    <row r="14" spans="1:29" ht="15.6" thickBot="1">
      <c r="A14" s="435"/>
      <c r="B14" s="2572">
        <v>111</v>
      </c>
      <c r="C14" s="436"/>
      <c r="D14" s="437">
        <v>100</v>
      </c>
      <c r="E14" s="436"/>
      <c r="F14" s="438">
        <f>SUMIF(74:74,E14,75:75)-SUMIF(74:74,C14,75:75)+100</f>
        <v>100</v>
      </c>
      <c r="G14" s="436"/>
      <c r="H14" s="437">
        <f>SUMIF(74:74,G14,75:75)-SUMIF(74:74,C14,75:75)+100</f>
        <v>100</v>
      </c>
      <c r="I14" s="436"/>
      <c r="J14" s="437">
        <f>SUMIF(74:74,I14,75:75)-SUMIF(74:74,C14,75:75)+100</f>
        <v>100</v>
      </c>
      <c r="K14" s="2571"/>
      <c r="L14" s="1122"/>
      <c r="M14" s="1113"/>
      <c r="N14" s="1113"/>
      <c r="O14" s="1113"/>
      <c r="P14" s="3657"/>
      <c r="Q14" s="1773">
        <f t="shared" si="6"/>
        <v>111</v>
      </c>
      <c r="R14" s="766" t="s">
        <v>21</v>
      </c>
      <c r="S14" s="767">
        <f t="shared" si="0"/>
        <v>100</v>
      </c>
      <c r="T14" s="766" t="s">
        <v>21</v>
      </c>
      <c r="U14" s="767">
        <f t="shared" si="1"/>
        <v>100</v>
      </c>
      <c r="V14" s="766" t="s">
        <v>21</v>
      </c>
      <c r="W14" s="767">
        <f t="shared" si="2"/>
        <v>100</v>
      </c>
      <c r="X14" s="768"/>
      <c r="Y14" s="3486"/>
      <c r="Z14" s="55">
        <f t="shared" si="7"/>
        <v>111</v>
      </c>
      <c r="AA14" s="769">
        <f t="shared" si="3"/>
        <v>1</v>
      </c>
      <c r="AB14" s="769">
        <f t="shared" si="4"/>
        <v>1</v>
      </c>
      <c r="AC14" s="769">
        <f t="shared" si="5"/>
        <v>1</v>
      </c>
    </row>
    <row r="15" spans="1:29" ht="15">
      <c r="A15" s="439" t="s">
        <v>2542</v>
      </c>
      <c r="B15" s="69" t="s">
        <v>2071</v>
      </c>
      <c r="C15" s="257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2"/>
      <c r="M15" s="1113"/>
      <c r="N15" s="1113"/>
      <c r="O15" s="1113"/>
      <c r="P15" s="3647" t="s">
        <v>2543</v>
      </c>
      <c r="Q15" s="1788" t="str">
        <f t="shared" si="6"/>
        <v>居住社区成熟度</v>
      </c>
      <c r="R15" s="770" t="s">
        <v>21</v>
      </c>
      <c r="S15" s="771">
        <f t="shared" si="0"/>
        <v>100</v>
      </c>
      <c r="T15" s="770" t="s">
        <v>21</v>
      </c>
      <c r="U15" s="771">
        <f t="shared" si="1"/>
        <v>100</v>
      </c>
      <c r="V15" s="770" t="s">
        <v>21</v>
      </c>
      <c r="W15" s="771">
        <f t="shared" si="2"/>
        <v>100</v>
      </c>
      <c r="X15" s="1791"/>
      <c r="Y15" s="3649" t="s">
        <v>2543</v>
      </c>
      <c r="Z15" s="1792" t="str">
        <f t="shared" si="7"/>
        <v>居住社区成熟度</v>
      </c>
      <c r="AA15" s="1789">
        <f t="shared" si="3"/>
        <v>1</v>
      </c>
      <c r="AB15" s="1789">
        <f t="shared" si="4"/>
        <v>1</v>
      </c>
      <c r="AC15" s="1789">
        <f t="shared" si="5"/>
        <v>1</v>
      </c>
    </row>
    <row r="16" spans="1:29" ht="15">
      <c r="A16" s="427"/>
      <c r="B16" s="445"/>
      <c r="C16" s="446"/>
      <c r="D16" s="447"/>
      <c r="E16" s="2574"/>
      <c r="F16" s="447"/>
      <c r="G16" s="2575"/>
      <c r="H16" s="449"/>
      <c r="I16" s="2575"/>
      <c r="J16" s="447"/>
      <c r="K16" s="2576"/>
      <c r="L16" s="1122"/>
      <c r="M16" s="1113"/>
      <c r="N16" s="1113"/>
      <c r="O16" s="1113"/>
      <c r="P16" s="3648"/>
      <c r="Q16" s="1788"/>
      <c r="R16" s="770"/>
      <c r="S16" s="771"/>
      <c r="T16" s="770"/>
      <c r="U16" s="771"/>
      <c r="V16" s="770"/>
      <c r="W16" s="771"/>
      <c r="X16" s="1791"/>
      <c r="Y16" s="3650"/>
      <c r="Z16" s="1792"/>
      <c r="AA16" s="1789">
        <v>1</v>
      </c>
      <c r="AB16" s="1789">
        <v>1</v>
      </c>
      <c r="AC16" s="1789">
        <v>1</v>
      </c>
    </row>
    <row r="17" spans="1:29" ht="110.4">
      <c r="A17" s="427"/>
      <c r="B17" s="450" t="s">
        <v>2080</v>
      </c>
      <c r="C17" s="2577"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2"/>
      <c r="M17" s="1113"/>
      <c r="N17" s="1113"/>
      <c r="O17" s="1113"/>
      <c r="P17" s="3648"/>
      <c r="Q17" s="1788" t="str">
        <f>B17</f>
        <v>交通便捷度</v>
      </c>
      <c r="R17" s="770" t="s">
        <v>21</v>
      </c>
      <c r="S17" s="771">
        <f>F17</f>
        <v>100</v>
      </c>
      <c r="T17" s="770" t="s">
        <v>21</v>
      </c>
      <c r="U17" s="771">
        <f>H17</f>
        <v>100</v>
      </c>
      <c r="V17" s="770" t="s">
        <v>21</v>
      </c>
      <c r="W17" s="771">
        <f>J17</f>
        <v>100</v>
      </c>
      <c r="X17" s="1791"/>
      <c r="Y17" s="3650"/>
      <c r="Z17" s="1792" t="str">
        <f>Q17</f>
        <v>交通便捷度</v>
      </c>
      <c r="AA17" s="1789">
        <f t="shared" si="3"/>
        <v>1</v>
      </c>
      <c r="AB17" s="1789">
        <f t="shared" si="4"/>
        <v>1</v>
      </c>
      <c r="AC17" s="1789">
        <f t="shared" si="5"/>
        <v>1</v>
      </c>
    </row>
    <row r="18" spans="1:29" ht="15">
      <c r="A18" s="427"/>
      <c r="B18" s="455"/>
      <c r="C18" s="2578"/>
      <c r="D18" s="449"/>
      <c r="E18" s="2579"/>
      <c r="F18" s="449"/>
      <c r="G18" s="2580"/>
      <c r="H18" s="447"/>
      <c r="I18" s="2580"/>
      <c r="J18" s="447"/>
      <c r="K18" s="2576"/>
      <c r="L18" s="1122"/>
      <c r="M18" s="1113"/>
      <c r="N18" s="1113"/>
      <c r="O18" s="1113"/>
      <c r="P18" s="3648"/>
      <c r="Q18" s="1788"/>
      <c r="R18" s="770"/>
      <c r="S18" s="771"/>
      <c r="T18" s="770"/>
      <c r="U18" s="771"/>
      <c r="V18" s="770"/>
      <c r="W18" s="771"/>
      <c r="X18" s="1791"/>
      <c r="Y18" s="3650"/>
      <c r="Z18" s="1792"/>
      <c r="AA18" s="1789">
        <v>1</v>
      </c>
      <c r="AB18" s="1789">
        <v>1</v>
      </c>
      <c r="AC18" s="1789">
        <v>1</v>
      </c>
    </row>
    <row r="19" spans="1:29" ht="41.4">
      <c r="A19" s="427"/>
      <c r="B19" s="450" t="s">
        <v>2078</v>
      </c>
      <c r="C19" s="2577"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2"/>
      <c r="M19" s="1113"/>
      <c r="N19" s="1113"/>
      <c r="O19" s="1113"/>
      <c r="P19" s="3648"/>
      <c r="Q19" s="1788" t="str">
        <f>B19</f>
        <v>公共配套设施</v>
      </c>
      <c r="R19" s="770" t="s">
        <v>21</v>
      </c>
      <c r="S19" s="771">
        <f>F19</f>
        <v>100</v>
      </c>
      <c r="T19" s="770" t="s">
        <v>21</v>
      </c>
      <c r="U19" s="771">
        <f>H19</f>
        <v>100</v>
      </c>
      <c r="V19" s="770" t="s">
        <v>21</v>
      </c>
      <c r="W19" s="771">
        <f>J19</f>
        <v>100</v>
      </c>
      <c r="X19" s="1791"/>
      <c r="Y19" s="3650"/>
      <c r="Z19" s="1792" t="str">
        <f>Q19</f>
        <v>公共配套设施</v>
      </c>
      <c r="AA19" s="1789">
        <f t="shared" si="3"/>
        <v>1</v>
      </c>
      <c r="AB19" s="1789">
        <f t="shared" si="4"/>
        <v>1</v>
      </c>
      <c r="AC19" s="1789">
        <f t="shared" si="5"/>
        <v>1</v>
      </c>
    </row>
    <row r="20" spans="1:29" ht="15">
      <c r="A20" s="427"/>
      <c r="B20" s="455"/>
      <c r="C20" s="446"/>
      <c r="D20" s="447"/>
      <c r="E20" s="2574"/>
      <c r="F20" s="447"/>
      <c r="G20" s="2575"/>
      <c r="H20" s="447"/>
      <c r="I20" s="2575"/>
      <c r="J20" s="447"/>
      <c r="K20" s="2576"/>
      <c r="L20" s="1122"/>
      <c r="M20" s="1113"/>
      <c r="N20" s="1113"/>
      <c r="O20" s="1113"/>
      <c r="P20" s="3648"/>
      <c r="Q20" s="1788"/>
      <c r="R20" s="770"/>
      <c r="S20" s="771"/>
      <c r="T20" s="770"/>
      <c r="U20" s="771"/>
      <c r="V20" s="770"/>
      <c r="W20" s="771"/>
      <c r="X20" s="1791"/>
      <c r="Y20" s="3650"/>
      <c r="Z20" s="1792"/>
      <c r="AA20" s="1789">
        <v>1</v>
      </c>
      <c r="AB20" s="1789">
        <v>1</v>
      </c>
      <c r="AC20" s="1789">
        <v>1</v>
      </c>
    </row>
    <row r="21" spans="1:29" ht="41.4">
      <c r="A21" s="427"/>
      <c r="B21" s="1365" t="s">
        <v>2081</v>
      </c>
      <c r="C21" s="2577"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2"/>
      <c r="M21" s="1113"/>
      <c r="N21" s="1113"/>
      <c r="O21" s="1113"/>
      <c r="P21" s="3648"/>
      <c r="Q21" s="1788" t="str">
        <f>B21</f>
        <v>基础设施水平</v>
      </c>
      <c r="R21" s="770" t="s">
        <v>17</v>
      </c>
      <c r="S21" s="771">
        <f>F21</f>
        <v>100</v>
      </c>
      <c r="T21" s="770" t="s">
        <v>17</v>
      </c>
      <c r="U21" s="771">
        <f>H21</f>
        <v>100</v>
      </c>
      <c r="V21" s="770" t="s">
        <v>17</v>
      </c>
      <c r="W21" s="771">
        <f>J21</f>
        <v>100</v>
      </c>
      <c r="X21" s="1791"/>
      <c r="Y21" s="3650"/>
      <c r="Z21" s="1792" t="str">
        <f>Q21</f>
        <v>基础设施水平</v>
      </c>
      <c r="AA21" s="1789">
        <f t="shared" ref="AA21" si="8">D21/F21</f>
        <v>1</v>
      </c>
      <c r="AB21" s="1789">
        <f t="shared" ref="AB21" si="9">D21/H21</f>
        <v>1</v>
      </c>
      <c r="AC21" s="1789">
        <f t="shared" ref="AC21" si="10">D21/J21</f>
        <v>1</v>
      </c>
    </row>
    <row r="22" spans="1:29" ht="15">
      <c r="A22" s="427"/>
      <c r="B22" s="1365"/>
      <c r="C22" s="2578"/>
      <c r="D22" s="447"/>
      <c r="E22" s="446"/>
      <c r="F22" s="447"/>
      <c r="G22" s="2581"/>
      <c r="H22" s="447"/>
      <c r="I22" s="446"/>
      <c r="J22" s="447"/>
      <c r="K22" s="2582"/>
      <c r="L22" s="1122"/>
      <c r="M22" s="1113"/>
      <c r="N22" s="1113"/>
      <c r="O22" s="1113"/>
      <c r="P22" s="3648"/>
      <c r="Q22" s="1788"/>
      <c r="R22" s="770"/>
      <c r="S22" s="771"/>
      <c r="T22" s="770"/>
      <c r="U22" s="771"/>
      <c r="V22" s="770"/>
      <c r="W22" s="771"/>
      <c r="X22" s="1791"/>
      <c r="Y22" s="3650"/>
      <c r="Z22" s="1792"/>
      <c r="AA22" s="1789">
        <v>1</v>
      </c>
      <c r="AB22" s="1789">
        <v>1</v>
      </c>
      <c r="AC22" s="1789">
        <v>1</v>
      </c>
    </row>
    <row r="23" spans="1:29" ht="82.8">
      <c r="A23" s="427"/>
      <c r="B23" s="450" t="s">
        <v>2085</v>
      </c>
      <c r="C23" s="2577"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2"/>
      <c r="M23" s="1113"/>
      <c r="N23" s="1113"/>
      <c r="O23" s="1113"/>
      <c r="P23" s="3648"/>
      <c r="Q23" s="1788" t="str">
        <f>B23</f>
        <v>自然及人文环境</v>
      </c>
      <c r="R23" s="770" t="s">
        <v>21</v>
      </c>
      <c r="S23" s="771">
        <f>F23</f>
        <v>100</v>
      </c>
      <c r="T23" s="770" t="s">
        <v>21</v>
      </c>
      <c r="U23" s="771">
        <f>H23</f>
        <v>100</v>
      </c>
      <c r="V23" s="770" t="s">
        <v>21</v>
      </c>
      <c r="W23" s="771">
        <f>J23</f>
        <v>100</v>
      </c>
      <c r="X23" s="1791"/>
      <c r="Y23" s="3650"/>
      <c r="Z23" s="1792" t="str">
        <f>Q23</f>
        <v>自然及人文环境</v>
      </c>
      <c r="AA23" s="1789">
        <f>D23/F23</f>
        <v>1</v>
      </c>
      <c r="AB23" s="1789">
        <f>D23/H23</f>
        <v>1</v>
      </c>
      <c r="AC23" s="1789">
        <f>D23/J23</f>
        <v>1</v>
      </c>
    </row>
    <row r="24" spans="1:29" ht="15">
      <c r="A24" s="427"/>
      <c r="B24" s="455"/>
      <c r="C24" s="446"/>
      <c r="D24" s="447"/>
      <c r="E24" s="2574"/>
      <c r="F24" s="447"/>
      <c r="G24" s="2575"/>
      <c r="H24" s="447"/>
      <c r="I24" s="2575"/>
      <c r="J24" s="447"/>
      <c r="K24" s="2576"/>
      <c r="L24" s="1122"/>
      <c r="M24" s="1113"/>
      <c r="N24" s="1113"/>
      <c r="O24" s="1113"/>
      <c r="P24" s="3648"/>
      <c r="Q24" s="1788"/>
      <c r="R24" s="770"/>
      <c r="S24" s="771"/>
      <c r="T24" s="770"/>
      <c r="U24" s="771"/>
      <c r="V24" s="770"/>
      <c r="W24" s="771"/>
      <c r="X24" s="1791"/>
      <c r="Y24" s="3650"/>
      <c r="Z24" s="1792"/>
      <c r="AA24" s="1789">
        <v>1</v>
      </c>
      <c r="AB24" s="1789">
        <v>1</v>
      </c>
      <c r="AC24" s="1789">
        <v>1</v>
      </c>
    </row>
    <row r="25" spans="1:29" ht="15">
      <c r="A25" s="427"/>
      <c r="B25" s="421" t="s">
        <v>2544</v>
      </c>
      <c r="C25" s="459"/>
      <c r="D25" s="434">
        <v>100</v>
      </c>
      <c r="E25" s="2583"/>
      <c r="F25" s="434">
        <f>SUMIF(86:86,E25,87:87)-SUMIF(86:86,C25,87:87)+100</f>
        <v>100</v>
      </c>
      <c r="G25" s="2584"/>
      <c r="H25" s="434">
        <f>SUMIF(86:86,G25,87:87)-SUMIF(86:86,C25,87:87)+100</f>
        <v>100</v>
      </c>
      <c r="I25" s="2584"/>
      <c r="J25" s="434">
        <f>SUMIF(86:86,I25,87:87)-SUMIF(86:86,C25,87:87)+100</f>
        <v>100</v>
      </c>
      <c r="K25" s="425"/>
      <c r="L25" s="1122"/>
      <c r="M25" s="1113"/>
      <c r="N25" s="1113"/>
      <c r="O25" s="1113"/>
      <c r="P25" s="3648"/>
      <c r="Q25" s="1788" t="str">
        <f t="shared" ref="Q25:Q46" si="11">B25</f>
        <v>楼层-1</v>
      </c>
      <c r="R25" s="770" t="s">
        <v>21</v>
      </c>
      <c r="S25" s="771">
        <f t="shared" ref="S25:S46" si="12">F25</f>
        <v>100</v>
      </c>
      <c r="T25" s="770" t="s">
        <v>21</v>
      </c>
      <c r="U25" s="771">
        <f t="shared" ref="U25:U46" si="13">H25</f>
        <v>100</v>
      </c>
      <c r="V25" s="770" t="s">
        <v>21</v>
      </c>
      <c r="W25" s="771">
        <f t="shared" ref="W25:W46" si="14">J25</f>
        <v>100</v>
      </c>
      <c r="X25" s="1791"/>
      <c r="Y25" s="3650"/>
      <c r="Z25" s="1792" t="str">
        <f>Q25</f>
        <v>楼层-1</v>
      </c>
      <c r="AA25" s="1789">
        <f t="shared" ref="AA25:AA46" si="15">D25/F25</f>
        <v>1</v>
      </c>
      <c r="AB25" s="1789">
        <f t="shared" ref="AB25:AB46" si="16">D25/H25</f>
        <v>1</v>
      </c>
      <c r="AC25" s="1789">
        <f t="shared" ref="AC25:AC46" si="17">D25/J25</f>
        <v>1</v>
      </c>
    </row>
    <row r="26" spans="1:29" ht="15">
      <c r="A26" s="427"/>
      <c r="B26" s="421" t="s">
        <v>2545</v>
      </c>
      <c r="C26" s="459"/>
      <c r="D26" s="434">
        <v>100</v>
      </c>
      <c r="E26" s="2583"/>
      <c r="F26" s="434">
        <f>SUMIF(88:88,E26,89:89)-SUMIF(88:88,C26,89:89)+100</f>
        <v>100</v>
      </c>
      <c r="G26" s="2584"/>
      <c r="H26" s="434">
        <f>SUMIF(88:88,G26,89:89)-SUMIF(88:88,C26,89:89)+100</f>
        <v>100</v>
      </c>
      <c r="I26" s="2584"/>
      <c r="J26" s="434">
        <f>SUMIF(88:88,I26,89:89)-SUMIF(88:88,C26,89:89)+100</f>
        <v>100</v>
      </c>
      <c r="K26" s="425"/>
      <c r="L26" s="1122"/>
      <c r="M26" s="1113"/>
      <c r="N26" s="1113"/>
      <c r="O26" s="1113"/>
      <c r="P26" s="3648"/>
      <c r="Q26" s="1788" t="str">
        <f t="shared" si="11"/>
        <v>朝向</v>
      </c>
      <c r="R26" s="770" t="s">
        <v>21</v>
      </c>
      <c r="S26" s="771">
        <f t="shared" si="12"/>
        <v>100</v>
      </c>
      <c r="T26" s="770" t="s">
        <v>21</v>
      </c>
      <c r="U26" s="771">
        <f t="shared" si="13"/>
        <v>100</v>
      </c>
      <c r="V26" s="770" t="s">
        <v>21</v>
      </c>
      <c r="W26" s="771">
        <f t="shared" si="14"/>
        <v>100</v>
      </c>
      <c r="X26" s="1791"/>
      <c r="Y26" s="3650"/>
      <c r="Z26" s="1792" t="str">
        <f>Q26</f>
        <v>朝向</v>
      </c>
      <c r="AA26" s="1789">
        <f t="shared" si="15"/>
        <v>1</v>
      </c>
      <c r="AB26" s="1789">
        <f t="shared" si="16"/>
        <v>1</v>
      </c>
      <c r="AC26" s="1789">
        <f t="shared" si="17"/>
        <v>1</v>
      </c>
    </row>
    <row r="27" spans="1:29" s="117" customFormat="1" ht="15">
      <c r="A27" s="430"/>
      <c r="B27" s="1367">
        <v>111</v>
      </c>
      <c r="C27" s="431"/>
      <c r="D27" s="461">
        <v>100</v>
      </c>
      <c r="E27" s="464"/>
      <c r="F27" s="461">
        <f>SUMIF(90:90,E27,91:91)-SUMIF(90:90,C27,91:91)+100</f>
        <v>100</v>
      </c>
      <c r="G27" s="462"/>
      <c r="H27" s="461">
        <f>SUMIF(90:90,G27,91:91)-SUMIF(90:90,C27,91:91)+100</f>
        <v>100</v>
      </c>
      <c r="I27" s="462"/>
      <c r="J27" s="461">
        <f>SUMIF(90:90,I27,91:91)-SUMIF(90:90,C27,91:91)+100</f>
        <v>100</v>
      </c>
      <c r="K27" s="2571"/>
      <c r="L27" s="1114"/>
      <c r="M27" s="1115"/>
      <c r="N27" s="1115"/>
      <c r="O27" s="1115"/>
      <c r="P27" s="3648"/>
      <c r="Q27" s="1773">
        <f t="shared" si="11"/>
        <v>111</v>
      </c>
      <c r="R27" s="766" t="s">
        <v>21</v>
      </c>
      <c r="S27" s="767">
        <f t="shared" si="12"/>
        <v>100</v>
      </c>
      <c r="T27" s="766" t="s">
        <v>21</v>
      </c>
      <c r="U27" s="767">
        <f t="shared" si="13"/>
        <v>100</v>
      </c>
      <c r="V27" s="766" t="s">
        <v>21</v>
      </c>
      <c r="W27" s="767">
        <f t="shared" si="14"/>
        <v>100</v>
      </c>
      <c r="X27" s="768"/>
      <c r="Y27" s="3650"/>
      <c r="Z27" s="55">
        <f>Q27</f>
        <v>111</v>
      </c>
      <c r="AA27" s="1789">
        <f t="shared" si="15"/>
        <v>1</v>
      </c>
      <c r="AB27" s="1789">
        <f t="shared" si="16"/>
        <v>1</v>
      </c>
      <c r="AC27" s="1789">
        <f t="shared" si="17"/>
        <v>1</v>
      </c>
    </row>
    <row r="28" spans="1:29" ht="15">
      <c r="A28" s="427"/>
      <c r="B28" s="1367">
        <v>111</v>
      </c>
      <c r="C28" s="433"/>
      <c r="D28" s="434">
        <v>100</v>
      </c>
      <c r="E28" s="433"/>
      <c r="F28" s="434">
        <f>SUMIF(92:92,E28,93:93)-SUMIF(92:92,C28,93:93)+100</f>
        <v>100</v>
      </c>
      <c r="G28" s="2585"/>
      <c r="H28" s="434">
        <f>SUMIF(92:92,G28,93:93)-SUMIF(92:92,C28,93:93)+100</f>
        <v>100</v>
      </c>
      <c r="I28" s="433"/>
      <c r="J28" s="434">
        <f>SUMIF(92:92,I28,93:93)-SUMIF(92:92,C28,93:93)+100</f>
        <v>100</v>
      </c>
      <c r="K28" s="2571"/>
      <c r="L28" s="1122"/>
      <c r="M28" s="1113"/>
      <c r="N28" s="1113"/>
      <c r="O28" s="1113"/>
      <c r="P28" s="3648"/>
      <c r="Q28" s="1788">
        <f t="shared" si="11"/>
        <v>111</v>
      </c>
      <c r="R28" s="770" t="s">
        <v>21</v>
      </c>
      <c r="S28" s="771">
        <f t="shared" si="12"/>
        <v>100</v>
      </c>
      <c r="T28" s="770" t="s">
        <v>21</v>
      </c>
      <c r="U28" s="771">
        <f t="shared" si="13"/>
        <v>100</v>
      </c>
      <c r="V28" s="770" t="s">
        <v>21</v>
      </c>
      <c r="W28" s="771">
        <f t="shared" si="14"/>
        <v>100</v>
      </c>
      <c r="X28" s="1791"/>
      <c r="Y28" s="3650"/>
      <c r="Z28" s="1792">
        <f t="shared" ref="Z28:Z46" si="18">Q28</f>
        <v>111</v>
      </c>
      <c r="AA28" s="1789">
        <f t="shared" si="15"/>
        <v>1</v>
      </c>
      <c r="AB28" s="1789">
        <f t="shared" si="16"/>
        <v>1</v>
      </c>
      <c r="AC28" s="1789">
        <f t="shared" si="17"/>
        <v>1</v>
      </c>
    </row>
    <row r="29" spans="1:29" ht="15">
      <c r="A29" s="427"/>
      <c r="B29" s="1367">
        <v>111</v>
      </c>
      <c r="C29" s="433"/>
      <c r="D29" s="434">
        <v>100</v>
      </c>
      <c r="E29" s="433"/>
      <c r="F29" s="434">
        <f>SUMIF(94:94,E29,95:95)-SUMIF(94:94,C29,95:95)+100</f>
        <v>100</v>
      </c>
      <c r="G29" s="2585"/>
      <c r="H29" s="434">
        <f>SUMIF(94:94,G29,95:95)-SUMIF(94:94,C29,95:95)+100</f>
        <v>100</v>
      </c>
      <c r="I29" s="433"/>
      <c r="J29" s="434">
        <f>SUMIF(94:94,I29,95:95)-SUMIF(94:94,C29,95:95)+100</f>
        <v>100</v>
      </c>
      <c r="K29" s="2571"/>
      <c r="L29" s="1122"/>
      <c r="M29" s="1113"/>
      <c r="N29" s="1113"/>
      <c r="O29" s="1113"/>
      <c r="P29" s="3648"/>
      <c r="Q29" s="1788">
        <f t="shared" si="11"/>
        <v>111</v>
      </c>
      <c r="R29" s="770" t="s">
        <v>21</v>
      </c>
      <c r="S29" s="771">
        <f t="shared" si="12"/>
        <v>100</v>
      </c>
      <c r="T29" s="770" t="s">
        <v>21</v>
      </c>
      <c r="U29" s="771">
        <f t="shared" si="13"/>
        <v>100</v>
      </c>
      <c r="V29" s="770" t="s">
        <v>21</v>
      </c>
      <c r="W29" s="771">
        <f t="shared" si="14"/>
        <v>100</v>
      </c>
      <c r="X29" s="1791"/>
      <c r="Y29" s="3650"/>
      <c r="Z29" s="1792">
        <f t="shared" si="18"/>
        <v>111</v>
      </c>
      <c r="AA29" s="1789">
        <f t="shared" si="15"/>
        <v>1</v>
      </c>
      <c r="AB29" s="1789">
        <f t="shared" si="16"/>
        <v>1</v>
      </c>
      <c r="AC29" s="1789">
        <f t="shared" si="17"/>
        <v>1</v>
      </c>
    </row>
    <row r="30" spans="1:29" ht="15">
      <c r="A30" s="427"/>
      <c r="B30" s="1367">
        <v>111</v>
      </c>
      <c r="C30" s="433"/>
      <c r="D30" s="434">
        <v>100</v>
      </c>
      <c r="E30" s="433"/>
      <c r="F30" s="434">
        <f>SUMIF(96:96,E30,97:97)-SUMIF(96:96,C30,97:97)+100</f>
        <v>100</v>
      </c>
      <c r="G30" s="2585"/>
      <c r="H30" s="434">
        <f>SUMIF(96:96,G30,97:97)-SUMIF(96:96,C30,97:97)+100</f>
        <v>100</v>
      </c>
      <c r="I30" s="433"/>
      <c r="J30" s="434">
        <f>SUMIF(96:96,I30,97:97)-SUMIF(96:96,C30,97:97)+100</f>
        <v>100</v>
      </c>
      <c r="K30" s="2571"/>
      <c r="L30" s="1122"/>
      <c r="M30" s="1113"/>
      <c r="N30" s="1113"/>
      <c r="O30" s="1113"/>
      <c r="P30" s="3648"/>
      <c r="Q30" s="1788">
        <f t="shared" si="11"/>
        <v>111</v>
      </c>
      <c r="R30" s="770" t="s">
        <v>21</v>
      </c>
      <c r="S30" s="771">
        <f t="shared" si="12"/>
        <v>100</v>
      </c>
      <c r="T30" s="770" t="s">
        <v>21</v>
      </c>
      <c r="U30" s="771">
        <f t="shared" si="13"/>
        <v>100</v>
      </c>
      <c r="V30" s="770" t="s">
        <v>21</v>
      </c>
      <c r="W30" s="771">
        <f t="shared" si="14"/>
        <v>100</v>
      </c>
      <c r="X30" s="1791"/>
      <c r="Y30" s="3650"/>
      <c r="Z30" s="1792">
        <f t="shared" si="18"/>
        <v>111</v>
      </c>
      <c r="AA30" s="1789">
        <f t="shared" si="15"/>
        <v>1</v>
      </c>
      <c r="AB30" s="1789">
        <f t="shared" si="16"/>
        <v>1</v>
      </c>
      <c r="AC30" s="1789">
        <f t="shared" si="17"/>
        <v>1</v>
      </c>
    </row>
    <row r="31" spans="1:29" ht="15.6" thickBot="1">
      <c r="A31" s="435"/>
      <c r="B31" s="1367">
        <v>111</v>
      </c>
      <c r="C31" s="436"/>
      <c r="D31" s="437">
        <v>100</v>
      </c>
      <c r="E31" s="436"/>
      <c r="F31" s="437">
        <f>SUMIF(98:98,E31,99:99)-SUMIF(98:98,C31,99:99)+100</f>
        <v>100</v>
      </c>
      <c r="G31" s="2586"/>
      <c r="H31" s="437">
        <f>SUMIF(98:98,G31,99:99)-SUMIF(98:98,C31,99:99)+100</f>
        <v>100</v>
      </c>
      <c r="I31" s="436"/>
      <c r="J31" s="437">
        <f>SUMIF(98:98,I31,99:99)-SUMIF(98:98,C31,99:99)+100</f>
        <v>100</v>
      </c>
      <c r="K31" s="2571"/>
      <c r="L31" s="1122"/>
      <c r="M31" s="1113"/>
      <c r="N31" s="1113"/>
      <c r="O31" s="1113"/>
      <c r="P31" s="3648"/>
      <c r="Q31" s="1788">
        <f t="shared" si="11"/>
        <v>111</v>
      </c>
      <c r="R31" s="770" t="s">
        <v>21</v>
      </c>
      <c r="S31" s="771">
        <f t="shared" si="12"/>
        <v>100</v>
      </c>
      <c r="T31" s="770" t="s">
        <v>21</v>
      </c>
      <c r="U31" s="771">
        <f t="shared" si="13"/>
        <v>100</v>
      </c>
      <c r="V31" s="770" t="s">
        <v>21</v>
      </c>
      <c r="W31" s="771">
        <f t="shared" si="14"/>
        <v>100</v>
      </c>
      <c r="X31" s="1791"/>
      <c r="Y31" s="3650"/>
      <c r="Z31" s="1792">
        <f t="shared" si="18"/>
        <v>111</v>
      </c>
      <c r="AA31" s="1789">
        <f t="shared" si="15"/>
        <v>1</v>
      </c>
      <c r="AB31" s="1789">
        <f t="shared" si="16"/>
        <v>1</v>
      </c>
      <c r="AC31" s="1789">
        <f t="shared" si="17"/>
        <v>1</v>
      </c>
    </row>
    <row r="32" spans="1:29" ht="15">
      <c r="A32" s="439" t="s">
        <v>2546</v>
      </c>
      <c r="B32" s="71" t="s">
        <v>2547</v>
      </c>
      <c r="C32" s="2587"/>
      <c r="D32" s="466">
        <v>100</v>
      </c>
      <c r="E32" s="2588"/>
      <c r="F32" s="460">
        <f>SUMIF(100:100,E32,101:101)-SUMIF(100:100,C32,101:101)+100</f>
        <v>100</v>
      </c>
      <c r="G32" s="2587"/>
      <c r="H32" s="466">
        <f>SUMIF(100:100,G32,101:101)-SUMIF(100:100,C32,101:101)+100</f>
        <v>100</v>
      </c>
      <c r="I32" s="2588"/>
      <c r="J32" s="434">
        <f>SUMIF(100:100,I32,101:101)-SUMIF(100:100,C32,101:101)+100</f>
        <v>100</v>
      </c>
      <c r="K32" s="425"/>
      <c r="L32" s="1122"/>
      <c r="M32" s="1113"/>
      <c r="N32" s="1113"/>
      <c r="O32" s="1113"/>
      <c r="P32" s="3651" t="s">
        <v>2548</v>
      </c>
      <c r="Q32" s="1788" t="str">
        <f t="shared" si="11"/>
        <v>建筑类型</v>
      </c>
      <c r="R32" s="770" t="s">
        <v>21</v>
      </c>
      <c r="S32" s="771">
        <f t="shared" si="12"/>
        <v>100</v>
      </c>
      <c r="T32" s="770" t="s">
        <v>21</v>
      </c>
      <c r="U32" s="771">
        <f t="shared" si="13"/>
        <v>100</v>
      </c>
      <c r="V32" s="770" t="s">
        <v>21</v>
      </c>
      <c r="W32" s="771">
        <f t="shared" si="14"/>
        <v>100</v>
      </c>
      <c r="X32" s="1791"/>
      <c r="Y32" s="3654" t="s">
        <v>2548</v>
      </c>
      <c r="Z32" s="1792" t="str">
        <f t="shared" si="18"/>
        <v>建筑类型</v>
      </c>
      <c r="AA32" s="1789">
        <f t="shared" si="15"/>
        <v>1</v>
      </c>
      <c r="AB32" s="1789">
        <f t="shared" si="16"/>
        <v>1</v>
      </c>
      <c r="AC32" s="1789">
        <f t="shared" si="17"/>
        <v>1</v>
      </c>
    </row>
    <row r="33" spans="1:29" s="470" customFormat="1" ht="15">
      <c r="A33" s="467"/>
      <c r="B33" s="421" t="s">
        <v>2549</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1"/>
      <c r="L33" s="1120"/>
      <c r="M33" s="1123"/>
      <c r="N33" s="1123"/>
      <c r="O33" s="1123"/>
      <c r="P33" s="3652"/>
      <c r="Q33" s="772" t="str">
        <f t="shared" si="11"/>
        <v>项目建筑规模</v>
      </c>
      <c r="R33" s="773" t="s">
        <v>21</v>
      </c>
      <c r="S33" s="774" t="e">
        <f t="shared" si="12"/>
        <v>#N/A</v>
      </c>
      <c r="T33" s="773" t="s">
        <v>21</v>
      </c>
      <c r="U33" s="774" t="e">
        <f t="shared" si="13"/>
        <v>#N/A</v>
      </c>
      <c r="V33" s="773" t="s">
        <v>21</v>
      </c>
      <c r="W33" s="774" t="e">
        <f t="shared" si="14"/>
        <v>#N/A</v>
      </c>
      <c r="X33" s="775"/>
      <c r="Y33" s="3654"/>
      <c r="Z33" s="776" t="str">
        <f t="shared" si="18"/>
        <v>项目建筑规模</v>
      </c>
      <c r="AA33" s="1789" t="e">
        <f t="shared" si="15"/>
        <v>#N/A</v>
      </c>
      <c r="AB33" s="1789" t="e">
        <f t="shared" si="16"/>
        <v>#N/A</v>
      </c>
      <c r="AC33" s="1789" t="e">
        <f t="shared" si="17"/>
        <v>#N/A</v>
      </c>
    </row>
    <row r="34" spans="1:29" ht="15">
      <c r="A34" s="471"/>
      <c r="B34" s="421" t="s">
        <v>2550</v>
      </c>
      <c r="C34" s="2589"/>
      <c r="D34" s="434">
        <v>100</v>
      </c>
      <c r="E34" s="2590"/>
      <c r="F34" s="460">
        <f>SUMIF(105:105,E34,106:106)-SUMIF(105:105,C34,106:106)+100</f>
        <v>100</v>
      </c>
      <c r="G34" s="2589"/>
      <c r="H34" s="434">
        <f>SUMIF(105:105,G34,106:106)-SUMIF(105:105,C34,106:106)+100</f>
        <v>100</v>
      </c>
      <c r="I34" s="2590"/>
      <c r="J34" s="434">
        <f>SUMIF(105:105,I34,106:106)-SUMIF(105:105,C34,106:106)+100</f>
        <v>100</v>
      </c>
      <c r="K34" s="425"/>
      <c r="L34" s="1122"/>
      <c r="M34" s="1113"/>
      <c r="N34" s="1113"/>
      <c r="O34" s="1113"/>
      <c r="P34" s="3652"/>
      <c r="Q34" s="1788" t="str">
        <f t="shared" si="11"/>
        <v>建筑结构</v>
      </c>
      <c r="R34" s="770" t="s">
        <v>21</v>
      </c>
      <c r="S34" s="771">
        <f t="shared" si="12"/>
        <v>100</v>
      </c>
      <c r="T34" s="770" t="s">
        <v>21</v>
      </c>
      <c r="U34" s="771">
        <f t="shared" si="13"/>
        <v>100</v>
      </c>
      <c r="V34" s="770" t="s">
        <v>21</v>
      </c>
      <c r="W34" s="771">
        <f t="shared" si="14"/>
        <v>100</v>
      </c>
      <c r="X34" s="1791"/>
      <c r="Y34" s="3654"/>
      <c r="Z34" s="1792" t="str">
        <f t="shared" si="18"/>
        <v>建筑结构</v>
      </c>
      <c r="AA34" s="1789">
        <f t="shared" si="15"/>
        <v>1</v>
      </c>
      <c r="AB34" s="1789">
        <f t="shared" si="16"/>
        <v>1</v>
      </c>
      <c r="AC34" s="1789">
        <f t="shared" si="17"/>
        <v>1</v>
      </c>
    </row>
    <row r="35" spans="1:29" ht="15">
      <c r="A35" s="471"/>
      <c r="B35" s="421" t="s">
        <v>2551</v>
      </c>
      <c r="C35" s="2583"/>
      <c r="D35" s="434">
        <v>100</v>
      </c>
      <c r="E35" s="2584"/>
      <c r="F35" s="460">
        <f>SUMIF(107:107,E35,108:108)-SUMIF(107:107,C35,108:108)+100</f>
        <v>100</v>
      </c>
      <c r="G35" s="2583"/>
      <c r="H35" s="434">
        <f>SUMIF(107:107,G35,108:108)-SUMIF(107:107,C35,108:108)+100</f>
        <v>100</v>
      </c>
      <c r="I35" s="2584"/>
      <c r="J35" s="434">
        <f>SUMIF(107:107,I35,108:108)-SUMIF(107:107,C35,108:108)+100</f>
        <v>100</v>
      </c>
      <c r="K35" s="425"/>
      <c r="L35" s="1122"/>
      <c r="M35" s="1113"/>
      <c r="N35" s="1113"/>
      <c r="O35" s="1113"/>
      <c r="P35" s="3652"/>
      <c r="Q35" s="1788" t="str">
        <f t="shared" si="11"/>
        <v>建筑品质</v>
      </c>
      <c r="R35" s="770" t="s">
        <v>21</v>
      </c>
      <c r="S35" s="771">
        <f t="shared" si="12"/>
        <v>100</v>
      </c>
      <c r="T35" s="770" t="s">
        <v>21</v>
      </c>
      <c r="U35" s="771">
        <f t="shared" si="13"/>
        <v>100</v>
      </c>
      <c r="V35" s="770" t="s">
        <v>21</v>
      </c>
      <c r="W35" s="771">
        <f t="shared" si="14"/>
        <v>100</v>
      </c>
      <c r="X35" s="1791"/>
      <c r="Y35" s="3654"/>
      <c r="Z35" s="1792" t="str">
        <f t="shared" si="18"/>
        <v>建筑品质</v>
      </c>
      <c r="AA35" s="1789">
        <f t="shared" si="15"/>
        <v>1</v>
      </c>
      <c r="AB35" s="1789">
        <f t="shared" si="16"/>
        <v>1</v>
      </c>
      <c r="AC35" s="1789">
        <f t="shared" si="17"/>
        <v>1</v>
      </c>
    </row>
    <row r="36" spans="1:29" ht="15">
      <c r="A36" s="471"/>
      <c r="B36" s="421" t="s">
        <v>2552</v>
      </c>
      <c r="C36" s="2583"/>
      <c r="D36" s="434">
        <v>100</v>
      </c>
      <c r="E36" s="2584"/>
      <c r="F36" s="460">
        <f>SUMIF(109:109,E36,110:110)-SUMIF(109:109,C36,110:110)+100</f>
        <v>100</v>
      </c>
      <c r="G36" s="2583"/>
      <c r="H36" s="434">
        <f>SUMIF(109:109,G36,110:110)-SUMIF(109:109,C36,110:110)+100</f>
        <v>100</v>
      </c>
      <c r="I36" s="2584"/>
      <c r="J36" s="434">
        <f>SUMIF(109:109,I36,110:110)-SUMIF(109:109,C36,110:110)+100</f>
        <v>100</v>
      </c>
      <c r="K36" s="425"/>
      <c r="L36" s="1122"/>
      <c r="M36" s="1113"/>
      <c r="N36" s="1113"/>
      <c r="O36" s="1113"/>
      <c r="P36" s="3652"/>
      <c r="Q36" s="1788" t="str">
        <f t="shared" si="11"/>
        <v>公共部分装修</v>
      </c>
      <c r="R36" s="770" t="s">
        <v>21</v>
      </c>
      <c r="S36" s="771">
        <f t="shared" si="12"/>
        <v>100</v>
      </c>
      <c r="T36" s="770" t="s">
        <v>21</v>
      </c>
      <c r="U36" s="771">
        <f t="shared" si="13"/>
        <v>100</v>
      </c>
      <c r="V36" s="770" t="s">
        <v>21</v>
      </c>
      <c r="W36" s="771">
        <f t="shared" si="14"/>
        <v>100</v>
      </c>
      <c r="X36" s="1791"/>
      <c r="Y36" s="3654"/>
      <c r="Z36" s="1792" t="str">
        <f t="shared" si="18"/>
        <v>公共部分装修</v>
      </c>
      <c r="AA36" s="1789">
        <f t="shared" si="15"/>
        <v>1</v>
      </c>
      <c r="AB36" s="1789">
        <f t="shared" si="16"/>
        <v>1</v>
      </c>
      <c r="AC36" s="1789">
        <f t="shared" si="17"/>
        <v>1</v>
      </c>
    </row>
    <row r="37" spans="1:29" s="117" customFormat="1" ht="15">
      <c r="A37" s="472"/>
      <c r="B37" s="421" t="s">
        <v>2553</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4"/>
      <c r="M37" s="1115"/>
      <c r="N37" s="1115"/>
      <c r="O37" s="1115"/>
      <c r="P37" s="3652"/>
      <c r="Q37" s="1773" t="str">
        <f t="shared" si="11"/>
        <v>成新度</v>
      </c>
      <c r="R37" s="766" t="s">
        <v>21</v>
      </c>
      <c r="S37" s="767" t="e">
        <f t="shared" si="12"/>
        <v>#N/A</v>
      </c>
      <c r="T37" s="766" t="s">
        <v>21</v>
      </c>
      <c r="U37" s="767" t="e">
        <f t="shared" si="13"/>
        <v>#N/A</v>
      </c>
      <c r="V37" s="766" t="s">
        <v>21</v>
      </c>
      <c r="W37" s="767" t="e">
        <f t="shared" si="14"/>
        <v>#N/A</v>
      </c>
      <c r="X37" s="768"/>
      <c r="Y37" s="3654"/>
      <c r="Z37" s="55" t="str">
        <f t="shared" si="18"/>
        <v>成新度</v>
      </c>
      <c r="AA37" s="769" t="e">
        <f t="shared" si="15"/>
        <v>#N/A</v>
      </c>
      <c r="AB37" s="769" t="e">
        <f t="shared" si="16"/>
        <v>#N/A</v>
      </c>
      <c r="AC37" s="769" t="e">
        <f t="shared" si="17"/>
        <v>#N/A</v>
      </c>
    </row>
    <row r="38" spans="1:29" ht="15">
      <c r="A38" s="471"/>
      <c r="B38" s="421" t="s">
        <v>2554</v>
      </c>
      <c r="C38" s="2583"/>
      <c r="D38" s="434">
        <v>100</v>
      </c>
      <c r="E38" s="2584"/>
      <c r="F38" s="460">
        <f>SUMIF(114:114,E38,115:115)-SUMIF(114:114,C38,115:115)+100</f>
        <v>100</v>
      </c>
      <c r="G38" s="2583"/>
      <c r="H38" s="434">
        <f>SUMIF(114:114,G38,115:115)-SUMIF(114:114,C38,115:115)+100</f>
        <v>100</v>
      </c>
      <c r="I38" s="2584"/>
      <c r="J38" s="434">
        <f>SUMIF(114:114,I38,115:115)-SUMIF(114:114,C38,115:115)+100</f>
        <v>100</v>
      </c>
      <c r="K38" s="425"/>
      <c r="L38" s="1122"/>
      <c r="M38" s="1113"/>
      <c r="N38" s="1113"/>
      <c r="O38" s="1113"/>
      <c r="P38" s="3652" t="s">
        <v>2548</v>
      </c>
      <c r="Q38" s="1788" t="str">
        <f t="shared" si="11"/>
        <v>物业管理</v>
      </c>
      <c r="R38" s="770" t="s">
        <v>21</v>
      </c>
      <c r="S38" s="771">
        <f t="shared" si="12"/>
        <v>100</v>
      </c>
      <c r="T38" s="770" t="s">
        <v>21</v>
      </c>
      <c r="U38" s="771">
        <f t="shared" si="13"/>
        <v>100</v>
      </c>
      <c r="V38" s="770" t="s">
        <v>21</v>
      </c>
      <c r="W38" s="771">
        <f t="shared" si="14"/>
        <v>100</v>
      </c>
      <c r="X38" s="1791"/>
      <c r="Y38" s="3654" t="s">
        <v>2548</v>
      </c>
      <c r="Z38" s="1792" t="str">
        <f t="shared" si="18"/>
        <v>物业管理</v>
      </c>
      <c r="AA38" s="1789">
        <f t="shared" si="15"/>
        <v>1</v>
      </c>
      <c r="AB38" s="1789">
        <f t="shared" si="16"/>
        <v>1</v>
      </c>
      <c r="AC38" s="1789">
        <f t="shared" si="17"/>
        <v>1</v>
      </c>
    </row>
    <row r="39" spans="1:29" ht="15">
      <c r="A39" s="471"/>
      <c r="B39" s="421" t="s">
        <v>2555</v>
      </c>
      <c r="C39" s="2583"/>
      <c r="D39" s="434">
        <v>100</v>
      </c>
      <c r="E39" s="2584"/>
      <c r="F39" s="460">
        <f>SUMIF(116:116,E39,117:117)-SUMIF(116:116,C39,117:117)+100</f>
        <v>100</v>
      </c>
      <c r="G39" s="2583"/>
      <c r="H39" s="434">
        <f>SUMIF(116:116,G39,117:117)-SUMIF(116:116,C39,117:117)+100</f>
        <v>100</v>
      </c>
      <c r="I39" s="2584"/>
      <c r="J39" s="434">
        <f>SUMIF(116:116,I39,117:117)-SUMIF(116:116,C39,117:117)+100</f>
        <v>100</v>
      </c>
      <c r="K39" s="425"/>
      <c r="L39" s="1122"/>
      <c r="M39" s="1113"/>
      <c r="N39" s="1113"/>
      <c r="O39" s="1113"/>
      <c r="P39" s="3652"/>
      <c r="Q39" s="1788" t="str">
        <f t="shared" si="11"/>
        <v>市政基础设施</v>
      </c>
      <c r="R39" s="770" t="s">
        <v>21</v>
      </c>
      <c r="S39" s="771">
        <f t="shared" si="12"/>
        <v>100</v>
      </c>
      <c r="T39" s="770" t="s">
        <v>21</v>
      </c>
      <c r="U39" s="771">
        <f t="shared" si="13"/>
        <v>100</v>
      </c>
      <c r="V39" s="770" t="s">
        <v>21</v>
      </c>
      <c r="W39" s="771">
        <f t="shared" si="14"/>
        <v>100</v>
      </c>
      <c r="X39" s="1791"/>
      <c r="Y39" s="3654"/>
      <c r="Z39" s="1792" t="str">
        <f t="shared" si="18"/>
        <v>市政基础设施</v>
      </c>
      <c r="AA39" s="1789">
        <f t="shared" si="15"/>
        <v>1</v>
      </c>
      <c r="AB39" s="1789">
        <f t="shared" si="16"/>
        <v>1</v>
      </c>
      <c r="AC39" s="1789">
        <f t="shared" si="17"/>
        <v>1</v>
      </c>
    </row>
    <row r="40" spans="1:29" ht="15">
      <c r="A40" s="471"/>
      <c r="B40" s="421" t="s">
        <v>2556</v>
      </c>
      <c r="C40" s="2583"/>
      <c r="D40" s="434">
        <v>100</v>
      </c>
      <c r="E40" s="2584"/>
      <c r="F40" s="460">
        <f>SUMIF(118:118,E40,119:119)-SUMIF(118:118,C40,119:119)+100</f>
        <v>100</v>
      </c>
      <c r="G40" s="2583"/>
      <c r="H40" s="434">
        <f>SUMIF(118:118,G40,119:119)-SUMIF(118:118,C40,119:119)+100</f>
        <v>100</v>
      </c>
      <c r="I40" s="2584"/>
      <c r="J40" s="434">
        <f>SUMIF(118:118,I40,119:119)-SUMIF(118:118,C40,119:119)+100</f>
        <v>100</v>
      </c>
      <c r="K40" s="425"/>
      <c r="L40" s="1122"/>
      <c r="M40" s="1113"/>
      <c r="N40" s="1113"/>
      <c r="O40" s="1113"/>
      <c r="P40" s="3652"/>
      <c r="Q40" s="1788" t="str">
        <f t="shared" si="11"/>
        <v>房型</v>
      </c>
      <c r="R40" s="770" t="s">
        <v>21</v>
      </c>
      <c r="S40" s="771">
        <f t="shared" si="12"/>
        <v>100</v>
      </c>
      <c r="T40" s="770" t="s">
        <v>21</v>
      </c>
      <c r="U40" s="771">
        <f t="shared" si="13"/>
        <v>100</v>
      </c>
      <c r="V40" s="770" t="s">
        <v>21</v>
      </c>
      <c r="W40" s="771">
        <f t="shared" si="14"/>
        <v>100</v>
      </c>
      <c r="X40" s="1791"/>
      <c r="Y40" s="3654"/>
      <c r="Z40" s="1792" t="str">
        <f t="shared" si="18"/>
        <v>房型</v>
      </c>
      <c r="AA40" s="1789">
        <f t="shared" si="15"/>
        <v>1</v>
      </c>
      <c r="AB40" s="1789">
        <f t="shared" si="16"/>
        <v>1</v>
      </c>
      <c r="AC40" s="1789">
        <f t="shared" si="17"/>
        <v>1</v>
      </c>
    </row>
    <row r="41" spans="1:29" s="470" customFormat="1" ht="28.8">
      <c r="A41" s="467"/>
      <c r="B41" s="421" t="s">
        <v>2557</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1"/>
      <c r="L41" s="1120"/>
      <c r="M41" s="1123"/>
      <c r="N41" s="1123"/>
      <c r="O41" s="1123"/>
      <c r="P41" s="3652"/>
      <c r="Q41" s="772" t="str">
        <f t="shared" si="11"/>
        <v>单套/主力户型建筑面积</v>
      </c>
      <c r="R41" s="773" t="s">
        <v>21</v>
      </c>
      <c r="S41" s="774">
        <f t="shared" si="12"/>
        <v>100</v>
      </c>
      <c r="T41" s="773" t="s">
        <v>21</v>
      </c>
      <c r="U41" s="774">
        <f t="shared" si="13"/>
        <v>100</v>
      </c>
      <c r="V41" s="773" t="s">
        <v>21</v>
      </c>
      <c r="W41" s="774">
        <f t="shared" si="14"/>
        <v>100</v>
      </c>
      <c r="X41" s="775"/>
      <c r="Y41" s="3654"/>
      <c r="Z41" s="776" t="str">
        <f t="shared" si="18"/>
        <v>单套/主力户型建筑面积</v>
      </c>
      <c r="AA41" s="1789">
        <f t="shared" si="15"/>
        <v>1</v>
      </c>
      <c r="AB41" s="1789">
        <f t="shared" si="16"/>
        <v>1</v>
      </c>
      <c r="AC41" s="1789">
        <f t="shared" si="17"/>
        <v>1</v>
      </c>
    </row>
    <row r="42" spans="1:29" ht="15">
      <c r="A42" s="471"/>
      <c r="B42" s="421" t="s">
        <v>2558</v>
      </c>
      <c r="C42" s="2583"/>
      <c r="D42" s="434">
        <v>100</v>
      </c>
      <c r="E42" s="2584"/>
      <c r="F42" s="460">
        <f>SUMIF(122:122,E42,123:123)-SUMIF(122:122,C42,123:123)+100</f>
        <v>100</v>
      </c>
      <c r="G42" s="2583"/>
      <c r="H42" s="434">
        <f>SUMIF(122:122,G42,123:123)-SUMIF(122:122,C42,123:123)+100</f>
        <v>100</v>
      </c>
      <c r="I42" s="2584"/>
      <c r="J42" s="434">
        <f>SUMIF(122:122,I42,123:123)-SUMIF(122:122,C42,123:123)+100</f>
        <v>100</v>
      </c>
      <c r="K42" s="425"/>
      <c r="L42" s="1122"/>
      <c r="M42" s="1113"/>
      <c r="N42" s="1113"/>
      <c r="O42" s="1113"/>
      <c r="P42" s="3652"/>
      <c r="Q42" s="1788" t="str">
        <f t="shared" si="11"/>
        <v>内部装修</v>
      </c>
      <c r="R42" s="770" t="s">
        <v>21</v>
      </c>
      <c r="S42" s="771">
        <f t="shared" si="12"/>
        <v>100</v>
      </c>
      <c r="T42" s="770" t="s">
        <v>21</v>
      </c>
      <c r="U42" s="771">
        <f t="shared" si="13"/>
        <v>100</v>
      </c>
      <c r="V42" s="770" t="s">
        <v>21</v>
      </c>
      <c r="W42" s="771">
        <f t="shared" si="14"/>
        <v>100</v>
      </c>
      <c r="X42" s="1791"/>
      <c r="Y42" s="3654"/>
      <c r="Z42" s="1792" t="str">
        <f t="shared" si="18"/>
        <v>内部装修</v>
      </c>
      <c r="AA42" s="1789">
        <f t="shared" si="15"/>
        <v>1</v>
      </c>
      <c r="AB42" s="1789">
        <f t="shared" si="16"/>
        <v>1</v>
      </c>
      <c r="AC42" s="1789">
        <f t="shared" si="17"/>
        <v>1</v>
      </c>
    </row>
    <row r="43" spans="1:29" ht="28.8">
      <c r="A43" s="471"/>
      <c r="B43" s="421" t="s">
        <v>2559</v>
      </c>
      <c r="C43" s="2583"/>
      <c r="D43" s="434">
        <v>100</v>
      </c>
      <c r="E43" s="2584"/>
      <c r="F43" s="460">
        <f>SUMIF(124:124,E43,125:125)-SUMIF(124:124,C43,125:125)+100</f>
        <v>100</v>
      </c>
      <c r="G43" s="2583"/>
      <c r="H43" s="434">
        <f>SUMIF(124:124,G43,125:125)-SUMIF(124:124,C43,125:125)+100</f>
        <v>100</v>
      </c>
      <c r="I43" s="2584"/>
      <c r="J43" s="434">
        <f>SUMIF(124:124,I43,125:125)-SUMIF(124:124,C43,125:125)+100</f>
        <v>100</v>
      </c>
      <c r="K43" s="425"/>
      <c r="L43" s="1122"/>
      <c r="M43" s="1113"/>
      <c r="N43" s="1113"/>
      <c r="O43" s="1113"/>
      <c r="P43" s="3652"/>
      <c r="Q43" s="1788" t="str">
        <f t="shared" si="11"/>
        <v>内部装修维护情况</v>
      </c>
      <c r="R43" s="770" t="s">
        <v>21</v>
      </c>
      <c r="S43" s="771">
        <f t="shared" si="12"/>
        <v>100</v>
      </c>
      <c r="T43" s="770" t="s">
        <v>21</v>
      </c>
      <c r="U43" s="771">
        <f t="shared" si="13"/>
        <v>100</v>
      </c>
      <c r="V43" s="770" t="s">
        <v>21</v>
      </c>
      <c r="W43" s="771">
        <f t="shared" si="14"/>
        <v>100</v>
      </c>
      <c r="X43" s="1791"/>
      <c r="Y43" s="3654"/>
      <c r="Z43" s="1792" t="str">
        <f t="shared" si="18"/>
        <v>内部装修维护情况</v>
      </c>
      <c r="AA43" s="1789">
        <f t="shared" si="15"/>
        <v>1</v>
      </c>
      <c r="AB43" s="1789">
        <f t="shared" si="16"/>
        <v>1</v>
      </c>
      <c r="AC43" s="1789">
        <f t="shared" si="17"/>
        <v>1</v>
      </c>
    </row>
    <row r="44" spans="1:29" s="117" customFormat="1" ht="15">
      <c r="A44" s="472"/>
      <c r="B44" s="136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1"/>
      <c r="L44" s="1114"/>
      <c r="M44" s="1115"/>
      <c r="N44" s="1115"/>
      <c r="O44" s="1115"/>
      <c r="P44" s="3652"/>
      <c r="Q44" s="1773">
        <f t="shared" si="11"/>
        <v>111</v>
      </c>
      <c r="R44" s="766" t="s">
        <v>21</v>
      </c>
      <c r="S44" s="767">
        <f t="shared" si="12"/>
        <v>100</v>
      </c>
      <c r="T44" s="766" t="s">
        <v>21</v>
      </c>
      <c r="U44" s="767">
        <f t="shared" si="13"/>
        <v>100</v>
      </c>
      <c r="V44" s="766" t="s">
        <v>21</v>
      </c>
      <c r="W44" s="767">
        <f t="shared" si="14"/>
        <v>100</v>
      </c>
      <c r="X44" s="768"/>
      <c r="Y44" s="3654"/>
      <c r="Z44" s="55">
        <f t="shared" si="18"/>
        <v>111</v>
      </c>
      <c r="AA44" s="769">
        <f t="shared" si="15"/>
        <v>1</v>
      </c>
      <c r="AB44" s="769">
        <f t="shared" si="16"/>
        <v>1</v>
      </c>
      <c r="AC44" s="769">
        <f t="shared" si="17"/>
        <v>1</v>
      </c>
    </row>
    <row r="45" spans="1:29" ht="15">
      <c r="A45" s="471"/>
      <c r="B45" s="136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1"/>
      <c r="L45" s="1122"/>
      <c r="M45" s="1113"/>
      <c r="N45" s="1113"/>
      <c r="O45" s="1113"/>
      <c r="P45" s="3652"/>
      <c r="Q45" s="1788">
        <f t="shared" si="11"/>
        <v>111</v>
      </c>
      <c r="R45" s="770" t="s">
        <v>21</v>
      </c>
      <c r="S45" s="771">
        <f t="shared" si="12"/>
        <v>100</v>
      </c>
      <c r="T45" s="770" t="s">
        <v>21</v>
      </c>
      <c r="U45" s="771">
        <f t="shared" si="13"/>
        <v>100</v>
      </c>
      <c r="V45" s="770" t="s">
        <v>21</v>
      </c>
      <c r="W45" s="771">
        <f t="shared" si="14"/>
        <v>100</v>
      </c>
      <c r="X45" s="1791"/>
      <c r="Y45" s="3654"/>
      <c r="Z45" s="1792">
        <f t="shared" si="18"/>
        <v>111</v>
      </c>
      <c r="AA45" s="1789">
        <f t="shared" si="15"/>
        <v>1</v>
      </c>
      <c r="AB45" s="1789">
        <f t="shared" si="16"/>
        <v>1</v>
      </c>
      <c r="AC45" s="1789">
        <f t="shared" si="17"/>
        <v>1</v>
      </c>
    </row>
    <row r="46" spans="1:29" ht="15.6" thickBot="1">
      <c r="A46" s="477"/>
      <c r="B46" s="257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1"/>
      <c r="L46" s="1122"/>
      <c r="M46" s="1113"/>
      <c r="N46" s="1113"/>
      <c r="O46" s="1113"/>
      <c r="P46" s="3653"/>
      <c r="Q46" s="1788">
        <f t="shared" si="11"/>
        <v>111</v>
      </c>
      <c r="R46" s="770" t="s">
        <v>20</v>
      </c>
      <c r="S46" s="771">
        <f t="shared" si="12"/>
        <v>100</v>
      </c>
      <c r="T46" s="770" t="s">
        <v>20</v>
      </c>
      <c r="U46" s="771">
        <f t="shared" si="13"/>
        <v>100</v>
      </c>
      <c r="V46" s="770" t="s">
        <v>20</v>
      </c>
      <c r="W46" s="771">
        <f t="shared" si="14"/>
        <v>100</v>
      </c>
      <c r="X46" s="1791"/>
      <c r="Y46" s="3655"/>
      <c r="Z46" s="1792">
        <f t="shared" si="18"/>
        <v>111</v>
      </c>
      <c r="AA46" s="1789">
        <f t="shared" si="15"/>
        <v>1</v>
      </c>
      <c r="AB46" s="1789">
        <f t="shared" si="16"/>
        <v>1</v>
      </c>
      <c r="AC46" s="1789">
        <f t="shared" si="17"/>
        <v>1</v>
      </c>
    </row>
    <row r="47" spans="1:29" ht="14.4">
      <c r="A47" s="478" t="s">
        <v>2560</v>
      </c>
      <c r="B47" s="479"/>
      <c r="C47" s="1387" t="s">
        <v>19</v>
      </c>
      <c r="D47" s="1388"/>
      <c r="E47" s="1389"/>
      <c r="F47" s="1390"/>
      <c r="G47" s="1391"/>
      <c r="H47" s="1392"/>
      <c r="I47" s="1389"/>
      <c r="J47" s="1392"/>
      <c r="K47" s="2591"/>
      <c r="L47" s="1125"/>
      <c r="M47" s="1126"/>
      <c r="N47" s="1113"/>
      <c r="O47" s="1126"/>
      <c r="P47" s="3642" t="str">
        <f>A47</f>
        <v>成交单价（元/平方米）</v>
      </c>
      <c r="Q47" s="3642"/>
      <c r="R47" s="3643">
        <f>E47</f>
        <v>0</v>
      </c>
      <c r="S47" s="3643"/>
      <c r="T47" s="3643">
        <f>G47</f>
        <v>0</v>
      </c>
      <c r="U47" s="3643"/>
      <c r="V47" s="3643">
        <f>I47</f>
        <v>0</v>
      </c>
      <c r="W47" s="3643"/>
      <c r="X47" s="755"/>
      <c r="Y47" s="777"/>
      <c r="Z47" s="755"/>
      <c r="AA47" s="755"/>
      <c r="AB47" s="755"/>
      <c r="AC47" s="755"/>
    </row>
    <row r="48" spans="1:29" ht="15" thickBot="1">
      <c r="A48" s="485" t="s">
        <v>2561</v>
      </c>
      <c r="B48" s="486"/>
      <c r="C48" s="1393" t="e">
        <f>R49</f>
        <v>#DIV/0!</v>
      </c>
      <c r="D48" s="1394"/>
      <c r="E48" s="1395" t="e">
        <f>R48</f>
        <v>#DIV/0!</v>
      </c>
      <c r="F48" s="1395"/>
      <c r="G48" s="1393" t="e">
        <f>T48</f>
        <v>#DIV/0!</v>
      </c>
      <c r="H48" s="1394"/>
      <c r="I48" s="1395" t="e">
        <f>V48</f>
        <v>#DIV/0!</v>
      </c>
      <c r="J48" s="1394"/>
      <c r="K48" s="2592"/>
      <c r="L48" s="1125"/>
      <c r="M48" s="1126"/>
      <c r="N48" s="1126"/>
      <c r="O48" s="1126"/>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755"/>
      <c r="Y48" s="755"/>
      <c r="Z48" s="755"/>
      <c r="AA48" s="755"/>
      <c r="AB48" s="755"/>
      <c r="AC48" s="755"/>
    </row>
    <row r="49" spans="1:29" ht="15" thickBot="1">
      <c r="A49" s="491" t="s">
        <v>2562</v>
      </c>
      <c r="B49" s="492"/>
      <c r="C49" s="1396" t="e">
        <f>R49</f>
        <v>#DIV/0!</v>
      </c>
      <c r="D49" s="1397"/>
      <c r="E49" s="1397"/>
      <c r="F49" s="1397"/>
      <c r="G49" s="1397"/>
      <c r="H49" s="1397"/>
      <c r="I49" s="1397"/>
      <c r="J49" s="1397"/>
      <c r="K49" s="2593"/>
      <c r="L49" s="1125"/>
      <c r="M49" s="1126"/>
      <c r="N49" s="1126"/>
      <c r="O49" s="1126"/>
      <c r="P49" s="3644" t="str">
        <f>A49</f>
        <v>估价对象XX用房的比较价值（楼面单价，元/平方米）</v>
      </c>
      <c r="Q49" s="3645"/>
      <c r="R49" s="3646" t="e">
        <f>IF(F1="售价",ROUND(AVERAGE(R48:V48),0),ROUND(AVERAGE(R48:V48),1))</f>
        <v>#DIV/0!</v>
      </c>
      <c r="S49" s="3646"/>
      <c r="T49" s="3646"/>
      <c r="U49" s="3646"/>
      <c r="V49" s="3646"/>
      <c r="W49" s="3646"/>
      <c r="X49" s="755"/>
      <c r="Y49" s="755"/>
      <c r="Z49" s="755"/>
      <c r="AA49" s="755"/>
      <c r="AB49" s="755"/>
      <c r="AC49" s="755"/>
    </row>
    <row r="50" spans="1:29">
      <c r="A50" s="1126"/>
      <c r="B50" s="1126"/>
      <c r="C50" s="1126"/>
      <c r="D50" s="1126"/>
      <c r="E50" s="1126"/>
      <c r="F50" s="1126"/>
      <c r="G50" s="1129"/>
      <c r="H50" s="1126"/>
      <c r="I50" s="1126"/>
      <c r="J50" s="1126"/>
      <c r="K50" s="1094"/>
      <c r="L50" s="1095"/>
      <c r="M50" s="1126"/>
      <c r="N50" s="1126"/>
      <c r="O50" s="1126"/>
    </row>
    <row r="51" spans="1:29">
      <c r="A51" s="1126"/>
      <c r="B51" s="1126"/>
      <c r="C51" s="1126"/>
      <c r="D51" s="1126"/>
      <c r="E51" s="1126"/>
      <c r="F51" s="1126"/>
      <c r="G51" s="1126"/>
      <c r="H51" s="1126"/>
      <c r="I51" s="1126"/>
      <c r="J51" s="1126"/>
      <c r="K51" s="1094"/>
      <c r="L51" s="1095"/>
      <c r="M51" s="1126"/>
      <c r="N51" s="1126"/>
      <c r="O51" s="1126"/>
    </row>
    <row r="52" spans="1:29" ht="13.5" customHeight="1">
      <c r="A52" s="1126"/>
      <c r="B52" s="1126"/>
      <c r="C52" s="496" t="s">
        <v>2563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4"/>
      <c r="L52" s="1095"/>
      <c r="M52" s="1126"/>
      <c r="N52" s="1126"/>
      <c r="O52" s="1126"/>
    </row>
    <row r="53" spans="1:29" ht="13.5" customHeight="1">
      <c r="A53" s="1126"/>
      <c r="B53" s="1126"/>
      <c r="C53" s="496" t="s">
        <v>2564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4"/>
      <c r="L53" s="1095"/>
      <c r="M53" s="1126"/>
      <c r="N53" s="1126"/>
      <c r="O53" s="1126"/>
    </row>
    <row r="54" spans="1:29" s="501" customFormat="1" ht="13.5" customHeight="1">
      <c r="A54" s="1127"/>
      <c r="B54" s="1127"/>
      <c r="C54" s="496" t="s">
        <v>2565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0"/>
      <c r="L54" s="1131"/>
      <c r="M54" s="1127"/>
      <c r="N54" s="1127"/>
      <c r="O54" s="1127"/>
      <c r="P54" s="2595"/>
    </row>
    <row r="55" spans="1:29" s="501" customFormat="1">
      <c r="A55" s="1127"/>
      <c r="B55" s="1128"/>
      <c r="C55" s="1132"/>
      <c r="D55" s="1127"/>
      <c r="E55" s="1127"/>
      <c r="F55" s="1127"/>
      <c r="G55" s="1127"/>
      <c r="H55" s="1127"/>
      <c r="I55" s="1127"/>
      <c r="J55" s="1127"/>
      <c r="K55" s="1130"/>
      <c r="L55" s="1131"/>
      <c r="M55" s="1127"/>
      <c r="N55" s="1127"/>
      <c r="O55" s="1127"/>
      <c r="P55" s="2595"/>
    </row>
    <row r="56" spans="1:29">
      <c r="A56" s="1126"/>
      <c r="B56" s="1128"/>
      <c r="C56" s="1132"/>
      <c r="D56" s="1126"/>
      <c r="E56" s="1126"/>
      <c r="F56" s="1126"/>
      <c r="G56" s="1126"/>
      <c r="H56" s="1126"/>
      <c r="I56" s="1126"/>
      <c r="J56" s="1126"/>
      <c r="K56" s="1094"/>
      <c r="L56" s="1095"/>
      <c r="M56" s="1126"/>
      <c r="N56" s="1126"/>
      <c r="O56" s="1126"/>
    </row>
    <row r="57" spans="1:29" ht="22.2" thickBot="1">
      <c r="A57" s="759" t="s">
        <v>2566</v>
      </c>
      <c r="B57" s="755"/>
      <c r="C57" s="760"/>
      <c r="D57" s="760"/>
      <c r="E57" s="760"/>
      <c r="F57" s="761"/>
      <c r="G57" s="761"/>
      <c r="H57" s="760"/>
      <c r="I57" s="760"/>
      <c r="J57" s="760"/>
      <c r="K57" s="1142"/>
      <c r="L57" s="1143"/>
      <c r="M57" s="1141"/>
      <c r="N57" s="1141"/>
      <c r="O57" s="1141"/>
      <c r="P57" s="2596"/>
      <c r="Q57" s="503"/>
    </row>
    <row r="58" spans="1:29" s="507" customFormat="1" ht="14.4">
      <c r="A58" s="504" t="s">
        <v>2567</v>
      </c>
      <c r="B58" s="505"/>
      <c r="C58" s="1555" t="str">
        <f>YEAR(C7)&amp;"-"&amp;MONTH(C7)</f>
        <v>2020-3</v>
      </c>
      <c r="D58" s="1554">
        <f>EDATE(C58,-1)</f>
        <v>43862</v>
      </c>
      <c r="E58" s="1554">
        <f>EDATE(D58,-1)</f>
        <v>43831</v>
      </c>
      <c r="F58" s="1554">
        <f t="shared" ref="F58:O58" si="19">EDATE(E58,-1)</f>
        <v>43800</v>
      </c>
      <c r="G58" s="1554">
        <f t="shared" si="19"/>
        <v>43770</v>
      </c>
      <c r="H58" s="1554">
        <f t="shared" si="19"/>
        <v>43739</v>
      </c>
      <c r="I58" s="1554">
        <f t="shared" si="19"/>
        <v>43709</v>
      </c>
      <c r="J58" s="1554">
        <f t="shared" si="19"/>
        <v>43678</v>
      </c>
      <c r="K58" s="1554">
        <f t="shared" si="19"/>
        <v>43647</v>
      </c>
      <c r="L58" s="1554">
        <f t="shared" si="19"/>
        <v>43617</v>
      </c>
      <c r="M58" s="1554">
        <f t="shared" si="19"/>
        <v>43586</v>
      </c>
      <c r="N58" s="1554">
        <f t="shared" si="19"/>
        <v>43556</v>
      </c>
      <c r="O58" s="1554">
        <f t="shared" si="19"/>
        <v>43525</v>
      </c>
      <c r="P58" s="1549"/>
    </row>
    <row r="59" spans="1:29" s="117" customFormat="1">
      <c r="A59" s="508"/>
      <c r="B59" s="2597"/>
      <c r="C59" s="1552">
        <v>100</v>
      </c>
      <c r="D59" s="510"/>
      <c r="E59" s="511"/>
      <c r="F59" s="511"/>
      <c r="G59" s="511"/>
      <c r="H59" s="511"/>
      <c r="I59" s="511"/>
      <c r="J59" s="511"/>
      <c r="K59" s="511"/>
      <c r="L59" s="511"/>
      <c r="M59" s="512"/>
      <c r="N59" s="511"/>
      <c r="O59" s="512"/>
      <c r="P59" s="2598"/>
    </row>
    <row r="60" spans="1:29" s="117" customFormat="1" ht="15" thickBot="1">
      <c r="A60" s="514" t="s">
        <v>2568</v>
      </c>
      <c r="B60" s="515"/>
      <c r="C60" s="516"/>
      <c r="D60" s="517"/>
      <c r="E60" s="517"/>
      <c r="F60" s="517"/>
      <c r="G60" s="517"/>
      <c r="H60" s="517"/>
      <c r="I60" s="517"/>
      <c r="J60" s="517"/>
      <c r="K60" s="517"/>
      <c r="L60" s="517"/>
      <c r="M60" s="518"/>
      <c r="N60" s="517"/>
      <c r="O60" s="518"/>
      <c r="P60" s="2598"/>
      <c r="Q60" s="503"/>
    </row>
    <row r="61" spans="1:29" s="117" customFormat="1" ht="14.4">
      <c r="A61" s="520" t="s">
        <v>2569</v>
      </c>
      <c r="B61" s="509"/>
      <c r="C61" s="521" t="s">
        <v>2570</v>
      </c>
      <c r="D61" s="522"/>
      <c r="E61" s="522"/>
      <c r="F61" s="522"/>
      <c r="G61" s="522"/>
      <c r="H61" s="522"/>
      <c r="I61" s="522"/>
      <c r="J61" s="522"/>
      <c r="K61" s="522"/>
      <c r="L61" s="523"/>
      <c r="M61" s="524"/>
      <c r="N61" s="1133"/>
      <c r="O61" s="1133"/>
      <c r="P61" s="2599"/>
      <c r="Q61" s="503"/>
    </row>
    <row r="62" spans="1:29" s="117" customFormat="1" ht="14.4" thickBot="1">
      <c r="A62" s="520"/>
      <c r="B62" s="509"/>
      <c r="C62" s="510">
        <v>100</v>
      </c>
      <c r="D62" s="511"/>
      <c r="E62" s="511"/>
      <c r="F62" s="511"/>
      <c r="G62" s="511"/>
      <c r="H62" s="511"/>
      <c r="I62" s="511"/>
      <c r="J62" s="511"/>
      <c r="K62" s="511"/>
      <c r="L62" s="511"/>
      <c r="M62" s="513"/>
      <c r="N62" s="1133"/>
      <c r="O62" s="1133"/>
      <c r="P62" s="2598"/>
      <c r="Q62" s="503"/>
    </row>
    <row r="63" spans="1:29" ht="14.4">
      <c r="A63" s="526" t="s">
        <v>2571</v>
      </c>
      <c r="B63" s="527" t="s">
        <v>2537</v>
      </c>
      <c r="C63" s="528">
        <f>C9</f>
        <v>0</v>
      </c>
      <c r="D63" s="529"/>
      <c r="E63" s="529"/>
      <c r="F63" s="529"/>
      <c r="G63" s="529"/>
      <c r="H63" s="529"/>
      <c r="I63" s="529"/>
      <c r="J63" s="529"/>
      <c r="K63" s="530"/>
      <c r="L63" s="531"/>
      <c r="M63" s="532"/>
      <c r="N63" s="1134"/>
      <c r="O63" s="1134"/>
      <c r="P63" s="2600"/>
      <c r="Q63" s="503"/>
    </row>
    <row r="64" spans="1:29" ht="14.4" thickBot="1">
      <c r="A64" s="533"/>
      <c r="B64" s="534"/>
      <c r="C64" s="535">
        <v>100</v>
      </c>
      <c r="D64" s="535"/>
      <c r="E64" s="535"/>
      <c r="F64" s="535"/>
      <c r="G64" s="535"/>
      <c r="H64" s="535"/>
      <c r="I64" s="535"/>
      <c r="J64" s="535"/>
      <c r="K64" s="535"/>
      <c r="L64" s="535"/>
      <c r="M64" s="536"/>
      <c r="N64" s="1135"/>
      <c r="O64" s="1135"/>
      <c r="P64" s="2600"/>
      <c r="Q64" s="503"/>
    </row>
    <row r="65" spans="1:17" ht="29.4" thickTop="1">
      <c r="A65" s="533"/>
      <c r="B65" s="537" t="s">
        <v>2540</v>
      </c>
      <c r="C65" s="538" t="s">
        <v>2572</v>
      </c>
      <c r="D65" s="538" t="s">
        <v>2573</v>
      </c>
      <c r="E65" s="538" t="s">
        <v>2574</v>
      </c>
      <c r="F65" s="538" t="s">
        <v>2575</v>
      </c>
      <c r="G65" s="538" t="s">
        <v>2576</v>
      </c>
      <c r="H65" s="538" t="s">
        <v>2577</v>
      </c>
      <c r="I65" s="538" t="s">
        <v>2578</v>
      </c>
      <c r="J65" s="538"/>
      <c r="K65" s="539"/>
      <c r="L65" s="540"/>
      <c r="M65" s="541"/>
      <c r="N65" s="1134"/>
      <c r="O65" s="1134"/>
      <c r="P65" s="2600"/>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5"/>
      <c r="O66" s="1135"/>
      <c r="P66" s="2600"/>
      <c r="Q66" s="503"/>
    </row>
    <row r="67" spans="1:17" ht="15" thickTop="1">
      <c r="A67" s="533"/>
      <c r="B67" s="545" t="s">
        <v>2541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5"/>
      <c r="O67" s="1135"/>
      <c r="P67" s="2600"/>
      <c r="Q67" s="503"/>
    </row>
    <row r="68" spans="1:17">
      <c r="A68" s="533"/>
      <c r="B68" s="547"/>
      <c r="C68" s="548"/>
      <c r="D68" s="548"/>
      <c r="E68" s="548"/>
      <c r="F68" s="548"/>
      <c r="G68" s="548"/>
      <c r="H68" s="548"/>
      <c r="I68" s="548"/>
      <c r="J68" s="548"/>
      <c r="K68" s="549"/>
      <c r="L68" s="550"/>
      <c r="M68" s="551"/>
      <c r="N68" s="1134"/>
      <c r="O68" s="1134"/>
      <c r="P68" s="2600"/>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5"/>
      <c r="O69" s="1135"/>
      <c r="P69" s="2600"/>
      <c r="Q69" s="503"/>
    </row>
    <row r="70" spans="1:17" s="470" customFormat="1" ht="14.4" thickTop="1">
      <c r="A70" s="552"/>
      <c r="B70" s="537">
        <f>B12</f>
        <v>111</v>
      </c>
      <c r="C70" s="553"/>
      <c r="D70" s="553"/>
      <c r="E70" s="553"/>
      <c r="F70" s="553"/>
      <c r="G70" s="553"/>
      <c r="H70" s="554"/>
      <c r="I70" s="554"/>
      <c r="J70" s="554"/>
      <c r="K70" s="554"/>
      <c r="L70" s="555"/>
      <c r="M70" s="556"/>
      <c r="N70" s="1136"/>
      <c r="O70" s="1136"/>
      <c r="P70" s="2601"/>
      <c r="Q70" s="558"/>
    </row>
    <row r="71" spans="1:17" s="470" customFormat="1" ht="14.4" thickBot="1">
      <c r="A71" s="552"/>
      <c r="B71" s="542"/>
      <c r="C71" s="559"/>
      <c r="D71" s="535"/>
      <c r="E71" s="535"/>
      <c r="F71" s="535"/>
      <c r="G71" s="535"/>
      <c r="H71" s="535"/>
      <c r="I71" s="535"/>
      <c r="J71" s="535"/>
      <c r="K71" s="535"/>
      <c r="L71" s="535"/>
      <c r="M71" s="536"/>
      <c r="N71" s="1135"/>
      <c r="O71" s="1135"/>
      <c r="P71" s="2601"/>
      <c r="Q71" s="558"/>
    </row>
    <row r="72" spans="1:17" s="470" customFormat="1" ht="14.4" thickTop="1">
      <c r="A72" s="552"/>
      <c r="B72" s="537">
        <f>B13</f>
        <v>111</v>
      </c>
      <c r="C72" s="553"/>
      <c r="D72" s="553"/>
      <c r="E72" s="553"/>
      <c r="F72" s="553"/>
      <c r="G72" s="553"/>
      <c r="H72" s="554"/>
      <c r="I72" s="554"/>
      <c r="J72" s="554"/>
      <c r="K72" s="554"/>
      <c r="L72" s="555"/>
      <c r="M72" s="556"/>
      <c r="N72" s="1136"/>
      <c r="O72" s="1136"/>
      <c r="P72" s="2602"/>
      <c r="Q72" s="560"/>
    </row>
    <row r="73" spans="1:17" s="470" customFormat="1" ht="14.4" thickBot="1">
      <c r="A73" s="552"/>
      <c r="B73" s="542"/>
      <c r="C73" s="559"/>
      <c r="D73" s="559"/>
      <c r="E73" s="559"/>
      <c r="F73" s="559"/>
      <c r="G73" s="559"/>
      <c r="H73" s="561"/>
      <c r="I73" s="561"/>
      <c r="J73" s="561"/>
      <c r="K73" s="561"/>
      <c r="L73" s="561"/>
      <c r="M73" s="562"/>
      <c r="N73" s="1136"/>
      <c r="O73" s="1136"/>
      <c r="P73" s="2601"/>
      <c r="Q73" s="558"/>
    </row>
    <row r="74" spans="1:17" s="470" customFormat="1" ht="14.4" thickTop="1">
      <c r="A74" s="552"/>
      <c r="B74" s="545">
        <f>B14</f>
        <v>111</v>
      </c>
      <c r="C74" s="553"/>
      <c r="D74" s="553"/>
      <c r="E74" s="553"/>
      <c r="F74" s="553"/>
      <c r="G74" s="522"/>
      <c r="H74" s="563"/>
      <c r="I74" s="563"/>
      <c r="J74" s="563"/>
      <c r="K74" s="563"/>
      <c r="L74" s="564"/>
      <c r="M74" s="565"/>
      <c r="N74" s="1136"/>
      <c r="O74" s="1136"/>
      <c r="P74" s="2603"/>
      <c r="Q74" s="558"/>
    </row>
    <row r="75" spans="1:17" s="470" customFormat="1" ht="14.4" thickBot="1">
      <c r="A75" s="567"/>
      <c r="B75" s="568"/>
      <c r="C75" s="569"/>
      <c r="D75" s="569"/>
      <c r="E75" s="569"/>
      <c r="F75" s="569"/>
      <c r="G75" s="569"/>
      <c r="H75" s="570"/>
      <c r="I75" s="570"/>
      <c r="J75" s="570"/>
      <c r="K75" s="570"/>
      <c r="L75" s="570"/>
      <c r="M75" s="571"/>
      <c r="N75" s="1136"/>
      <c r="O75" s="1136"/>
      <c r="P75" s="2601"/>
      <c r="Q75" s="558"/>
    </row>
    <row r="76" spans="1:17" ht="14.4">
      <c r="A76" s="526" t="s">
        <v>2542</v>
      </c>
      <c r="B76" s="527" t="s">
        <v>2579</v>
      </c>
      <c r="C76" s="572" t="s">
        <v>2580</v>
      </c>
      <c r="D76" s="572" t="s">
        <v>2581</v>
      </c>
      <c r="E76" s="572" t="s">
        <v>2582</v>
      </c>
      <c r="F76" s="572" t="s">
        <v>2583</v>
      </c>
      <c r="G76" s="572" t="s">
        <v>2584</v>
      </c>
      <c r="H76" s="528"/>
      <c r="I76" s="528"/>
      <c r="J76" s="528"/>
      <c r="K76" s="573"/>
      <c r="L76" s="574"/>
      <c r="M76" s="575"/>
      <c r="N76" s="1134"/>
      <c r="O76" s="1134"/>
      <c r="P76" s="2604"/>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35"/>
      <c r="O77" s="1135"/>
      <c r="P77" s="2600"/>
      <c r="Q77" s="503"/>
    </row>
    <row r="78" spans="1:17" ht="15" thickTop="1">
      <c r="A78" s="533"/>
      <c r="B78" s="537" t="s">
        <v>2585</v>
      </c>
      <c r="C78" s="577" t="s">
        <v>2580</v>
      </c>
      <c r="D78" s="577" t="s">
        <v>2581</v>
      </c>
      <c r="E78" s="577" t="s">
        <v>2582</v>
      </c>
      <c r="F78" s="577" t="s">
        <v>2583</v>
      </c>
      <c r="G78" s="577" t="s">
        <v>2584</v>
      </c>
      <c r="H78" s="538"/>
      <c r="I78" s="538"/>
      <c r="J78" s="538"/>
      <c r="K78" s="539"/>
      <c r="L78" s="540"/>
      <c r="M78" s="541"/>
      <c r="N78" s="1134"/>
      <c r="O78" s="1134"/>
      <c r="P78" s="2600"/>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35"/>
      <c r="O79" s="1135"/>
      <c r="P79" s="2600"/>
      <c r="Q79" s="503"/>
    </row>
    <row r="80" spans="1:17" ht="15" thickTop="1">
      <c r="A80" s="533"/>
      <c r="B80" s="537" t="s">
        <v>2586</v>
      </c>
      <c r="C80" s="577" t="s">
        <v>2580</v>
      </c>
      <c r="D80" s="577" t="s">
        <v>2581</v>
      </c>
      <c r="E80" s="577" t="s">
        <v>2582</v>
      </c>
      <c r="F80" s="577" t="s">
        <v>2583</v>
      </c>
      <c r="G80" s="577" t="s">
        <v>2584</v>
      </c>
      <c r="H80" s="538"/>
      <c r="I80" s="538"/>
      <c r="J80" s="538"/>
      <c r="K80" s="539"/>
      <c r="L80" s="540"/>
      <c r="M80" s="541"/>
      <c r="N80" s="1134"/>
      <c r="O80" s="1134"/>
      <c r="P80" s="2600"/>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35"/>
      <c r="O81" s="1135"/>
      <c r="P81" s="2600"/>
      <c r="Q81" s="503"/>
    </row>
    <row r="82" spans="1:17" ht="15" thickTop="1">
      <c r="A82" s="533"/>
      <c r="B82" s="545" t="s">
        <v>2081</v>
      </c>
      <c r="C82" s="538" t="s">
        <v>2587</v>
      </c>
      <c r="D82" s="538" t="s">
        <v>2588</v>
      </c>
      <c r="E82" s="538" t="s">
        <v>2589</v>
      </c>
      <c r="F82" s="538" t="s">
        <v>2590</v>
      </c>
      <c r="G82" s="538" t="s">
        <v>2591</v>
      </c>
      <c r="H82" s="538"/>
      <c r="I82" s="538"/>
      <c r="J82" s="538"/>
      <c r="K82" s="538"/>
      <c r="L82" s="538"/>
      <c r="M82" s="1363"/>
      <c r="N82" s="1135"/>
      <c r="O82" s="1135"/>
      <c r="P82" s="2600"/>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5"/>
      <c r="O83" s="1135"/>
      <c r="P83" s="2600"/>
      <c r="Q83" s="503"/>
    </row>
    <row r="84" spans="1:17" ht="15" thickTop="1">
      <c r="A84" s="533"/>
      <c r="B84" s="537" t="s">
        <v>2592</v>
      </c>
      <c r="C84" s="577" t="s">
        <v>2580</v>
      </c>
      <c r="D84" s="577" t="s">
        <v>2581</v>
      </c>
      <c r="E84" s="577" t="s">
        <v>2582</v>
      </c>
      <c r="F84" s="577" t="s">
        <v>2583</v>
      </c>
      <c r="G84" s="577" t="s">
        <v>2584</v>
      </c>
      <c r="H84" s="538"/>
      <c r="I84" s="538"/>
      <c r="J84" s="538"/>
      <c r="K84" s="539"/>
      <c r="L84" s="540"/>
      <c r="M84" s="541"/>
      <c r="N84" s="1134"/>
      <c r="O84" s="1134"/>
      <c r="P84" s="2600"/>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35"/>
      <c r="O85" s="1135"/>
      <c r="P85" s="2600"/>
      <c r="Q85" s="503"/>
    </row>
    <row r="86" spans="1:17" s="117" customFormat="1" ht="15" thickTop="1">
      <c r="A86" s="578"/>
      <c r="B86" s="537" t="s">
        <v>2593</v>
      </c>
      <c r="C86" s="553"/>
      <c r="D86" s="553"/>
      <c r="E86" s="553"/>
      <c r="F86" s="553"/>
      <c r="G86" s="553"/>
      <c r="H86" s="553"/>
      <c r="I86" s="553"/>
      <c r="J86" s="553"/>
      <c r="K86" s="553"/>
      <c r="L86" s="579"/>
      <c r="M86" s="580"/>
      <c r="N86" s="1133"/>
      <c r="O86" s="1133"/>
      <c r="P86" s="2600"/>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5"/>
      <c r="O87" s="1135"/>
      <c r="P87" s="2600"/>
      <c r="Q87" s="503"/>
    </row>
    <row r="88" spans="1:17" s="117" customFormat="1" ht="15" thickTop="1">
      <c r="A88" s="578"/>
      <c r="B88" s="537" t="s">
        <v>2594</v>
      </c>
      <c r="C88" s="553"/>
      <c r="D88" s="553"/>
      <c r="E88" s="553"/>
      <c r="F88" s="2605"/>
      <c r="G88" s="553"/>
      <c r="H88" s="553"/>
      <c r="I88" s="553"/>
      <c r="J88" s="553"/>
      <c r="K88" s="553"/>
      <c r="L88" s="553"/>
      <c r="M88" s="580"/>
      <c r="N88" s="1133"/>
      <c r="O88" s="1133"/>
      <c r="P88" s="2600"/>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5"/>
      <c r="O89" s="1135"/>
      <c r="P89" s="2600"/>
      <c r="Q89" s="503"/>
    </row>
    <row r="90" spans="1:17" s="470" customFormat="1" ht="14.4" thickTop="1">
      <c r="A90" s="552"/>
      <c r="B90" s="537">
        <f>B27</f>
        <v>111</v>
      </c>
      <c r="C90" s="553"/>
      <c r="D90" s="553"/>
      <c r="E90" s="553"/>
      <c r="F90" s="553"/>
      <c r="G90" s="553"/>
      <c r="H90" s="554"/>
      <c r="I90" s="554"/>
      <c r="J90" s="554"/>
      <c r="K90" s="554"/>
      <c r="L90" s="555"/>
      <c r="M90" s="556"/>
      <c r="N90" s="1136"/>
      <c r="O90" s="1136"/>
      <c r="P90" s="2601"/>
      <c r="Q90" s="558"/>
    </row>
    <row r="91" spans="1:17" s="470" customFormat="1" ht="14.4" thickBot="1">
      <c r="A91" s="552"/>
      <c r="B91" s="542"/>
      <c r="C91" s="559"/>
      <c r="D91" s="559"/>
      <c r="E91" s="559"/>
      <c r="F91" s="559"/>
      <c r="G91" s="559"/>
      <c r="H91" s="561"/>
      <c r="I91" s="561"/>
      <c r="J91" s="561"/>
      <c r="K91" s="561"/>
      <c r="L91" s="561"/>
      <c r="M91" s="562"/>
      <c r="N91" s="1136"/>
      <c r="O91" s="1136"/>
      <c r="P91" s="2601"/>
      <c r="Q91" s="558"/>
    </row>
    <row r="92" spans="1:17" ht="14.4" thickTop="1">
      <c r="A92" s="533"/>
      <c r="B92" s="537">
        <f>B28</f>
        <v>111</v>
      </c>
      <c r="C92" s="553"/>
      <c r="D92" s="553"/>
      <c r="E92" s="553"/>
      <c r="F92" s="553"/>
      <c r="G92" s="582"/>
      <c r="H92" s="582"/>
      <c r="I92" s="582"/>
      <c r="J92" s="582"/>
      <c r="K92" s="583"/>
      <c r="L92" s="584"/>
      <c r="M92" s="585"/>
      <c r="N92" s="1134"/>
      <c r="O92" s="1134"/>
      <c r="P92" s="2600"/>
      <c r="Q92" s="503"/>
    </row>
    <row r="93" spans="1:17" ht="14.4" thickBot="1">
      <c r="A93" s="533"/>
      <c r="B93" s="542"/>
      <c r="C93" s="559"/>
      <c r="D93" s="535"/>
      <c r="E93" s="535"/>
      <c r="F93" s="535"/>
      <c r="G93" s="535"/>
      <c r="H93" s="535"/>
      <c r="I93" s="535"/>
      <c r="J93" s="535"/>
      <c r="K93" s="535"/>
      <c r="L93" s="535"/>
      <c r="M93" s="536"/>
      <c r="N93" s="1135"/>
      <c r="O93" s="1135"/>
      <c r="P93" s="2600"/>
      <c r="Q93" s="503"/>
    </row>
    <row r="94" spans="1:17" ht="14.4" thickTop="1">
      <c r="A94" s="533"/>
      <c r="B94" s="537">
        <f>B29</f>
        <v>111</v>
      </c>
      <c r="C94" s="553"/>
      <c r="D94" s="553"/>
      <c r="E94" s="553"/>
      <c r="F94" s="553"/>
      <c r="G94" s="582"/>
      <c r="H94" s="582"/>
      <c r="I94" s="582"/>
      <c r="J94" s="582"/>
      <c r="K94" s="583"/>
      <c r="L94" s="584"/>
      <c r="M94" s="585"/>
      <c r="N94" s="1134"/>
      <c r="O94" s="1134"/>
      <c r="P94" s="2600"/>
      <c r="Q94" s="503"/>
    </row>
    <row r="95" spans="1:17" ht="14.4" thickBot="1">
      <c r="A95" s="533"/>
      <c r="B95" s="542"/>
      <c r="C95" s="559"/>
      <c r="D95" s="559"/>
      <c r="E95" s="559"/>
      <c r="F95" s="559"/>
      <c r="G95" s="535"/>
      <c r="H95" s="535"/>
      <c r="I95" s="535"/>
      <c r="J95" s="535"/>
      <c r="K95" s="535"/>
      <c r="L95" s="535"/>
      <c r="M95" s="536"/>
      <c r="N95" s="1135"/>
      <c r="O95" s="1135"/>
      <c r="P95" s="2600"/>
      <c r="Q95" s="503"/>
    </row>
    <row r="96" spans="1:17" ht="14.4" thickTop="1">
      <c r="A96" s="533"/>
      <c r="B96" s="537">
        <f>B30</f>
        <v>111</v>
      </c>
      <c r="C96" s="553"/>
      <c r="D96" s="553"/>
      <c r="E96" s="553"/>
      <c r="F96" s="553"/>
      <c r="G96" s="582"/>
      <c r="H96" s="582"/>
      <c r="I96" s="582"/>
      <c r="J96" s="582"/>
      <c r="K96" s="583"/>
      <c r="L96" s="584"/>
      <c r="M96" s="585"/>
      <c r="N96" s="1134"/>
      <c r="O96" s="1134"/>
      <c r="P96" s="2600"/>
      <c r="Q96" s="503"/>
    </row>
    <row r="97" spans="1:17" ht="14.4" thickBot="1">
      <c r="A97" s="533"/>
      <c r="B97" s="542"/>
      <c r="C97" s="569"/>
      <c r="D97" s="569"/>
      <c r="E97" s="569"/>
      <c r="F97" s="569"/>
      <c r="G97" s="535"/>
      <c r="H97" s="535"/>
      <c r="I97" s="535"/>
      <c r="J97" s="535"/>
      <c r="K97" s="535"/>
      <c r="L97" s="535"/>
      <c r="M97" s="536"/>
      <c r="N97" s="1135"/>
      <c r="O97" s="1135"/>
      <c r="P97" s="2600"/>
      <c r="Q97" s="503"/>
    </row>
    <row r="98" spans="1:17" ht="14.4" thickTop="1">
      <c r="A98" s="533"/>
      <c r="B98" s="545">
        <f>B31</f>
        <v>111</v>
      </c>
      <c r="C98" s="586"/>
      <c r="D98" s="586"/>
      <c r="E98" s="586"/>
      <c r="F98" s="586"/>
      <c r="G98" s="586"/>
      <c r="H98" s="586"/>
      <c r="I98" s="586"/>
      <c r="J98" s="586"/>
      <c r="K98" s="587"/>
      <c r="L98" s="588"/>
      <c r="M98" s="589"/>
      <c r="N98" s="1134"/>
      <c r="O98" s="1134"/>
      <c r="P98" s="2600"/>
      <c r="Q98" s="503"/>
    </row>
    <row r="99" spans="1:17" ht="14.4" thickBot="1">
      <c r="A99" s="2606"/>
      <c r="B99" s="568"/>
      <c r="C99" s="590"/>
      <c r="D99" s="590"/>
      <c r="E99" s="590"/>
      <c r="F99" s="590"/>
      <c r="G99" s="590"/>
      <c r="H99" s="590"/>
      <c r="I99" s="590"/>
      <c r="J99" s="590"/>
      <c r="K99" s="590"/>
      <c r="L99" s="590"/>
      <c r="M99" s="591"/>
      <c r="N99" s="1135"/>
      <c r="O99" s="1135"/>
      <c r="P99" s="2600"/>
      <c r="Q99" s="503"/>
    </row>
    <row r="100" spans="1:17" ht="14.4">
      <c r="A100" s="526" t="s">
        <v>2546</v>
      </c>
      <c r="B100" s="527" t="s">
        <v>2595</v>
      </c>
      <c r="C100" s="529"/>
      <c r="D100" s="529"/>
      <c r="E100" s="529"/>
      <c r="F100" s="529"/>
      <c r="G100" s="529"/>
      <c r="H100" s="529"/>
      <c r="I100" s="529"/>
      <c r="J100" s="529"/>
      <c r="K100" s="530"/>
      <c r="L100" s="531"/>
      <c r="M100" s="532"/>
      <c r="N100" s="1134"/>
      <c r="O100" s="1134"/>
      <c r="P100" s="2600"/>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5"/>
      <c r="O101" s="1135"/>
      <c r="P101" s="2600"/>
      <c r="Q101" s="503"/>
    </row>
    <row r="102" spans="1:17" ht="15" thickTop="1">
      <c r="A102" s="533"/>
      <c r="B102" s="537" t="s">
        <v>2596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3"/>
      <c r="O102" s="1133"/>
      <c r="P102" s="2600"/>
      <c r="Q102" s="503"/>
    </row>
    <row r="103" spans="1:17" s="470" customFormat="1">
      <c r="A103" s="592"/>
      <c r="B103" s="593"/>
      <c r="C103" s="594"/>
      <c r="D103" s="594"/>
      <c r="E103" s="594"/>
      <c r="F103" s="594"/>
      <c r="G103" s="594"/>
      <c r="H103" s="594"/>
      <c r="I103" s="594"/>
      <c r="J103" s="595"/>
      <c r="K103" s="595"/>
      <c r="L103" s="596"/>
      <c r="M103" s="597"/>
      <c r="N103" s="1136"/>
      <c r="O103" s="1136"/>
      <c r="P103" s="2601"/>
      <c r="Q103" s="558"/>
    </row>
    <row r="104" spans="1:17" s="470" customFormat="1" ht="14.4" thickBot="1">
      <c r="A104" s="552"/>
      <c r="B104" s="542"/>
      <c r="C104" s="559"/>
      <c r="D104" s="535"/>
      <c r="E104" s="535"/>
      <c r="F104" s="535"/>
      <c r="G104" s="535"/>
      <c r="H104" s="535"/>
      <c r="I104" s="535"/>
      <c r="J104" s="535"/>
      <c r="K104" s="535"/>
      <c r="L104" s="535"/>
      <c r="M104" s="535"/>
      <c r="N104" s="1135"/>
      <c r="O104" s="1135"/>
      <c r="P104" s="2601"/>
      <c r="Q104" s="558"/>
    </row>
    <row r="105" spans="1:17" ht="15" thickTop="1">
      <c r="A105" s="598"/>
      <c r="B105" s="537" t="s">
        <v>2597</v>
      </c>
      <c r="C105" s="553"/>
      <c r="D105" s="553"/>
      <c r="E105" s="582"/>
      <c r="F105" s="582"/>
      <c r="G105" s="582"/>
      <c r="H105" s="582"/>
      <c r="I105" s="582"/>
      <c r="J105" s="582"/>
      <c r="K105" s="583"/>
      <c r="L105" s="584"/>
      <c r="M105" s="585"/>
      <c r="N105" s="1134"/>
      <c r="O105" s="1134"/>
      <c r="P105" s="2600"/>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5"/>
      <c r="O106" s="1135"/>
      <c r="P106" s="2600"/>
      <c r="Q106" s="503"/>
    </row>
    <row r="107" spans="1:17" ht="15" thickTop="1">
      <c r="A107" s="598"/>
      <c r="B107" s="537" t="s">
        <v>2598</v>
      </c>
      <c r="C107" s="582"/>
      <c r="D107" s="582"/>
      <c r="E107" s="582"/>
      <c r="F107" s="582"/>
      <c r="G107" s="582"/>
      <c r="H107" s="582"/>
      <c r="I107" s="582"/>
      <c r="J107" s="582"/>
      <c r="K107" s="583"/>
      <c r="L107" s="584"/>
      <c r="M107" s="585"/>
      <c r="N107" s="1134"/>
      <c r="O107" s="1134"/>
      <c r="P107" s="2600"/>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5"/>
      <c r="O108" s="1135"/>
      <c r="P108" s="2600"/>
      <c r="Q108" s="503"/>
    </row>
    <row r="109" spans="1:17" ht="15" thickTop="1">
      <c r="A109" s="598"/>
      <c r="B109" s="537" t="s">
        <v>2599</v>
      </c>
      <c r="C109" s="553"/>
      <c r="D109" s="553"/>
      <c r="E109" s="553"/>
      <c r="F109" s="582"/>
      <c r="G109" s="582"/>
      <c r="H109" s="582"/>
      <c r="I109" s="582"/>
      <c r="J109" s="582"/>
      <c r="K109" s="583"/>
      <c r="L109" s="584"/>
      <c r="M109" s="585"/>
      <c r="N109" s="1134"/>
      <c r="O109" s="1134"/>
      <c r="P109" s="2600"/>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5"/>
      <c r="O110" s="1135"/>
      <c r="P110" s="2600"/>
      <c r="Q110" s="503"/>
    </row>
    <row r="111" spans="1:17" s="470" customFormat="1" ht="15" thickTop="1">
      <c r="A111" s="592"/>
      <c r="B111" s="537" t="s">
        <v>1981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6"/>
      <c r="O111" s="1136"/>
      <c r="P111" s="260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6"/>
      <c r="O112" s="1136"/>
      <c r="P112" s="2601"/>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6"/>
      <c r="O113" s="1136"/>
      <c r="P113" s="2601"/>
      <c r="Q113" s="558"/>
    </row>
    <row r="114" spans="1:17" ht="15" thickTop="1">
      <c r="A114" s="598"/>
      <c r="B114" s="537" t="s">
        <v>2600</v>
      </c>
      <c r="C114" s="553"/>
      <c r="D114" s="553"/>
      <c r="E114" s="582"/>
      <c r="F114" s="582"/>
      <c r="G114" s="582"/>
      <c r="H114" s="582"/>
      <c r="I114" s="582"/>
      <c r="J114" s="582"/>
      <c r="K114" s="583"/>
      <c r="L114" s="584"/>
      <c r="M114" s="585"/>
      <c r="N114" s="1134"/>
      <c r="O114" s="1134"/>
      <c r="P114" s="2600"/>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5"/>
      <c r="O115" s="1135"/>
      <c r="P115" s="2600"/>
      <c r="Q115" s="503"/>
    </row>
    <row r="116" spans="1:17" ht="15" thickTop="1">
      <c r="A116" s="598"/>
      <c r="B116" s="537" t="s">
        <v>2601</v>
      </c>
      <c r="C116" s="553"/>
      <c r="D116" s="553"/>
      <c r="E116" s="553"/>
      <c r="F116" s="553"/>
      <c r="G116" s="553"/>
      <c r="H116" s="582"/>
      <c r="I116" s="582"/>
      <c r="J116" s="582"/>
      <c r="K116" s="583"/>
      <c r="L116" s="584"/>
      <c r="M116" s="585"/>
      <c r="N116" s="1134"/>
      <c r="O116" s="1134"/>
      <c r="P116" s="2600"/>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35"/>
      <c r="O117" s="1135"/>
      <c r="P117" s="2600"/>
      <c r="Q117" s="503"/>
    </row>
    <row r="118" spans="1:17" ht="15" thickTop="1">
      <c r="A118" s="598"/>
      <c r="B118" s="537" t="s">
        <v>2602</v>
      </c>
      <c r="C118" s="582"/>
      <c r="D118" s="582"/>
      <c r="E118" s="582"/>
      <c r="F118" s="582"/>
      <c r="G118" s="582"/>
      <c r="H118" s="582"/>
      <c r="I118" s="582"/>
      <c r="J118" s="582"/>
      <c r="K118" s="583"/>
      <c r="L118" s="584"/>
      <c r="M118" s="585"/>
      <c r="N118" s="1134"/>
      <c r="O118" s="1134"/>
      <c r="P118" s="2600"/>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5"/>
      <c r="O119" s="1135"/>
      <c r="P119" s="2600"/>
      <c r="Q119" s="503"/>
    </row>
    <row r="120" spans="1:17" s="470" customFormat="1" ht="29.4" thickTop="1">
      <c r="A120" s="592"/>
      <c r="B120" s="537" t="s">
        <v>2557</v>
      </c>
      <c r="C120" s="553"/>
      <c r="D120" s="553"/>
      <c r="E120" s="553"/>
      <c r="F120" s="553"/>
      <c r="G120" s="553"/>
      <c r="H120" s="553"/>
      <c r="I120" s="553"/>
      <c r="J120" s="553"/>
      <c r="K120" s="553"/>
      <c r="L120" s="579"/>
      <c r="M120" s="580"/>
      <c r="N120" s="1136"/>
      <c r="O120" s="1136"/>
      <c r="P120" s="2601"/>
      <c r="Q120" s="558"/>
    </row>
    <row r="121" spans="1:17" s="470" customFormat="1" ht="14.4" thickBot="1">
      <c r="A121" s="552"/>
      <c r="B121" s="534"/>
      <c r="C121" s="559"/>
      <c r="D121" s="535"/>
      <c r="E121" s="535"/>
      <c r="F121" s="535"/>
      <c r="G121" s="535"/>
      <c r="H121" s="535"/>
      <c r="I121" s="535"/>
      <c r="J121" s="535"/>
      <c r="K121" s="535"/>
      <c r="L121" s="535"/>
      <c r="M121" s="535"/>
      <c r="N121" s="1136"/>
      <c r="O121" s="1136"/>
      <c r="P121" s="2601"/>
      <c r="Q121" s="558"/>
    </row>
    <row r="122" spans="1:17" ht="15" thickTop="1">
      <c r="A122" s="598"/>
      <c r="B122" s="537" t="s">
        <v>2603</v>
      </c>
      <c r="C122" s="553"/>
      <c r="D122" s="553"/>
      <c r="E122" s="553"/>
      <c r="F122" s="582"/>
      <c r="G122" s="582"/>
      <c r="H122" s="582"/>
      <c r="I122" s="582"/>
      <c r="J122" s="582"/>
      <c r="K122" s="583"/>
      <c r="L122" s="584"/>
      <c r="M122" s="585"/>
      <c r="N122" s="1134"/>
      <c r="O122" s="1134"/>
      <c r="P122" s="2600"/>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5"/>
      <c r="O123" s="1135"/>
      <c r="P123" s="2600"/>
      <c r="Q123" s="503"/>
    </row>
    <row r="124" spans="1:17" ht="29.4" thickTop="1">
      <c r="A124" s="598"/>
      <c r="B124" s="537" t="s">
        <v>2604</v>
      </c>
      <c r="C124" s="577" t="s">
        <v>2580</v>
      </c>
      <c r="D124" s="577" t="s">
        <v>2581</v>
      </c>
      <c r="E124" s="577" t="s">
        <v>2582</v>
      </c>
      <c r="F124" s="577" t="s">
        <v>2583</v>
      </c>
      <c r="G124" s="577" t="s">
        <v>2584</v>
      </c>
      <c r="H124" s="538"/>
      <c r="I124" s="538"/>
      <c r="J124" s="538"/>
      <c r="K124" s="539"/>
      <c r="L124" s="540"/>
      <c r="M124" s="541"/>
      <c r="N124" s="1134"/>
      <c r="O124" s="1134"/>
      <c r="P124" s="2601"/>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35"/>
      <c r="O125" s="1135"/>
      <c r="P125" s="2600"/>
      <c r="Q125" s="503"/>
    </row>
    <row r="126" spans="1:17" s="470" customFormat="1" ht="14.4" thickTop="1">
      <c r="A126" s="592"/>
      <c r="B126" s="537">
        <f>B44</f>
        <v>111</v>
      </c>
      <c r="C126" s="553"/>
      <c r="D126" s="553"/>
      <c r="E126" s="553"/>
      <c r="F126" s="553"/>
      <c r="G126" s="553"/>
      <c r="H126" s="554"/>
      <c r="I126" s="554"/>
      <c r="J126" s="554"/>
      <c r="K126" s="554"/>
      <c r="L126" s="555"/>
      <c r="M126" s="556"/>
      <c r="N126" s="1136"/>
      <c r="O126" s="1136"/>
      <c r="P126" s="2601"/>
      <c r="Q126" s="558"/>
    </row>
    <row r="127" spans="1:17" s="470" customFormat="1" ht="14.4" thickBot="1">
      <c r="A127" s="552"/>
      <c r="B127" s="542"/>
      <c r="C127" s="559"/>
      <c r="D127" s="535"/>
      <c r="E127" s="535"/>
      <c r="F127" s="535"/>
      <c r="G127" s="559"/>
      <c r="H127" s="561"/>
      <c r="I127" s="561"/>
      <c r="J127" s="561"/>
      <c r="K127" s="561"/>
      <c r="L127" s="561"/>
      <c r="M127" s="562"/>
      <c r="N127" s="1136"/>
      <c r="O127" s="1136"/>
      <c r="P127" s="2601"/>
      <c r="Q127" s="558"/>
    </row>
    <row r="128" spans="1:17" ht="14.4" thickTop="1">
      <c r="A128" s="598"/>
      <c r="B128" s="537">
        <f>B45</f>
        <v>111</v>
      </c>
      <c r="C128" s="553"/>
      <c r="D128" s="553"/>
      <c r="E128" s="553"/>
      <c r="F128" s="553"/>
      <c r="G128" s="582"/>
      <c r="H128" s="582"/>
      <c r="I128" s="582"/>
      <c r="J128" s="582"/>
      <c r="K128" s="583"/>
      <c r="L128" s="584"/>
      <c r="M128" s="585"/>
      <c r="N128" s="1134"/>
      <c r="O128" s="1134"/>
      <c r="P128" s="2600"/>
      <c r="Q128" s="503"/>
    </row>
    <row r="129" spans="1:17" ht="14.4" thickBot="1">
      <c r="A129" s="533"/>
      <c r="B129" s="542"/>
      <c r="C129" s="559"/>
      <c r="D129" s="559"/>
      <c r="E129" s="559"/>
      <c r="F129" s="559"/>
      <c r="G129" s="535"/>
      <c r="H129" s="535"/>
      <c r="I129" s="535"/>
      <c r="J129" s="535"/>
      <c r="K129" s="535"/>
      <c r="L129" s="535"/>
      <c r="M129" s="536"/>
      <c r="N129" s="1135"/>
      <c r="O129" s="1135"/>
      <c r="P129" s="2600"/>
      <c r="Q129" s="503"/>
    </row>
    <row r="130" spans="1:17" ht="14.4" thickTop="1">
      <c r="A130" s="598"/>
      <c r="B130" s="545">
        <f>B46</f>
        <v>111</v>
      </c>
      <c r="C130" s="553"/>
      <c r="D130" s="553"/>
      <c r="E130" s="553"/>
      <c r="F130" s="553"/>
      <c r="G130" s="586"/>
      <c r="H130" s="586"/>
      <c r="I130" s="586"/>
      <c r="J130" s="586"/>
      <c r="K130" s="522"/>
      <c r="L130" s="523"/>
      <c r="M130" s="589"/>
      <c r="N130" s="1134"/>
      <c r="O130" s="1134"/>
      <c r="P130" s="2600"/>
      <c r="Q130" s="503"/>
    </row>
    <row r="131" spans="1:17" ht="14.4" thickBot="1">
      <c r="A131" s="2606"/>
      <c r="B131" s="568"/>
      <c r="C131" s="569"/>
      <c r="D131" s="569"/>
      <c r="E131" s="569"/>
      <c r="F131" s="569"/>
      <c r="G131" s="590"/>
      <c r="H131" s="590"/>
      <c r="I131" s="590"/>
      <c r="J131" s="590"/>
      <c r="K131" s="590"/>
      <c r="L131" s="590"/>
      <c r="M131" s="591"/>
      <c r="N131" s="1135"/>
      <c r="O131" s="1135"/>
      <c r="P131" s="2600"/>
      <c r="Q131" s="503"/>
    </row>
    <row r="136" spans="1:17" ht="15" thickBot="1">
      <c r="B136" s="2607" t="s">
        <v>2605</v>
      </c>
    </row>
    <row r="137" spans="1:17" ht="15">
      <c r="B137" s="2608" t="s">
        <v>2606</v>
      </c>
      <c r="C137" s="2609"/>
      <c r="D137" s="2609"/>
      <c r="E137" s="2609"/>
      <c r="F137" s="2609"/>
      <c r="G137" s="2610"/>
      <c r="H137" s="2611"/>
      <c r="I137" s="2612" t="s">
        <v>2607</v>
      </c>
      <c r="J137" s="2609"/>
      <c r="K137" s="2613"/>
    </row>
    <row r="138" spans="1:17" ht="15">
      <c r="B138" s="2614"/>
      <c r="C138" s="146" t="s">
        <v>2608</v>
      </c>
      <c r="D138" s="146" t="s">
        <v>2609</v>
      </c>
      <c r="E138" s="2615" t="s">
        <v>2610</v>
      </c>
      <c r="F138" s="2616" t="s">
        <v>2611</v>
      </c>
      <c r="G138" s="146" t="s">
        <v>2609</v>
      </c>
      <c r="H138" s="147" t="s">
        <v>2610</v>
      </c>
      <c r="I138" s="2617"/>
      <c r="J138" s="146" t="s">
        <v>2612</v>
      </c>
      <c r="K138" s="147" t="s">
        <v>2613</v>
      </c>
    </row>
    <row r="139" spans="1:17" ht="15">
      <c r="B139" s="1073">
        <v>6</v>
      </c>
      <c r="C139" s="1074">
        <v>96</v>
      </c>
      <c r="D139" s="2618" t="s">
        <v>2614</v>
      </c>
      <c r="E139" s="1075">
        <v>100</v>
      </c>
      <c r="F139" s="1076">
        <v>102.5</v>
      </c>
      <c r="G139" s="2618" t="s">
        <v>2614</v>
      </c>
      <c r="H139" s="1077">
        <v>105</v>
      </c>
      <c r="I139" s="2619" t="s">
        <v>2615</v>
      </c>
      <c r="J139" s="1074">
        <v>20</v>
      </c>
      <c r="K139" s="1078">
        <f>C145/(J139-2)</f>
        <v>4.0555555555555553E-3</v>
      </c>
    </row>
    <row r="140" spans="1:17" ht="15">
      <c r="B140" s="1079">
        <v>5</v>
      </c>
      <c r="C140" s="1080">
        <v>100</v>
      </c>
      <c r="D140" s="1080"/>
      <c r="E140" s="1081"/>
      <c r="F140" s="1082">
        <v>102</v>
      </c>
      <c r="G140" s="1080"/>
      <c r="H140" s="1083"/>
      <c r="I140" s="2620" t="s">
        <v>2616</v>
      </c>
      <c r="J140" s="315">
        <f>ROUNDUP((J139-1)/2,0)</f>
        <v>10</v>
      </c>
      <c r="K140" s="1084">
        <v>100</v>
      </c>
    </row>
    <row r="141" spans="1:17" ht="15">
      <c r="B141" s="1079">
        <v>4</v>
      </c>
      <c r="C141" s="1080">
        <v>102</v>
      </c>
      <c r="D141" s="1080"/>
      <c r="E141" s="1081"/>
      <c r="F141" s="1082">
        <v>101.5</v>
      </c>
      <c r="G141" s="1080"/>
      <c r="H141" s="1083"/>
      <c r="I141" s="2620" t="s">
        <v>2617</v>
      </c>
      <c r="J141" s="315">
        <v>1</v>
      </c>
      <c r="K141" s="1085">
        <f>ROUND(100+(J141-J140)*K139*100,1)</f>
        <v>96.4</v>
      </c>
    </row>
    <row r="142" spans="1:17" ht="15">
      <c r="B142" s="1079">
        <v>3</v>
      </c>
      <c r="C142" s="1080">
        <v>103</v>
      </c>
      <c r="D142" s="1080"/>
      <c r="E142" s="1081"/>
      <c r="F142" s="1082">
        <v>101</v>
      </c>
      <c r="G142" s="1080"/>
      <c r="H142" s="1083"/>
      <c r="I142" s="2620" t="s">
        <v>2618</v>
      </c>
      <c r="J142" s="315">
        <f>J139</f>
        <v>20</v>
      </c>
      <c r="K142" s="1086">
        <v>95</v>
      </c>
    </row>
    <row r="143" spans="1:17" ht="15">
      <c r="B143" s="1079">
        <v>2</v>
      </c>
      <c r="C143" s="1080">
        <v>100</v>
      </c>
      <c r="D143" s="1080"/>
      <c r="E143" s="1081"/>
      <c r="F143" s="1082">
        <v>100.5</v>
      </c>
      <c r="G143" s="1080"/>
      <c r="H143" s="1083"/>
      <c r="I143" s="2620" t="s">
        <v>2619</v>
      </c>
      <c r="J143" s="1080">
        <v>15</v>
      </c>
      <c r="K143" s="1085">
        <f>ROUND(100+(J143-J140)*K139*100,1)</f>
        <v>102</v>
      </c>
    </row>
    <row r="144" spans="1:17" ht="15">
      <c r="B144" s="1079">
        <v>1</v>
      </c>
      <c r="C144" s="1080">
        <v>98</v>
      </c>
      <c r="D144" s="2621" t="s">
        <v>2620</v>
      </c>
      <c r="E144" s="1081">
        <v>102</v>
      </c>
      <c r="F144" s="1087">
        <v>100</v>
      </c>
      <c r="G144" s="2621" t="s">
        <v>2620</v>
      </c>
      <c r="H144" s="1083">
        <v>105</v>
      </c>
      <c r="I144" s="2620" t="s">
        <v>2619</v>
      </c>
      <c r="J144" s="1080">
        <v>18</v>
      </c>
      <c r="K144" s="1085">
        <f>ROUND(100+(J144-J140)*K139*100,1)</f>
        <v>103.2</v>
      </c>
    </row>
    <row r="145" spans="2:11" ht="16.2" thickBot="1">
      <c r="B145" s="2622" t="s">
        <v>2621</v>
      </c>
      <c r="C145" s="1088">
        <f>ROUND(MAX(C139:C144)/MIN(C139:C144)-1,3)</f>
        <v>7.2999999999999995E-2</v>
      </c>
      <c r="D145" s="1089"/>
      <c r="E145" s="1089"/>
      <c r="F145" s="2623" t="s">
        <v>2622</v>
      </c>
      <c r="G145" s="2624"/>
      <c r="H145" s="2625"/>
      <c r="I145" s="2626" t="s">
        <v>2619</v>
      </c>
      <c r="J145" s="1090">
        <v>8</v>
      </c>
      <c r="K145" s="1091">
        <f>ROUND(100+(J145-J140)*K139*100,1)</f>
        <v>99.2</v>
      </c>
    </row>
    <row r="147" spans="2:11" ht="14.4">
      <c r="B147" s="2607" t="s">
        <v>2623</v>
      </c>
    </row>
    <row r="148" spans="2:11" ht="14.4">
      <c r="B148" s="2607"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E20 I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2511</v>
      </c>
      <c r="B1" s="2639" t="s">
        <v>2685</v>
      </c>
      <c r="C1" s="1599" t="s">
        <v>2513</v>
      </c>
      <c r="D1" s="1600"/>
      <c r="E1" s="1609"/>
      <c r="F1" s="2554"/>
      <c r="G1" s="1610" t="s">
        <v>2626</v>
      </c>
      <c r="H1" s="1609"/>
      <c r="I1" s="1609"/>
      <c r="J1" s="1609"/>
      <c r="K1" s="1611"/>
      <c r="L1" s="1612"/>
      <c r="M1" s="1613"/>
      <c r="N1" s="1613"/>
      <c r="O1" s="1613"/>
      <c r="P1" s="1599"/>
      <c r="Q1" s="1599"/>
      <c r="R1" s="1599"/>
      <c r="S1" s="1599"/>
      <c r="T1" s="1599"/>
      <c r="U1" s="1599"/>
      <c r="V1" s="1599"/>
      <c r="W1" s="1599"/>
      <c r="X1" s="1599"/>
      <c r="Y1" s="1599"/>
      <c r="Z1" s="1599"/>
      <c r="AA1" s="1599"/>
      <c r="AB1" s="1599"/>
      <c r="AC1" s="1607"/>
    </row>
    <row r="2" spans="1:29" s="397" customFormat="1" ht="28.5" customHeight="1" thickTop="1">
      <c r="A2" s="1596" t="s">
        <v>2310</v>
      </c>
      <c r="B2" s="1398" t="e">
        <f ca="1">IF(C2="——",ROUND(C43*D3/10000,0),ROUND(C43*D3/10000,0)-D2)</f>
        <v>#DIV/0!</v>
      </c>
      <c r="C2" s="2556"/>
      <c r="D2" s="1106" t="e">
        <f ca="1">SUMIF(INDIRECT("'"&amp;F2&amp;"'"&amp;"!A:A"),"承租人权益价值",INDIRECT("'"&amp;F2&amp;"'"&amp;"!c:c"))</f>
        <v>#REF!</v>
      </c>
      <c r="E2" s="2557" t="s">
        <v>2311</v>
      </c>
      <c r="F2" s="2558"/>
      <c r="G2" s="1107"/>
      <c r="H2" s="1107"/>
      <c r="I2" s="1107"/>
      <c r="J2" s="1107"/>
      <c r="K2" s="1107"/>
      <c r="L2" s="1110"/>
      <c r="M2" s="1111"/>
      <c r="N2" s="1111"/>
      <c r="O2" s="1111"/>
      <c r="P2" s="764"/>
      <c r="Q2" s="764"/>
      <c r="R2" s="764"/>
      <c r="S2" s="764"/>
      <c r="T2" s="764"/>
      <c r="U2" s="764"/>
      <c r="V2" s="764"/>
      <c r="W2" s="764"/>
      <c r="X2" s="764"/>
      <c r="Y2" s="764"/>
      <c r="Z2" s="764"/>
      <c r="AA2" s="764"/>
      <c r="AB2" s="764"/>
      <c r="AC2" s="778"/>
    </row>
    <row r="3" spans="1:29" s="397" customFormat="1" ht="28.5" customHeight="1" thickBot="1">
      <c r="A3" s="247" t="s">
        <v>2312</v>
      </c>
      <c r="B3" s="608" t="e">
        <f ca="1">IF(C2="——",C43,ROUND(B2*10000/D3,0))</f>
        <v>#DIV/0!</v>
      </c>
      <c r="C3" s="399" t="s">
        <v>2627</v>
      </c>
      <c r="D3" s="398">
        <f>IF(D1="",'数据-汇总表'!E3,SUMIF('数据-汇总表'!$C19:$C33,D1,'数据-汇总表'!$E19:$E33))</f>
        <v>166451.09</v>
      </c>
      <c r="E3" s="1107"/>
      <c r="F3" s="1108"/>
      <c r="G3" s="1107"/>
      <c r="H3" s="1107"/>
      <c r="I3" s="1107"/>
      <c r="J3" s="1107"/>
      <c r="K3" s="1109"/>
      <c r="L3" s="1110"/>
      <c r="M3" s="1111"/>
      <c r="N3" s="1111"/>
      <c r="O3" s="1111"/>
      <c r="P3" s="764"/>
      <c r="Q3" s="764"/>
      <c r="R3" s="764"/>
      <c r="S3" s="764"/>
      <c r="T3" s="764"/>
      <c r="U3" s="764"/>
      <c r="V3" s="764"/>
      <c r="W3" s="764"/>
      <c r="X3" s="764"/>
      <c r="Y3" s="764"/>
      <c r="Z3" s="764"/>
      <c r="AA3" s="764"/>
      <c r="AB3" s="782"/>
      <c r="AC3" s="778"/>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665" t="s">
        <v>2634</v>
      </c>
      <c r="Q4" s="3666"/>
      <c r="R4" s="3671" t="s">
        <v>2630</v>
      </c>
      <c r="S4" s="3672"/>
      <c r="T4" s="3671" t="s">
        <v>2631</v>
      </c>
      <c r="U4" s="3672"/>
      <c r="V4" s="3656" t="s">
        <v>2632</v>
      </c>
      <c r="W4" s="3656"/>
      <c r="X4" s="1791"/>
      <c r="Y4" s="3671" t="s">
        <v>2634</v>
      </c>
      <c r="Z4" s="3672"/>
      <c r="AA4" s="3658" t="s">
        <v>2630</v>
      </c>
      <c r="AB4" s="3659" t="s">
        <v>2631</v>
      </c>
      <c r="AC4" s="3658" t="s">
        <v>2632</v>
      </c>
    </row>
    <row r="5" spans="1:29">
      <c r="A5" s="403"/>
      <c r="B5" s="404"/>
      <c r="C5" s="3723" t="s">
        <v>2525</v>
      </c>
      <c r="D5" s="3724"/>
      <c r="E5" s="3725" t="s">
        <v>2526</v>
      </c>
      <c r="F5" s="3726"/>
      <c r="G5" s="3723" t="s">
        <v>2527</v>
      </c>
      <c r="H5" s="3724"/>
      <c r="I5" s="3723" t="s">
        <v>2528</v>
      </c>
      <c r="J5" s="3724"/>
      <c r="K5" s="609"/>
      <c r="L5" s="1112"/>
      <c r="M5" s="1113"/>
      <c r="N5" s="1113"/>
      <c r="O5" s="1113"/>
      <c r="P5" s="3667"/>
      <c r="Q5" s="3668"/>
      <c r="R5" s="3673"/>
      <c r="S5" s="3674"/>
      <c r="T5" s="3673"/>
      <c r="U5" s="3674"/>
      <c r="V5" s="3656"/>
      <c r="W5" s="3656"/>
      <c r="X5" s="1791"/>
      <c r="Y5" s="3673"/>
      <c r="Z5" s="3674"/>
      <c r="AA5" s="3659"/>
      <c r="AB5" s="3659"/>
      <c r="AC5" s="3659"/>
    </row>
    <row r="6" spans="1:29" ht="15" thickBot="1">
      <c r="A6" s="405"/>
      <c r="B6" s="406"/>
      <c r="C6" s="3677" t="s">
        <v>2529</v>
      </c>
      <c r="D6" s="3678"/>
      <c r="E6" s="3685" t="s">
        <v>2529</v>
      </c>
      <c r="F6" s="3686"/>
      <c r="G6" s="3677" t="s">
        <v>2529</v>
      </c>
      <c r="H6" s="3678"/>
      <c r="I6" s="3677" t="s">
        <v>2529</v>
      </c>
      <c r="J6" s="3678"/>
      <c r="K6" s="609" t="s">
        <v>2530</v>
      </c>
      <c r="L6" s="1112"/>
      <c r="M6" s="1113"/>
      <c r="N6" s="1113"/>
      <c r="O6" s="1113"/>
      <c r="P6" s="3669"/>
      <c r="Q6" s="3670"/>
      <c r="R6" s="3673"/>
      <c r="S6" s="3674"/>
      <c r="T6" s="3675"/>
      <c r="U6" s="3676"/>
      <c r="V6" s="3656"/>
      <c r="W6" s="3656"/>
      <c r="X6" s="1791"/>
      <c r="Y6" s="3675"/>
      <c r="Z6" s="3676"/>
      <c r="AA6" s="3660"/>
      <c r="AB6" s="3660"/>
      <c r="AC6" s="3660"/>
    </row>
    <row r="7" spans="1:29" s="117" customFormat="1" ht="15" thickBot="1">
      <c r="A7" s="407" t="s">
        <v>2531</v>
      </c>
      <c r="B7" s="408"/>
      <c r="C7" s="409">
        <f>'数据-取费表'!B2</f>
        <v>43903</v>
      </c>
      <c r="D7" s="410">
        <v>100</v>
      </c>
      <c r="E7" s="411"/>
      <c r="F7" s="412">
        <f>SUMIF(52:52,YEAR(E7)&amp;"-"&amp;MONTH(E7),53:53)</f>
        <v>0</v>
      </c>
      <c r="G7" s="411"/>
      <c r="H7" s="410">
        <f>SUMIF(52:52,YEAR(G7)&amp;"-"&amp;MONTH(G7),53:53)</f>
        <v>0</v>
      </c>
      <c r="I7" s="411"/>
      <c r="J7" s="410">
        <f>SUMIF(52:52,YEAR(I7)&amp;"-"&amp;MONTH(I7),53:53)</f>
        <v>0</v>
      </c>
      <c r="K7" s="610"/>
      <c r="L7" s="1114"/>
      <c r="M7" s="1115"/>
      <c r="N7" s="1115"/>
      <c r="O7" s="1115"/>
      <c r="P7" s="3681" t="s">
        <v>2532</v>
      </c>
      <c r="Q7" s="3683"/>
      <c r="R7" s="766" t="s">
        <v>17</v>
      </c>
      <c r="S7" s="767">
        <f t="shared" ref="S7:S15" si="0">F7</f>
        <v>0</v>
      </c>
      <c r="T7" s="766" t="s">
        <v>17</v>
      </c>
      <c r="U7" s="767">
        <f t="shared" ref="U7:U15" si="1">H7</f>
        <v>0</v>
      </c>
      <c r="V7" s="766" t="s">
        <v>17</v>
      </c>
      <c r="W7" s="767">
        <f t="shared" ref="W7:W15" si="2">J7</f>
        <v>0</v>
      </c>
      <c r="X7" s="768"/>
      <c r="Y7" s="3681" t="s">
        <v>2532</v>
      </c>
      <c r="Z7" s="3682"/>
      <c r="AA7" s="769" t="e">
        <f>D7/F7</f>
        <v>#DIV/0!</v>
      </c>
      <c r="AB7" s="769" t="e">
        <f>D7/H7</f>
        <v>#DIV/0!</v>
      </c>
      <c r="AC7" s="769" t="e">
        <f>D7/J7</f>
        <v>#DIV/0!</v>
      </c>
    </row>
    <row r="8" spans="1:29" s="117" customFormat="1" ht="15" thickBot="1">
      <c r="A8" s="407" t="s">
        <v>2533</v>
      </c>
      <c r="B8" s="408"/>
      <c r="C8" s="413" t="s">
        <v>2534</v>
      </c>
      <c r="D8" s="410">
        <v>100</v>
      </c>
      <c r="E8" s="413"/>
      <c r="F8" s="412">
        <f>SUMIF(55:55,E8,56:56)-SUMIF(55:55,C8,56:56)+100</f>
        <v>0</v>
      </c>
      <c r="G8" s="413"/>
      <c r="H8" s="410">
        <f>SUMIF(55:55,G8,56:56)-SUMIF(55:55,C8,56:56)+100</f>
        <v>0</v>
      </c>
      <c r="I8" s="413"/>
      <c r="J8" s="410">
        <f>SUMIF(55:55,I8,56:56)-SUMIF(55:55,C8,56:56)+100</f>
        <v>0</v>
      </c>
      <c r="K8" s="610"/>
      <c r="L8" s="1114"/>
      <c r="M8" s="1115"/>
      <c r="N8" s="1115"/>
      <c r="O8" s="1115"/>
      <c r="P8" s="3681" t="s">
        <v>2535</v>
      </c>
      <c r="Q8" s="3682"/>
      <c r="R8" s="766" t="s">
        <v>17</v>
      </c>
      <c r="S8" s="767">
        <f t="shared" si="0"/>
        <v>0</v>
      </c>
      <c r="T8" s="766" t="s">
        <v>17</v>
      </c>
      <c r="U8" s="767">
        <f t="shared" si="1"/>
        <v>0</v>
      </c>
      <c r="V8" s="766" t="s">
        <v>17</v>
      </c>
      <c r="W8" s="767">
        <f t="shared" si="2"/>
        <v>0</v>
      </c>
      <c r="X8" s="768"/>
      <c r="Y8" s="3681" t="s">
        <v>2535</v>
      </c>
      <c r="Z8" s="3682"/>
      <c r="AA8" s="769" t="e">
        <f t="shared" ref="AA8:AA40" si="3">D8/F8</f>
        <v>#DIV/0!</v>
      </c>
      <c r="AB8" s="769" t="e">
        <f t="shared" ref="AB8:AB40" si="4">D8/H8</f>
        <v>#DIV/0!</v>
      </c>
      <c r="AC8" s="769" t="e">
        <f t="shared" ref="AC8:AC40" si="5">D8/J8</f>
        <v>#DIV/0!</v>
      </c>
    </row>
    <row r="9" spans="1:29" s="117" customFormat="1" ht="14.4">
      <c r="A9" s="414" t="s">
        <v>2536</v>
      </c>
      <c r="B9" s="71" t="s">
        <v>2537</v>
      </c>
      <c r="C9" s="415"/>
      <c r="D9" s="135">
        <v>100</v>
      </c>
      <c r="E9" s="418"/>
      <c r="F9" s="135">
        <f>SUMIF(57:57,E9,58:58)-SUMIF(57:57,C9,58:58)+100</f>
        <v>100</v>
      </c>
      <c r="G9" s="416"/>
      <c r="H9" s="135">
        <f>SUMIF(57:57,G9,58:58)-SUMIF(57:57,C9,58:58)+100</f>
        <v>100</v>
      </c>
      <c r="I9" s="416"/>
      <c r="J9" s="135">
        <f>SUMIF(57:57,I9,58:58)-SUMIF(57:57,C9,58:58)+100</f>
        <v>100</v>
      </c>
      <c r="K9" s="610"/>
      <c r="L9" s="1114"/>
      <c r="M9" s="1115"/>
      <c r="N9" s="1115"/>
      <c r="O9" s="1116"/>
      <c r="P9" s="3642" t="s">
        <v>2538</v>
      </c>
      <c r="Q9" s="1773" t="str">
        <f t="shared" ref="Q9:Q15" si="6">B9</f>
        <v>用途</v>
      </c>
      <c r="R9" s="766" t="s">
        <v>17</v>
      </c>
      <c r="S9" s="767">
        <f t="shared" si="0"/>
        <v>100</v>
      </c>
      <c r="T9" s="766" t="s">
        <v>17</v>
      </c>
      <c r="U9" s="767">
        <f t="shared" si="1"/>
        <v>100</v>
      </c>
      <c r="V9" s="766" t="s">
        <v>17</v>
      </c>
      <c r="W9" s="767">
        <f t="shared" si="2"/>
        <v>100</v>
      </c>
      <c r="X9" s="768"/>
      <c r="Y9" s="3486" t="s">
        <v>2539</v>
      </c>
      <c r="Z9" s="55" t="str">
        <f t="shared" ref="Z9:Z15" si="7">Q9</f>
        <v>用途</v>
      </c>
      <c r="AA9" s="769">
        <f t="shared" si="3"/>
        <v>1</v>
      </c>
      <c r="AB9" s="769">
        <f t="shared" si="4"/>
        <v>1</v>
      </c>
      <c r="AC9" s="769">
        <f t="shared" si="5"/>
        <v>1</v>
      </c>
    </row>
    <row r="10" spans="1:29" s="426" customFormat="1" ht="28.8">
      <c r="A10" s="420"/>
      <c r="B10" s="421" t="s">
        <v>2540</v>
      </c>
      <c r="C10" s="422"/>
      <c r="D10" s="136">
        <v>100</v>
      </c>
      <c r="E10" s="422"/>
      <c r="F10" s="136">
        <f>SUMIF(59:59,E10,60:60)-SUMIF(59:59,C10,60:60)+100</f>
        <v>100</v>
      </c>
      <c r="G10" s="423"/>
      <c r="H10" s="136">
        <f>SUMIF(59:59,G10,60:60)-SUMIF(59:59,C10,60:60)+100</f>
        <v>100</v>
      </c>
      <c r="I10" s="422"/>
      <c r="J10" s="136">
        <f>SUMIF(59:59,I10,60:60)-SUMIF(59:59,C10,60:60)+100</f>
        <v>100</v>
      </c>
      <c r="K10" s="611"/>
      <c r="L10" s="1117"/>
      <c r="M10" s="1118"/>
      <c r="N10" s="1118"/>
      <c r="O10" s="1119"/>
      <c r="P10" s="3642"/>
      <c r="Q10" s="1773" t="str">
        <f t="shared" si="6"/>
        <v>土地使用年限（年）</v>
      </c>
      <c r="R10" s="766" t="s">
        <v>17</v>
      </c>
      <c r="S10" s="767">
        <f t="shared" si="0"/>
        <v>100</v>
      </c>
      <c r="T10" s="766" t="s">
        <v>17</v>
      </c>
      <c r="U10" s="767">
        <f t="shared" si="1"/>
        <v>100</v>
      </c>
      <c r="V10" s="766" t="s">
        <v>17</v>
      </c>
      <c r="W10" s="767">
        <f t="shared" si="2"/>
        <v>100</v>
      </c>
      <c r="X10" s="768"/>
      <c r="Y10" s="3486"/>
      <c r="Z10" s="55" t="str">
        <f t="shared" si="7"/>
        <v>土地使用年限（年）</v>
      </c>
      <c r="AA10" s="769">
        <f t="shared" si="3"/>
        <v>1</v>
      </c>
      <c r="AB10" s="769">
        <f t="shared" si="4"/>
        <v>1</v>
      </c>
      <c r="AC10" s="769">
        <f t="shared" si="5"/>
        <v>1</v>
      </c>
    </row>
    <row r="11" spans="1:29" ht="15">
      <c r="A11" s="427"/>
      <c r="B11" s="421" t="s">
        <v>2541</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0"/>
      <c r="M11" s="1113"/>
      <c r="N11" s="1113"/>
      <c r="O11" s="1121"/>
      <c r="P11" s="3642"/>
      <c r="Q11" s="1773" t="str">
        <f t="shared" si="6"/>
        <v>容积率</v>
      </c>
      <c r="R11" s="766" t="s">
        <v>17</v>
      </c>
      <c r="S11" s="767" t="e">
        <f t="shared" si="0"/>
        <v>#N/A</v>
      </c>
      <c r="T11" s="766" t="s">
        <v>17</v>
      </c>
      <c r="U11" s="767" t="e">
        <f t="shared" si="1"/>
        <v>#N/A</v>
      </c>
      <c r="V11" s="766" t="s">
        <v>17</v>
      </c>
      <c r="W11" s="767" t="e">
        <f t="shared" si="2"/>
        <v>#N/A</v>
      </c>
      <c r="X11" s="768"/>
      <c r="Y11" s="3486"/>
      <c r="Z11" s="55" t="str">
        <f t="shared" si="7"/>
        <v>容积率</v>
      </c>
      <c r="AA11" s="769" t="e">
        <f t="shared" si="3"/>
        <v>#N/A</v>
      </c>
      <c r="AB11" s="769" t="e">
        <f t="shared" si="4"/>
        <v>#N/A</v>
      </c>
      <c r="AC11" s="769" t="e">
        <f t="shared" si="5"/>
        <v>#N/A</v>
      </c>
    </row>
    <row r="12" spans="1:29" s="117" customFormat="1" ht="15">
      <c r="A12" s="430"/>
      <c r="B12" s="2570">
        <v>111</v>
      </c>
      <c r="C12" s="431"/>
      <c r="D12" s="432">
        <v>100</v>
      </c>
      <c r="E12" s="433"/>
      <c r="F12" s="136">
        <f>SUMIF(64:64,E12,65:65)-SUMIF(64:64,C12,65:65)+100</f>
        <v>100</v>
      </c>
      <c r="G12" s="2662"/>
      <c r="H12" s="136">
        <f>SUMIF(64:64,G12,65:65)-SUMIF(64:64,C12,65:65)+100</f>
        <v>100</v>
      </c>
      <c r="I12" s="468"/>
      <c r="J12" s="136">
        <f>SUMIF(64:64,I12,65:65)-SUMIF(64:64,C12,65:65)+100</f>
        <v>100</v>
      </c>
      <c r="K12" s="612"/>
      <c r="L12" s="1114"/>
      <c r="M12" s="1115"/>
      <c r="N12" s="1115"/>
      <c r="O12" s="1116"/>
      <c r="P12" s="3642"/>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769">
        <f>D12/J12</f>
        <v>1</v>
      </c>
    </row>
    <row r="13" spans="1:29" ht="15">
      <c r="A13" s="427"/>
      <c r="B13" s="2570">
        <v>111</v>
      </c>
      <c r="C13" s="433"/>
      <c r="D13" s="434">
        <v>100</v>
      </c>
      <c r="E13" s="433"/>
      <c r="F13" s="136">
        <f>SUMIF(66:66,E13,67:67)-SUMIF(66:66,C13,67:67)+100</f>
        <v>100</v>
      </c>
      <c r="G13" s="2662"/>
      <c r="H13" s="434">
        <f>SUMIF(66:66,G13,67:67)-SUMIF(66:66,C13,67:67)+100</f>
        <v>100</v>
      </c>
      <c r="I13" s="468"/>
      <c r="J13" s="434">
        <f>SUMIF(66:66,I13,67:67)-SUMIF(66:66,C13,67:67)+100</f>
        <v>100</v>
      </c>
      <c r="K13" s="612"/>
      <c r="L13" s="1122"/>
      <c r="M13" s="1113"/>
      <c r="N13" s="1113"/>
      <c r="O13" s="1121"/>
      <c r="P13" s="3642"/>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769">
        <f t="shared" si="5"/>
        <v>1</v>
      </c>
    </row>
    <row r="14" spans="1:29" ht="15.6" thickBot="1">
      <c r="A14" s="435"/>
      <c r="B14" s="2572">
        <v>111</v>
      </c>
      <c r="C14" s="436"/>
      <c r="D14" s="437">
        <v>100</v>
      </c>
      <c r="E14" s="436"/>
      <c r="F14" s="437">
        <f>SUMIF(68:68,E14,69:69)-SUMIF(68:68,C14,69:69)+100</f>
        <v>100</v>
      </c>
      <c r="G14" s="2662"/>
      <c r="H14" s="437">
        <f>SUMIF(68:68,G14,69:69)-SUMIF(68:68,C14,69:69)+100</f>
        <v>100</v>
      </c>
      <c r="I14" s="468"/>
      <c r="J14" s="437">
        <f>SUMIF(68:68,I14,69:69)-SUMIF(68:68,C14,69:69)+100</f>
        <v>100</v>
      </c>
      <c r="K14" s="612"/>
      <c r="L14" s="1122"/>
      <c r="M14" s="1113"/>
      <c r="N14" s="1113"/>
      <c r="O14" s="1121"/>
      <c r="P14" s="3642"/>
      <c r="Q14" s="1773">
        <f t="shared" si="6"/>
        <v>111</v>
      </c>
      <c r="R14" s="766" t="s">
        <v>17</v>
      </c>
      <c r="S14" s="767">
        <f t="shared" si="0"/>
        <v>100</v>
      </c>
      <c r="T14" s="766" t="s">
        <v>17</v>
      </c>
      <c r="U14" s="767">
        <f t="shared" si="1"/>
        <v>100</v>
      </c>
      <c r="V14" s="766" t="s">
        <v>17</v>
      </c>
      <c r="W14" s="767">
        <f t="shared" si="2"/>
        <v>100</v>
      </c>
      <c r="X14" s="768"/>
      <c r="Y14" s="3486"/>
      <c r="Z14" s="55">
        <f t="shared" si="7"/>
        <v>111</v>
      </c>
      <c r="AA14" s="769">
        <f t="shared" si="3"/>
        <v>1</v>
      </c>
      <c r="AB14" s="769">
        <f t="shared" si="4"/>
        <v>1</v>
      </c>
      <c r="AC14" s="769">
        <f t="shared" si="5"/>
        <v>1</v>
      </c>
    </row>
    <row r="15" spans="1:29" ht="69">
      <c r="A15" s="439" t="s">
        <v>2542</v>
      </c>
      <c r="B15" s="69" t="s">
        <v>2686</v>
      </c>
      <c r="C15" s="266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2"/>
      <c r="M15" s="1113"/>
      <c r="N15" s="1113"/>
      <c r="O15" s="1121"/>
      <c r="P15" s="3649" t="s">
        <v>2543</v>
      </c>
      <c r="Q15" s="1788" t="str">
        <f t="shared" si="6"/>
        <v>产业集聚程度</v>
      </c>
      <c r="R15" s="770" t="s">
        <v>17</v>
      </c>
      <c r="S15" s="771">
        <f t="shared" si="0"/>
        <v>100</v>
      </c>
      <c r="T15" s="770" t="s">
        <v>17</v>
      </c>
      <c r="U15" s="771">
        <f t="shared" si="1"/>
        <v>100</v>
      </c>
      <c r="V15" s="770" t="s">
        <v>17</v>
      </c>
      <c r="W15" s="771">
        <f t="shared" si="2"/>
        <v>100</v>
      </c>
      <c r="X15" s="1791"/>
      <c r="Y15" s="3649" t="s">
        <v>2543</v>
      </c>
      <c r="Z15" s="1792" t="str">
        <f t="shared" si="7"/>
        <v>产业集聚程度</v>
      </c>
      <c r="AA15" s="1789">
        <f t="shared" si="3"/>
        <v>1</v>
      </c>
      <c r="AB15" s="1789">
        <f t="shared" si="4"/>
        <v>1</v>
      </c>
      <c r="AC15" s="1789">
        <f t="shared" si="5"/>
        <v>1</v>
      </c>
    </row>
    <row r="16" spans="1:29" ht="15">
      <c r="A16" s="427"/>
      <c r="B16" s="445"/>
      <c r="C16" s="446"/>
      <c r="D16" s="447"/>
      <c r="E16" s="446"/>
      <c r="F16" s="448"/>
      <c r="G16" s="446"/>
      <c r="H16" s="449"/>
      <c r="I16" s="446"/>
      <c r="J16" s="447"/>
      <c r="K16" s="614"/>
      <c r="L16" s="1122"/>
      <c r="M16" s="1113"/>
      <c r="N16" s="1113"/>
      <c r="O16" s="1121"/>
      <c r="P16" s="3650"/>
      <c r="Q16" s="1788"/>
      <c r="R16" s="770"/>
      <c r="S16" s="771"/>
      <c r="T16" s="770"/>
      <c r="U16" s="771"/>
      <c r="V16" s="770"/>
      <c r="W16" s="771"/>
      <c r="X16" s="1791"/>
      <c r="Y16" s="3650"/>
      <c r="Z16" s="1792"/>
      <c r="AA16" s="1789">
        <v>1</v>
      </c>
      <c r="AB16" s="1789">
        <v>1</v>
      </c>
      <c r="AC16" s="1789">
        <v>1</v>
      </c>
    </row>
    <row r="17" spans="1:29" ht="96.6">
      <c r="A17" s="427"/>
      <c r="B17" s="450" t="s">
        <v>2080</v>
      </c>
      <c r="C17" s="257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2"/>
      <c r="M17" s="1113"/>
      <c r="N17" s="1113"/>
      <c r="O17" s="1121"/>
      <c r="P17" s="3650"/>
      <c r="Q17" s="1788" t="str">
        <f>B17</f>
        <v>交通便捷度</v>
      </c>
      <c r="R17" s="770" t="s">
        <v>17</v>
      </c>
      <c r="S17" s="771">
        <f>F17</f>
        <v>100</v>
      </c>
      <c r="T17" s="770" t="s">
        <v>17</v>
      </c>
      <c r="U17" s="771">
        <f>H17</f>
        <v>100</v>
      </c>
      <c r="V17" s="770" t="s">
        <v>17</v>
      </c>
      <c r="W17" s="771">
        <f>J17</f>
        <v>100</v>
      </c>
      <c r="X17" s="1791"/>
      <c r="Y17" s="3650"/>
      <c r="Z17" s="1792" t="str">
        <f>Q17</f>
        <v>交通便捷度</v>
      </c>
      <c r="AA17" s="1789">
        <f t="shared" si="3"/>
        <v>1</v>
      </c>
      <c r="AB17" s="1789">
        <f t="shared" si="4"/>
        <v>1</v>
      </c>
      <c r="AC17" s="1789">
        <f t="shared" si="5"/>
        <v>1</v>
      </c>
    </row>
    <row r="18" spans="1:29" ht="15">
      <c r="A18" s="427"/>
      <c r="B18" s="455"/>
      <c r="C18" s="2578"/>
      <c r="D18" s="449"/>
      <c r="E18" s="2580"/>
      <c r="F18" s="452"/>
      <c r="G18" s="2579"/>
      <c r="H18" s="447"/>
      <c r="I18" s="2580"/>
      <c r="J18" s="447"/>
      <c r="K18" s="614"/>
      <c r="L18" s="1122"/>
      <c r="M18" s="1113"/>
      <c r="N18" s="1113"/>
      <c r="O18" s="1121"/>
      <c r="P18" s="3650"/>
      <c r="Q18" s="1788"/>
      <c r="R18" s="770"/>
      <c r="S18" s="771"/>
      <c r="T18" s="770"/>
      <c r="U18" s="771"/>
      <c r="V18" s="770"/>
      <c r="W18" s="771"/>
      <c r="X18" s="1791"/>
      <c r="Y18" s="3650"/>
      <c r="Z18" s="1792"/>
      <c r="AA18" s="1789">
        <v>1</v>
      </c>
      <c r="AB18" s="1789">
        <v>1</v>
      </c>
      <c r="AC18" s="1789">
        <v>1</v>
      </c>
    </row>
    <row r="19" spans="1:29" ht="41.4">
      <c r="A19" s="427"/>
      <c r="B19" s="450" t="s">
        <v>2671</v>
      </c>
      <c r="C19" s="257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2"/>
      <c r="M19" s="1113"/>
      <c r="N19" s="1113"/>
      <c r="O19" s="1121"/>
      <c r="P19" s="3650"/>
      <c r="Q19" s="1788" t="str">
        <f>B19</f>
        <v>公共配套设施</v>
      </c>
      <c r="R19" s="770" t="s">
        <v>17</v>
      </c>
      <c r="S19" s="771">
        <f>F19</f>
        <v>100</v>
      </c>
      <c r="T19" s="770" t="s">
        <v>17</v>
      </c>
      <c r="U19" s="771">
        <f>H19</f>
        <v>100</v>
      </c>
      <c r="V19" s="770" t="s">
        <v>17</v>
      </c>
      <c r="W19" s="771">
        <f>J19</f>
        <v>100</v>
      </c>
      <c r="X19" s="1791"/>
      <c r="Y19" s="3650"/>
      <c r="Z19" s="1792" t="str">
        <f>Q19</f>
        <v>公共配套设施</v>
      </c>
      <c r="AA19" s="1789">
        <f t="shared" si="3"/>
        <v>1</v>
      </c>
      <c r="AB19" s="1789">
        <f t="shared" si="4"/>
        <v>1</v>
      </c>
      <c r="AC19" s="1789">
        <f t="shared" si="5"/>
        <v>1</v>
      </c>
    </row>
    <row r="20" spans="1:29" ht="15">
      <c r="A20" s="427"/>
      <c r="B20" s="455"/>
      <c r="C20" s="446"/>
      <c r="D20" s="447"/>
      <c r="E20" s="2575"/>
      <c r="F20" s="448"/>
      <c r="G20" s="2574"/>
      <c r="H20" s="447"/>
      <c r="I20" s="2575"/>
      <c r="J20" s="447"/>
      <c r="K20" s="614"/>
      <c r="L20" s="1122"/>
      <c r="M20" s="1113"/>
      <c r="N20" s="1113"/>
      <c r="O20" s="1121"/>
      <c r="P20" s="3650"/>
      <c r="Q20" s="1788"/>
      <c r="R20" s="770"/>
      <c r="S20" s="771"/>
      <c r="T20" s="770"/>
      <c r="U20" s="771"/>
      <c r="V20" s="770"/>
      <c r="W20" s="771"/>
      <c r="X20" s="1791"/>
      <c r="Y20" s="3650"/>
      <c r="Z20" s="1792"/>
      <c r="AA20" s="1789">
        <v>1</v>
      </c>
      <c r="AB20" s="1789">
        <v>1</v>
      </c>
      <c r="AC20" s="1789">
        <v>1</v>
      </c>
    </row>
    <row r="21" spans="1:29" ht="41.4">
      <c r="A21" s="427"/>
      <c r="B21" s="1365" t="s">
        <v>2672</v>
      </c>
      <c r="C21" s="257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2"/>
      <c r="M21" s="1113"/>
      <c r="N21" s="1113"/>
      <c r="O21" s="1121"/>
      <c r="P21" s="3650"/>
      <c r="Q21" s="1788" t="str">
        <f>B21</f>
        <v>基础设施水平</v>
      </c>
      <c r="R21" s="770" t="s">
        <v>17</v>
      </c>
      <c r="S21" s="771">
        <f>F21</f>
        <v>100</v>
      </c>
      <c r="T21" s="770" t="s">
        <v>17</v>
      </c>
      <c r="U21" s="771">
        <f>H21</f>
        <v>100</v>
      </c>
      <c r="V21" s="770" t="s">
        <v>17</v>
      </c>
      <c r="W21" s="771">
        <f>J21</f>
        <v>100</v>
      </c>
      <c r="X21" s="1791"/>
      <c r="Y21" s="3650"/>
      <c r="Z21" s="1792" t="str">
        <f>Q21</f>
        <v>基础设施水平</v>
      </c>
      <c r="AA21" s="1789">
        <f t="shared" ref="AA21" si="8">D21/F21</f>
        <v>1</v>
      </c>
      <c r="AB21" s="1789">
        <f t="shared" ref="AB21" si="9">D21/H21</f>
        <v>1</v>
      </c>
      <c r="AC21" s="1789">
        <f t="shared" ref="AC21" si="10">D21/J21</f>
        <v>1</v>
      </c>
    </row>
    <row r="22" spans="1:29" ht="15">
      <c r="A22" s="427"/>
      <c r="B22" s="1365"/>
      <c r="C22" s="2578"/>
      <c r="D22" s="447"/>
      <c r="E22" s="446"/>
      <c r="F22" s="448"/>
      <c r="G22" s="446"/>
      <c r="H22" s="447"/>
      <c r="I22" s="446"/>
      <c r="J22" s="447"/>
      <c r="K22" s="1364"/>
      <c r="L22" s="1122"/>
      <c r="M22" s="1113"/>
      <c r="N22" s="1113"/>
      <c r="O22" s="1121"/>
      <c r="P22" s="3650"/>
      <c r="Q22" s="1788"/>
      <c r="R22" s="770"/>
      <c r="S22" s="771"/>
      <c r="T22" s="770"/>
      <c r="U22" s="771"/>
      <c r="V22" s="770"/>
      <c r="W22" s="771"/>
      <c r="X22" s="1791"/>
      <c r="Y22" s="3650"/>
      <c r="Z22" s="1792"/>
      <c r="AA22" s="1789">
        <v>1</v>
      </c>
      <c r="AB22" s="1789">
        <v>1</v>
      </c>
      <c r="AC22" s="1789">
        <v>1</v>
      </c>
    </row>
    <row r="23" spans="1:29" ht="82.8">
      <c r="A23" s="427"/>
      <c r="B23" s="450" t="s">
        <v>2673</v>
      </c>
      <c r="C23" s="257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2"/>
      <c r="M23" s="1113"/>
      <c r="N23" s="1113"/>
      <c r="O23" s="1121"/>
      <c r="P23" s="3650"/>
      <c r="Q23" s="1788" t="str">
        <f>B23</f>
        <v>环境质量</v>
      </c>
      <c r="R23" s="770" t="s">
        <v>17</v>
      </c>
      <c r="S23" s="771">
        <f>F23</f>
        <v>100</v>
      </c>
      <c r="T23" s="770" t="s">
        <v>17</v>
      </c>
      <c r="U23" s="771">
        <f>H23</f>
        <v>100</v>
      </c>
      <c r="V23" s="770" t="s">
        <v>17</v>
      </c>
      <c r="W23" s="771">
        <f>J23</f>
        <v>100</v>
      </c>
      <c r="X23" s="1791"/>
      <c r="Y23" s="3650"/>
      <c r="Z23" s="1792" t="str">
        <f>Q23</f>
        <v>环境质量</v>
      </c>
      <c r="AA23" s="1789">
        <f t="shared" si="3"/>
        <v>1</v>
      </c>
      <c r="AB23" s="1789">
        <f t="shared" si="4"/>
        <v>1</v>
      </c>
      <c r="AC23" s="1789">
        <f t="shared" si="5"/>
        <v>1</v>
      </c>
    </row>
    <row r="24" spans="1:29" ht="15">
      <c r="A24" s="427"/>
      <c r="B24" s="1365"/>
      <c r="C24" s="446"/>
      <c r="D24" s="447"/>
      <c r="E24" s="2575"/>
      <c r="F24" s="448"/>
      <c r="G24" s="2574"/>
      <c r="H24" s="447"/>
      <c r="I24" s="2575"/>
      <c r="J24" s="447"/>
      <c r="K24" s="614"/>
      <c r="L24" s="1122"/>
      <c r="M24" s="1113"/>
      <c r="N24" s="1113"/>
      <c r="O24" s="1121"/>
      <c r="P24" s="3650"/>
      <c r="Q24" s="1788"/>
      <c r="R24" s="770"/>
      <c r="S24" s="771"/>
      <c r="T24" s="770"/>
      <c r="U24" s="771"/>
      <c r="V24" s="770"/>
      <c r="W24" s="771"/>
      <c r="X24" s="1791"/>
      <c r="Y24" s="3650"/>
      <c r="Z24" s="1792"/>
      <c r="AA24" s="1789">
        <v>1</v>
      </c>
      <c r="AB24" s="1789">
        <v>1</v>
      </c>
      <c r="AC24" s="1789">
        <v>1</v>
      </c>
    </row>
    <row r="25" spans="1:29" ht="15">
      <c r="A25" s="403"/>
      <c r="B25" s="136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2"/>
      <c r="M25" s="1113"/>
      <c r="N25" s="1113"/>
      <c r="O25" s="1121"/>
      <c r="P25" s="3650"/>
      <c r="Q25" s="1788">
        <f>B25</f>
        <v>111</v>
      </c>
      <c r="R25" s="770" t="s">
        <v>17</v>
      </c>
      <c r="S25" s="771">
        <f>F25</f>
        <v>100</v>
      </c>
      <c r="T25" s="770" t="s">
        <v>17</v>
      </c>
      <c r="U25" s="771">
        <f>H25</f>
        <v>100</v>
      </c>
      <c r="V25" s="770" t="s">
        <v>17</v>
      </c>
      <c r="W25" s="771">
        <f>J25</f>
        <v>100</v>
      </c>
      <c r="X25" s="1791"/>
      <c r="Y25" s="3650"/>
      <c r="Z25" s="1792">
        <f>Q25</f>
        <v>111</v>
      </c>
      <c r="AA25" s="1789">
        <f t="shared" si="3"/>
        <v>1</v>
      </c>
      <c r="AB25" s="1789">
        <f t="shared" si="4"/>
        <v>1</v>
      </c>
      <c r="AC25" s="1789">
        <f t="shared" si="5"/>
        <v>1</v>
      </c>
    </row>
    <row r="26" spans="1:29" ht="15">
      <c r="A26" s="427"/>
      <c r="B26" s="136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2"/>
      <c r="M26" s="1113"/>
      <c r="N26" s="1113"/>
      <c r="O26" s="1121"/>
      <c r="P26" s="3650"/>
      <c r="Q26" s="1788">
        <f t="shared" ref="Q26:Q40" si="11">B26</f>
        <v>111</v>
      </c>
      <c r="R26" s="770" t="s">
        <v>17</v>
      </c>
      <c r="S26" s="771">
        <f>F26</f>
        <v>100</v>
      </c>
      <c r="T26" s="770" t="s">
        <v>17</v>
      </c>
      <c r="U26" s="771">
        <f>H26</f>
        <v>100</v>
      </c>
      <c r="V26" s="770" t="s">
        <v>17</v>
      </c>
      <c r="W26" s="771">
        <f>J26</f>
        <v>100</v>
      </c>
      <c r="X26" s="1791"/>
      <c r="Y26" s="3650"/>
      <c r="Z26" s="1792">
        <f>Q26</f>
        <v>111</v>
      </c>
      <c r="AA26" s="1789">
        <f t="shared" si="3"/>
        <v>1</v>
      </c>
      <c r="AB26" s="1789">
        <f t="shared" si="4"/>
        <v>1</v>
      </c>
      <c r="AC26" s="1789">
        <f t="shared" si="5"/>
        <v>1</v>
      </c>
    </row>
    <row r="27" spans="1:29" s="117" customFormat="1" ht="15">
      <c r="A27" s="430"/>
      <c r="B27" s="136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4"/>
      <c r="M27" s="1115"/>
      <c r="N27" s="1115"/>
      <c r="O27" s="1116"/>
      <c r="P27" s="3650"/>
      <c r="Q27" s="1773">
        <f t="shared" si="11"/>
        <v>111</v>
      </c>
      <c r="R27" s="766" t="s">
        <v>17</v>
      </c>
      <c r="S27" s="767">
        <f>F27</f>
        <v>100</v>
      </c>
      <c r="T27" s="766" t="s">
        <v>17</v>
      </c>
      <c r="U27" s="767">
        <f>H27</f>
        <v>100</v>
      </c>
      <c r="V27" s="766" t="s">
        <v>17</v>
      </c>
      <c r="W27" s="767">
        <f>J27</f>
        <v>100</v>
      </c>
      <c r="X27" s="768"/>
      <c r="Y27" s="3650"/>
      <c r="Z27" s="55">
        <f>Q27</f>
        <v>111</v>
      </c>
      <c r="AA27" s="1789">
        <f>D27/F27</f>
        <v>1</v>
      </c>
      <c r="AB27" s="1789">
        <f>D27/H27</f>
        <v>1</v>
      </c>
      <c r="AC27" s="1789">
        <f>D27/J27</f>
        <v>1</v>
      </c>
    </row>
    <row r="28" spans="1:29" ht="15.6" thickBot="1">
      <c r="A28" s="435"/>
      <c r="B28" s="136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2"/>
      <c r="M28" s="1113"/>
      <c r="N28" s="1113"/>
      <c r="O28" s="1121"/>
      <c r="P28" s="3650"/>
      <c r="Q28" s="1788">
        <f t="shared" si="11"/>
        <v>111</v>
      </c>
      <c r="R28" s="770" t="s">
        <v>17</v>
      </c>
      <c r="S28" s="771">
        <f t="shared" ref="S28:S40" si="12">F28</f>
        <v>100</v>
      </c>
      <c r="T28" s="770" t="s">
        <v>17</v>
      </c>
      <c r="U28" s="771">
        <f t="shared" ref="U28:U40" si="13">H28</f>
        <v>100</v>
      </c>
      <c r="V28" s="770" t="s">
        <v>17</v>
      </c>
      <c r="W28" s="771">
        <f t="shared" ref="W28:W40" si="14">J28</f>
        <v>100</v>
      </c>
      <c r="X28" s="1791"/>
      <c r="Y28" s="3650"/>
      <c r="Z28" s="1792">
        <f t="shared" ref="Z28:Z40" si="15">Q28</f>
        <v>111</v>
      </c>
      <c r="AA28" s="1789">
        <f t="shared" si="3"/>
        <v>1</v>
      </c>
      <c r="AB28" s="1789">
        <f t="shared" si="4"/>
        <v>1</v>
      </c>
      <c r="AC28" s="1789">
        <f t="shared" si="5"/>
        <v>1</v>
      </c>
    </row>
    <row r="29" spans="1:29" ht="30">
      <c r="A29" s="465" t="s">
        <v>2546</v>
      </c>
      <c r="B29" s="71" t="s">
        <v>2676</v>
      </c>
      <c r="C29" s="2649"/>
      <c r="D29" s="466">
        <v>100</v>
      </c>
      <c r="E29" s="2649"/>
      <c r="F29" s="460">
        <f>SUMIF(88:88,E29,89:89)-SUMIF(88:88,C29,89:89)+100</f>
        <v>100</v>
      </c>
      <c r="G29" s="2649"/>
      <c r="H29" s="434">
        <f>SUMIF(88:88,G29,89:89)-SUMIF(88:88,C29,89:89)+100</f>
        <v>100</v>
      </c>
      <c r="I29" s="2649"/>
      <c r="J29" s="466">
        <f>SUMIF(88:88,I29,89:89)-SUMIF(88:88,C29,89:89)+100</f>
        <v>100</v>
      </c>
      <c r="K29" s="611"/>
      <c r="L29" s="1122"/>
      <c r="M29" s="1113"/>
      <c r="N29" s="1113"/>
      <c r="O29" s="1121"/>
      <c r="P29" s="3727" t="s">
        <v>2548</v>
      </c>
      <c r="Q29" s="1788" t="str">
        <f t="shared" si="11"/>
        <v>建筑类型</v>
      </c>
      <c r="R29" s="770" t="s">
        <v>17</v>
      </c>
      <c r="S29" s="771">
        <f t="shared" si="12"/>
        <v>100</v>
      </c>
      <c r="T29" s="770" t="s">
        <v>17</v>
      </c>
      <c r="U29" s="771">
        <f t="shared" si="13"/>
        <v>100</v>
      </c>
      <c r="V29" s="770" t="s">
        <v>17</v>
      </c>
      <c r="W29" s="771">
        <f t="shared" si="14"/>
        <v>100</v>
      </c>
      <c r="X29" s="1791"/>
      <c r="Y29" s="3654" t="s">
        <v>2548</v>
      </c>
      <c r="Z29" s="1792" t="str">
        <f t="shared" si="15"/>
        <v>建筑类型</v>
      </c>
      <c r="AA29" s="1789">
        <f t="shared" si="3"/>
        <v>1</v>
      </c>
      <c r="AB29" s="1789">
        <f t="shared" si="4"/>
        <v>1</v>
      </c>
      <c r="AC29" s="1789">
        <f t="shared" si="5"/>
        <v>1</v>
      </c>
    </row>
    <row r="30" spans="1:29" s="470" customFormat="1" ht="15">
      <c r="A30" s="467"/>
      <c r="B30" s="421" t="s">
        <v>2549</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0"/>
      <c r="M30" s="1123"/>
      <c r="N30" s="1123"/>
      <c r="O30" s="1124"/>
      <c r="P30" s="3654"/>
      <c r="Q30" s="772" t="str">
        <f t="shared" si="11"/>
        <v>项目建筑规模</v>
      </c>
      <c r="R30" s="773" t="s">
        <v>17</v>
      </c>
      <c r="S30" s="774" t="e">
        <f t="shared" si="12"/>
        <v>#N/A</v>
      </c>
      <c r="T30" s="773" t="s">
        <v>17</v>
      </c>
      <c r="U30" s="774" t="e">
        <f t="shared" si="13"/>
        <v>#N/A</v>
      </c>
      <c r="V30" s="773" t="s">
        <v>17</v>
      </c>
      <c r="W30" s="774" t="e">
        <f t="shared" si="14"/>
        <v>#N/A</v>
      </c>
      <c r="X30" s="775"/>
      <c r="Y30" s="3654"/>
      <c r="Z30" s="776" t="str">
        <f t="shared" si="15"/>
        <v>项目建筑规模</v>
      </c>
      <c r="AA30" s="1789" t="e">
        <f t="shared" si="3"/>
        <v>#N/A</v>
      </c>
      <c r="AB30" s="1789" t="e">
        <f t="shared" si="4"/>
        <v>#N/A</v>
      </c>
      <c r="AC30" s="1789" t="e">
        <f t="shared" si="5"/>
        <v>#N/A</v>
      </c>
    </row>
    <row r="31" spans="1:29" ht="15">
      <c r="A31" s="471"/>
      <c r="B31" s="421" t="s">
        <v>2550</v>
      </c>
      <c r="C31" s="459"/>
      <c r="D31" s="434">
        <v>100</v>
      </c>
      <c r="E31" s="459"/>
      <c r="F31" s="460">
        <f>SUMIF(93:93,E31,94:94)-SUMIF(93:93,C31,94:94)+100</f>
        <v>100</v>
      </c>
      <c r="G31" s="459"/>
      <c r="H31" s="434">
        <f>SUMIF(93:93,G31,94:94)-SUMIF(93:93,C31,94:94)+100</f>
        <v>100</v>
      </c>
      <c r="I31" s="459"/>
      <c r="J31" s="434">
        <f>SUMIF(93:93,I31,94:94)-SUMIF(93:93,C31,94:94)+100</f>
        <v>100</v>
      </c>
      <c r="K31" s="611"/>
      <c r="L31" s="1122"/>
      <c r="M31" s="1113"/>
      <c r="N31" s="1113"/>
      <c r="O31" s="1121"/>
      <c r="P31" s="3654"/>
      <c r="Q31" s="1788" t="str">
        <f t="shared" si="11"/>
        <v>建筑结构</v>
      </c>
      <c r="R31" s="770" t="s">
        <v>17</v>
      </c>
      <c r="S31" s="771">
        <f t="shared" si="12"/>
        <v>100</v>
      </c>
      <c r="T31" s="770" t="s">
        <v>17</v>
      </c>
      <c r="U31" s="771">
        <f t="shared" si="13"/>
        <v>100</v>
      </c>
      <c r="V31" s="770" t="s">
        <v>17</v>
      </c>
      <c r="W31" s="771">
        <f t="shared" si="14"/>
        <v>100</v>
      </c>
      <c r="X31" s="1791"/>
      <c r="Y31" s="3654"/>
      <c r="Z31" s="1792" t="str">
        <f t="shared" si="15"/>
        <v>建筑结构</v>
      </c>
      <c r="AA31" s="1789">
        <f t="shared" si="3"/>
        <v>1</v>
      </c>
      <c r="AB31" s="1789">
        <f t="shared" si="4"/>
        <v>1</v>
      </c>
      <c r="AC31" s="1789">
        <f t="shared" si="5"/>
        <v>1</v>
      </c>
    </row>
    <row r="32" spans="1:29" ht="15">
      <c r="A32" s="471"/>
      <c r="B32" s="421" t="s">
        <v>2644</v>
      </c>
      <c r="C32" s="459"/>
      <c r="D32" s="434">
        <v>100</v>
      </c>
      <c r="E32" s="459"/>
      <c r="F32" s="460">
        <f>SUMIF(95:95,E32,96:96)-SUMIF(95:95,C32,96:96)+100</f>
        <v>100</v>
      </c>
      <c r="G32" s="459"/>
      <c r="H32" s="434">
        <f>SUMIF(95:95,G32,96:96)-SUMIF(95:95,C32,96:96)+100</f>
        <v>100</v>
      </c>
      <c r="I32" s="459"/>
      <c r="J32" s="434">
        <f>SUMIF(95:95,I32,96:96)-SUMIF(95:95,C32,96:96)+100</f>
        <v>100</v>
      </c>
      <c r="K32" s="611"/>
      <c r="L32" s="1122"/>
      <c r="M32" s="1113"/>
      <c r="N32" s="1113"/>
      <c r="O32" s="1121"/>
      <c r="P32" s="3654"/>
      <c r="Q32" s="1788" t="str">
        <f t="shared" si="11"/>
        <v>公共部分装修</v>
      </c>
      <c r="R32" s="770" t="s">
        <v>17</v>
      </c>
      <c r="S32" s="771">
        <f t="shared" si="12"/>
        <v>100</v>
      </c>
      <c r="T32" s="770" t="s">
        <v>17</v>
      </c>
      <c r="U32" s="771">
        <f t="shared" si="13"/>
        <v>100</v>
      </c>
      <c r="V32" s="770" t="s">
        <v>17</v>
      </c>
      <c r="W32" s="771">
        <f t="shared" si="14"/>
        <v>100</v>
      </c>
      <c r="X32" s="1791"/>
      <c r="Y32" s="3654"/>
      <c r="Z32" s="1792" t="str">
        <f t="shared" si="15"/>
        <v>公共部分装修</v>
      </c>
      <c r="AA32" s="1789">
        <f t="shared" si="3"/>
        <v>1</v>
      </c>
      <c r="AB32" s="1789">
        <f t="shared" si="4"/>
        <v>1</v>
      </c>
      <c r="AC32" s="1789">
        <f t="shared" si="5"/>
        <v>1</v>
      </c>
    </row>
    <row r="33" spans="1:29" ht="15">
      <c r="A33" s="471"/>
      <c r="B33" s="421" t="s">
        <v>2645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2"/>
      <c r="M33" s="1113"/>
      <c r="N33" s="1113"/>
      <c r="O33" s="1121"/>
      <c r="P33" s="3654"/>
      <c r="Q33" s="1788" t="str">
        <f t="shared" si="11"/>
        <v>成新度</v>
      </c>
      <c r="R33" s="770" t="s">
        <v>17</v>
      </c>
      <c r="S33" s="771" t="e">
        <f t="shared" si="12"/>
        <v>#N/A</v>
      </c>
      <c r="T33" s="770" t="s">
        <v>17</v>
      </c>
      <c r="U33" s="771" t="e">
        <f t="shared" si="13"/>
        <v>#N/A</v>
      </c>
      <c r="V33" s="770" t="s">
        <v>17</v>
      </c>
      <c r="W33" s="771" t="e">
        <f t="shared" si="14"/>
        <v>#N/A</v>
      </c>
      <c r="X33" s="1791"/>
      <c r="Y33" s="3654"/>
      <c r="Z33" s="1792" t="str">
        <f t="shared" si="15"/>
        <v>成新度</v>
      </c>
      <c r="AA33" s="1789" t="e">
        <f t="shared" si="3"/>
        <v>#N/A</v>
      </c>
      <c r="AB33" s="1789" t="e">
        <f t="shared" si="4"/>
        <v>#N/A</v>
      </c>
      <c r="AC33" s="1789" t="e">
        <f t="shared" si="5"/>
        <v>#N/A</v>
      </c>
    </row>
    <row r="34" spans="1:29" s="117" customFormat="1" ht="15">
      <c r="A34" s="472"/>
      <c r="B34" s="421" t="s">
        <v>2678</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4"/>
      <c r="M34" s="1115"/>
      <c r="N34" s="1115"/>
      <c r="O34" s="1116"/>
      <c r="P34" s="3654"/>
      <c r="Q34" s="1773" t="str">
        <f t="shared" si="11"/>
        <v>物业管理</v>
      </c>
      <c r="R34" s="766" t="s">
        <v>17</v>
      </c>
      <c r="S34" s="767">
        <f t="shared" si="12"/>
        <v>100</v>
      </c>
      <c r="T34" s="766" t="s">
        <v>17</v>
      </c>
      <c r="U34" s="767">
        <f t="shared" si="13"/>
        <v>100</v>
      </c>
      <c r="V34" s="766" t="s">
        <v>17</v>
      </c>
      <c r="W34" s="767">
        <f t="shared" si="14"/>
        <v>100</v>
      </c>
      <c r="X34" s="768"/>
      <c r="Y34" s="3654"/>
      <c r="Z34" s="55" t="str">
        <f t="shared" si="15"/>
        <v>物业管理</v>
      </c>
      <c r="AA34" s="769">
        <f t="shared" si="3"/>
        <v>1</v>
      </c>
      <c r="AB34" s="769">
        <f t="shared" si="4"/>
        <v>1</v>
      </c>
      <c r="AC34" s="769">
        <f t="shared" si="5"/>
        <v>1</v>
      </c>
    </row>
    <row r="35" spans="1:29" ht="15">
      <c r="A35" s="471"/>
      <c r="B35" s="421" t="s">
        <v>2646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2"/>
      <c r="M35" s="1113"/>
      <c r="N35" s="1113"/>
      <c r="O35" s="1121"/>
      <c r="P35" s="3654" t="s">
        <v>2548</v>
      </c>
      <c r="Q35" s="1788" t="str">
        <f t="shared" si="11"/>
        <v>市政基础设施</v>
      </c>
      <c r="R35" s="770" t="s">
        <v>17</v>
      </c>
      <c r="S35" s="771">
        <f t="shared" si="12"/>
        <v>100</v>
      </c>
      <c r="T35" s="770" t="s">
        <v>17</v>
      </c>
      <c r="U35" s="771">
        <f t="shared" si="13"/>
        <v>100</v>
      </c>
      <c r="V35" s="770" t="s">
        <v>17</v>
      </c>
      <c r="W35" s="771">
        <f t="shared" si="14"/>
        <v>100</v>
      </c>
      <c r="X35" s="1791"/>
      <c r="Y35" s="3654" t="s">
        <v>2548</v>
      </c>
      <c r="Z35" s="1792" t="str">
        <f t="shared" si="15"/>
        <v>市政基础设施</v>
      </c>
      <c r="AA35" s="1789">
        <f t="shared" si="3"/>
        <v>1</v>
      </c>
      <c r="AB35" s="1789">
        <f t="shared" si="4"/>
        <v>1</v>
      </c>
      <c r="AC35" s="1789">
        <f t="shared" si="5"/>
        <v>1</v>
      </c>
    </row>
    <row r="36" spans="1:29" ht="15">
      <c r="A36" s="471"/>
      <c r="B36" s="421" t="s">
        <v>2651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2"/>
      <c r="M36" s="1113"/>
      <c r="N36" s="1113"/>
      <c r="O36" s="1121"/>
      <c r="P36" s="3654"/>
      <c r="Q36" s="1788" t="str">
        <f t="shared" si="11"/>
        <v>内部装修</v>
      </c>
      <c r="R36" s="770" t="s">
        <v>17</v>
      </c>
      <c r="S36" s="771">
        <f t="shared" si="12"/>
        <v>100</v>
      </c>
      <c r="T36" s="770" t="s">
        <v>17</v>
      </c>
      <c r="U36" s="771">
        <f t="shared" si="13"/>
        <v>100</v>
      </c>
      <c r="V36" s="770" t="s">
        <v>17</v>
      </c>
      <c r="W36" s="771">
        <f t="shared" si="14"/>
        <v>100</v>
      </c>
      <c r="X36" s="1791"/>
      <c r="Y36" s="3654"/>
      <c r="Z36" s="1792" t="str">
        <f t="shared" si="15"/>
        <v>内部装修</v>
      </c>
      <c r="AA36" s="1789">
        <f t="shared" si="3"/>
        <v>1</v>
      </c>
      <c r="AB36" s="1789">
        <f t="shared" si="4"/>
        <v>1</v>
      </c>
      <c r="AC36" s="1789">
        <f t="shared" si="5"/>
        <v>1</v>
      </c>
    </row>
    <row r="37" spans="1:29" ht="15">
      <c r="A37" s="471"/>
      <c r="B37" s="421" t="s">
        <v>2687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2"/>
      <c r="M37" s="1113"/>
      <c r="N37" s="1113"/>
      <c r="O37" s="1121"/>
      <c r="P37" s="3654"/>
      <c r="Q37" s="1788" t="str">
        <f t="shared" si="11"/>
        <v>内部装修状况</v>
      </c>
      <c r="R37" s="770" t="s">
        <v>17</v>
      </c>
      <c r="S37" s="771">
        <f t="shared" si="12"/>
        <v>100</v>
      </c>
      <c r="T37" s="770" t="s">
        <v>17</v>
      </c>
      <c r="U37" s="771">
        <f t="shared" si="13"/>
        <v>100</v>
      </c>
      <c r="V37" s="770" t="s">
        <v>17</v>
      </c>
      <c r="W37" s="771">
        <f t="shared" si="14"/>
        <v>100</v>
      </c>
      <c r="X37" s="1791"/>
      <c r="Y37" s="3654"/>
      <c r="Z37" s="1792" t="str">
        <f t="shared" si="15"/>
        <v>内部装修状况</v>
      </c>
      <c r="AA37" s="1789">
        <f t="shared" si="3"/>
        <v>1</v>
      </c>
      <c r="AB37" s="1789">
        <f t="shared" si="4"/>
        <v>1</v>
      </c>
      <c r="AC37" s="1789">
        <f t="shared" si="5"/>
        <v>1</v>
      </c>
    </row>
    <row r="38" spans="1:29" s="470" customFormat="1" ht="15">
      <c r="A38" s="467"/>
      <c r="B38" s="136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0"/>
      <c r="M38" s="1123"/>
      <c r="N38" s="1123"/>
      <c r="O38" s="1124"/>
      <c r="P38" s="3654"/>
      <c r="Q38" s="772">
        <f t="shared" si="11"/>
        <v>111</v>
      </c>
      <c r="R38" s="773" t="s">
        <v>17</v>
      </c>
      <c r="S38" s="774">
        <f t="shared" si="12"/>
        <v>100</v>
      </c>
      <c r="T38" s="773" t="s">
        <v>17</v>
      </c>
      <c r="U38" s="774">
        <f t="shared" si="13"/>
        <v>100</v>
      </c>
      <c r="V38" s="773" t="s">
        <v>17</v>
      </c>
      <c r="W38" s="774">
        <f t="shared" si="14"/>
        <v>100</v>
      </c>
      <c r="X38" s="775"/>
      <c r="Y38" s="3654"/>
      <c r="Z38" s="776">
        <f t="shared" si="15"/>
        <v>111</v>
      </c>
      <c r="AA38" s="1789">
        <f t="shared" si="3"/>
        <v>1</v>
      </c>
      <c r="AB38" s="1789">
        <f t="shared" si="4"/>
        <v>1</v>
      </c>
      <c r="AC38" s="1789">
        <f t="shared" si="5"/>
        <v>1</v>
      </c>
    </row>
    <row r="39" spans="1:29" ht="15">
      <c r="A39" s="471"/>
      <c r="B39" s="136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2"/>
      <c r="M39" s="1113"/>
      <c r="N39" s="1113"/>
      <c r="O39" s="1121"/>
      <c r="P39" s="3654"/>
      <c r="Q39" s="1788">
        <f t="shared" si="11"/>
        <v>111</v>
      </c>
      <c r="R39" s="770" t="s">
        <v>17</v>
      </c>
      <c r="S39" s="771">
        <f t="shared" si="12"/>
        <v>100</v>
      </c>
      <c r="T39" s="770" t="s">
        <v>17</v>
      </c>
      <c r="U39" s="771">
        <f t="shared" si="13"/>
        <v>100</v>
      </c>
      <c r="V39" s="770" t="s">
        <v>17</v>
      </c>
      <c r="W39" s="771">
        <f t="shared" si="14"/>
        <v>100</v>
      </c>
      <c r="X39" s="1791"/>
      <c r="Y39" s="3654"/>
      <c r="Z39" s="1792">
        <f t="shared" si="15"/>
        <v>111</v>
      </c>
      <c r="AA39" s="1789">
        <f t="shared" si="3"/>
        <v>1</v>
      </c>
      <c r="AB39" s="1789">
        <f t="shared" si="4"/>
        <v>1</v>
      </c>
      <c r="AC39" s="1789">
        <f t="shared" si="5"/>
        <v>1</v>
      </c>
    </row>
    <row r="40" spans="1:29" ht="15.6" thickBot="1">
      <c r="A40" s="477"/>
      <c r="B40" s="257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2"/>
      <c r="M40" s="1113"/>
      <c r="N40" s="1113"/>
      <c r="O40" s="1121"/>
      <c r="P40" s="3655"/>
      <c r="Q40" s="1788">
        <f t="shared" si="11"/>
        <v>111</v>
      </c>
      <c r="R40" s="770" t="s">
        <v>17</v>
      </c>
      <c r="S40" s="771">
        <f t="shared" si="12"/>
        <v>100</v>
      </c>
      <c r="T40" s="770" t="s">
        <v>17</v>
      </c>
      <c r="U40" s="771">
        <f t="shared" si="13"/>
        <v>100</v>
      </c>
      <c r="V40" s="770" t="s">
        <v>17</v>
      </c>
      <c r="W40" s="771">
        <f t="shared" si="14"/>
        <v>100</v>
      </c>
      <c r="X40" s="1791"/>
      <c r="Y40" s="3655"/>
      <c r="Z40" s="1792">
        <f t="shared" si="15"/>
        <v>111</v>
      </c>
      <c r="AA40" s="1789">
        <f t="shared" si="3"/>
        <v>1</v>
      </c>
      <c r="AB40" s="1789">
        <f t="shared" si="4"/>
        <v>1</v>
      </c>
      <c r="AC40" s="1789">
        <f t="shared" si="5"/>
        <v>1</v>
      </c>
    </row>
    <row r="41" spans="1:29" ht="14.4">
      <c r="A41" s="478" t="s">
        <v>2560</v>
      </c>
      <c r="B41" s="479"/>
      <c r="C41" s="1387" t="s">
        <v>1</v>
      </c>
      <c r="D41" s="1388"/>
      <c r="E41" s="1389"/>
      <c r="F41" s="1390"/>
      <c r="G41" s="1391"/>
      <c r="H41" s="1392"/>
      <c r="I41" s="1389"/>
      <c r="J41" s="1392"/>
      <c r="K41" s="779"/>
      <c r="L41" s="1125"/>
      <c r="M41" s="1126"/>
      <c r="N41" s="1113"/>
      <c r="O41" s="1126"/>
      <c r="P41" s="3642" t="str">
        <f>A41</f>
        <v>成交单价（元/平方米）</v>
      </c>
      <c r="Q41" s="3642"/>
      <c r="R41" s="3643">
        <f>E41</f>
        <v>0</v>
      </c>
      <c r="S41" s="3643"/>
      <c r="T41" s="3643">
        <f>G41</f>
        <v>0</v>
      </c>
      <c r="U41" s="3643"/>
      <c r="V41" s="3643">
        <f>I41</f>
        <v>0</v>
      </c>
      <c r="W41" s="3643"/>
      <c r="X41" s="755"/>
      <c r="Y41" s="777"/>
      <c r="Z41" s="755"/>
      <c r="AA41" s="755"/>
      <c r="AB41" s="755"/>
      <c r="AC41" s="755"/>
    </row>
    <row r="42" spans="1:29" ht="15" thickBot="1">
      <c r="A42" s="485" t="s">
        <v>2652</v>
      </c>
      <c r="B42" s="486"/>
      <c r="C42" s="1393" t="e">
        <f>R43</f>
        <v>#DIV/0!</v>
      </c>
      <c r="D42" s="1394"/>
      <c r="E42" s="1395" t="e">
        <f>R42</f>
        <v>#DIV/0!</v>
      </c>
      <c r="F42" s="1395"/>
      <c r="G42" s="1393" t="e">
        <f>T42</f>
        <v>#DIV/0!</v>
      </c>
      <c r="H42" s="1394"/>
      <c r="I42" s="1395" t="e">
        <f>V42</f>
        <v>#DIV/0!</v>
      </c>
      <c r="J42" s="1394"/>
      <c r="K42" s="780"/>
      <c r="L42" s="1125"/>
      <c r="M42" s="1126"/>
      <c r="N42" s="1113"/>
      <c r="O42" s="1126"/>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755"/>
      <c r="Y42" s="755"/>
      <c r="Z42" s="755"/>
      <c r="AA42" s="755"/>
      <c r="AB42" s="755"/>
      <c r="AC42" s="755"/>
    </row>
    <row r="43" spans="1:29" ht="15" thickBot="1">
      <c r="A43" s="491" t="s">
        <v>2653</v>
      </c>
      <c r="B43" s="492"/>
      <c r="C43" s="1397" t="e">
        <f>R43</f>
        <v>#DIV/0!</v>
      </c>
      <c r="D43" s="1397"/>
      <c r="E43" s="1397"/>
      <c r="F43" s="1397"/>
      <c r="G43" s="1397"/>
      <c r="H43" s="1397"/>
      <c r="I43" s="1397"/>
      <c r="J43" s="1397"/>
      <c r="K43" s="781"/>
      <c r="L43" s="1125"/>
      <c r="M43" s="1126"/>
      <c r="N43" s="1126"/>
      <c r="O43" s="1126"/>
      <c r="P43" s="3644" t="str">
        <f>A43</f>
        <v>估价对象XX用房的比较价值（楼面单价，元/平方米）</v>
      </c>
      <c r="Q43" s="3645"/>
      <c r="R43" s="3646" t="e">
        <f>IF(F1="售价",ROUND(AVERAGE(R42:V42),0),ROUND(AVERAGE(R42:V42),1))</f>
        <v>#DIV/0!</v>
      </c>
      <c r="S43" s="3646"/>
      <c r="T43" s="3646"/>
      <c r="U43" s="3646"/>
      <c r="V43" s="3646"/>
      <c r="W43" s="3646"/>
      <c r="X43" s="755"/>
      <c r="Y43" s="755"/>
      <c r="Z43" s="755"/>
      <c r="AA43" s="755"/>
      <c r="AB43" s="755"/>
      <c r="AC43" s="755"/>
    </row>
    <row r="44" spans="1:29">
      <c r="A44" s="1126"/>
      <c r="B44" s="1126"/>
      <c r="C44" s="1126"/>
      <c r="D44" s="1126"/>
      <c r="E44" s="1126"/>
      <c r="F44" s="1126"/>
      <c r="G44" s="1129"/>
      <c r="H44" s="1126"/>
      <c r="I44" s="1126"/>
      <c r="J44" s="1126"/>
      <c r="K44" s="1094"/>
      <c r="L44" s="1095"/>
      <c r="M44" s="1126"/>
      <c r="N44" s="1126"/>
      <c r="O44" s="1126"/>
    </row>
    <row r="45" spans="1:29">
      <c r="A45" s="1126"/>
      <c r="B45" s="1126"/>
      <c r="C45" s="1126"/>
      <c r="D45" s="1126"/>
      <c r="E45" s="1126"/>
      <c r="F45" s="1126"/>
      <c r="G45" s="1126"/>
      <c r="H45" s="1126"/>
      <c r="I45" s="1126"/>
      <c r="J45" s="1126"/>
      <c r="K45" s="1094"/>
      <c r="L45" s="1095"/>
      <c r="M45" s="1126"/>
      <c r="N45" s="1126"/>
      <c r="O45" s="1126"/>
    </row>
    <row r="46" spans="1:29" ht="13.5" customHeight="1">
      <c r="A46" s="1126"/>
      <c r="B46" s="1126"/>
      <c r="C46" s="496" t="s">
        <v>2654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4"/>
      <c r="L46" s="1095"/>
      <c r="M46" s="1126"/>
      <c r="N46" s="1126"/>
      <c r="O46" s="1126"/>
    </row>
    <row r="47" spans="1:29" ht="13.5" customHeight="1">
      <c r="A47" s="1126"/>
      <c r="B47" s="1126"/>
      <c r="C47" s="496" t="s">
        <v>2655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4"/>
      <c r="L47" s="1095"/>
      <c r="M47" s="1126"/>
      <c r="N47" s="1126"/>
      <c r="O47" s="1126"/>
    </row>
    <row r="48" spans="1:29" s="501" customFormat="1" ht="13.5" customHeight="1">
      <c r="A48" s="1127"/>
      <c r="B48" s="1127"/>
      <c r="C48" s="496" t="s">
        <v>2656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0"/>
      <c r="L48" s="1131"/>
      <c r="M48" s="1127"/>
      <c r="N48" s="1127"/>
      <c r="O48" s="1127"/>
    </row>
    <row r="49" spans="1:17" s="501" customFormat="1">
      <c r="A49" s="1127"/>
      <c r="B49" s="1128"/>
      <c r="C49" s="1132"/>
      <c r="D49" s="1127"/>
      <c r="E49" s="1127"/>
      <c r="F49" s="1127"/>
      <c r="G49" s="1127"/>
      <c r="H49" s="1127"/>
      <c r="I49" s="1127"/>
      <c r="J49" s="1127"/>
      <c r="K49" s="1130"/>
      <c r="L49" s="1131"/>
      <c r="M49" s="1127"/>
      <c r="N49" s="1127"/>
      <c r="O49" s="1127"/>
    </row>
    <row r="50" spans="1:17">
      <c r="A50" s="1126"/>
      <c r="B50" s="1128"/>
      <c r="C50" s="1132"/>
      <c r="D50" s="1126"/>
      <c r="E50" s="1126"/>
      <c r="F50" s="1126"/>
      <c r="G50" s="1126"/>
      <c r="H50" s="1126"/>
      <c r="I50" s="1126"/>
      <c r="J50" s="1126"/>
      <c r="K50" s="1094"/>
      <c r="L50" s="1095"/>
      <c r="M50" s="1126"/>
      <c r="N50" s="1126"/>
      <c r="O50" s="1126"/>
    </row>
    <row r="51" spans="1:17" ht="22.2" thickBot="1">
      <c r="A51" s="759" t="s">
        <v>2657</v>
      </c>
      <c r="B51" s="755"/>
      <c r="C51" s="760"/>
      <c r="D51" s="760"/>
      <c r="E51" s="760"/>
      <c r="F51" s="761"/>
      <c r="G51" s="761"/>
      <c r="H51" s="760"/>
      <c r="I51" s="760"/>
      <c r="J51" s="760"/>
      <c r="K51" s="1142"/>
      <c r="L51" s="1143"/>
      <c r="M51" s="1141"/>
      <c r="N51" s="1141"/>
      <c r="O51" s="1141"/>
      <c r="P51" s="502"/>
      <c r="Q51" s="503"/>
    </row>
    <row r="52" spans="1:17" s="507" customFormat="1" ht="14.4">
      <c r="A52" s="504" t="s">
        <v>2531</v>
      </c>
      <c r="B52" s="505"/>
      <c r="C52" s="1553" t="str">
        <f>YEAR(C7)&amp;"-"&amp;MONTH(C7)</f>
        <v>2020-3</v>
      </c>
      <c r="D52" s="1554">
        <f>EDATE(C52,-1)</f>
        <v>43862</v>
      </c>
      <c r="E52" s="1554">
        <f t="shared" ref="E52:O52" si="16">EDATE(D52,-1)</f>
        <v>43831</v>
      </c>
      <c r="F52" s="1554">
        <f t="shared" si="16"/>
        <v>43800</v>
      </c>
      <c r="G52" s="1554">
        <f t="shared" si="16"/>
        <v>43770</v>
      </c>
      <c r="H52" s="1554">
        <f t="shared" si="16"/>
        <v>43739</v>
      </c>
      <c r="I52" s="1554">
        <f t="shared" si="16"/>
        <v>43709</v>
      </c>
      <c r="J52" s="1554">
        <f t="shared" si="16"/>
        <v>43678</v>
      </c>
      <c r="K52" s="1554">
        <f t="shared" si="16"/>
        <v>43647</v>
      </c>
      <c r="L52" s="1554">
        <f t="shared" si="16"/>
        <v>43617</v>
      </c>
      <c r="M52" s="1554">
        <f t="shared" si="16"/>
        <v>43586</v>
      </c>
      <c r="N52" s="1554">
        <f t="shared" si="16"/>
        <v>43556</v>
      </c>
      <c r="O52" s="1554">
        <f t="shared" si="16"/>
        <v>43525</v>
      </c>
      <c r="P52" s="506"/>
    </row>
    <row r="53" spans="1:17" s="117" customFormat="1">
      <c r="A53" s="508"/>
      <c r="B53" s="509"/>
      <c r="C53" s="1552">
        <v>100</v>
      </c>
      <c r="D53" s="511"/>
      <c r="E53" s="511"/>
      <c r="F53" s="511"/>
      <c r="G53" s="511"/>
      <c r="H53" s="511"/>
      <c r="I53" s="511"/>
      <c r="J53" s="511"/>
      <c r="K53" s="511"/>
      <c r="L53" s="511"/>
      <c r="M53" s="512"/>
      <c r="N53" s="511"/>
      <c r="O53" s="513"/>
      <c r="P53" s="503"/>
    </row>
    <row r="54" spans="1:17" s="117" customFormat="1" ht="15" thickBot="1">
      <c r="A54" s="514" t="s">
        <v>2568</v>
      </c>
      <c r="B54" s="515"/>
      <c r="C54" s="516"/>
      <c r="D54" s="517"/>
      <c r="E54" s="517"/>
      <c r="F54" s="517"/>
      <c r="G54" s="517"/>
      <c r="H54" s="517"/>
      <c r="I54" s="517"/>
      <c r="J54" s="517"/>
      <c r="K54" s="517"/>
      <c r="L54" s="517"/>
      <c r="M54" s="518"/>
      <c r="N54" s="517"/>
      <c r="O54" s="519"/>
      <c r="P54" s="503"/>
      <c r="Q54" s="503"/>
    </row>
    <row r="55" spans="1:17" s="117" customFormat="1" ht="14.4">
      <c r="A55" s="520" t="s">
        <v>2533</v>
      </c>
      <c r="B55" s="509"/>
      <c r="C55" s="521" t="s">
        <v>2635</v>
      </c>
      <c r="D55" s="522"/>
      <c r="E55" s="522"/>
      <c r="F55" s="522"/>
      <c r="G55" s="522"/>
      <c r="H55" s="522"/>
      <c r="I55" s="522"/>
      <c r="J55" s="522"/>
      <c r="K55" s="522"/>
      <c r="L55" s="523"/>
      <c r="M55" s="524"/>
      <c r="N55" s="1133"/>
      <c r="O55" s="1133"/>
      <c r="P55" s="525"/>
      <c r="Q55" s="503"/>
    </row>
    <row r="56" spans="1:17" s="117" customFormat="1" ht="14.4" thickBot="1">
      <c r="A56" s="520"/>
      <c r="B56" s="509"/>
      <c r="C56" s="638">
        <v>100</v>
      </c>
      <c r="D56" s="511"/>
      <c r="E56" s="511"/>
      <c r="F56" s="511"/>
      <c r="G56" s="511"/>
      <c r="H56" s="511"/>
      <c r="I56" s="511"/>
      <c r="J56" s="511"/>
      <c r="K56" s="511"/>
      <c r="L56" s="511"/>
      <c r="M56" s="513"/>
      <c r="N56" s="1133"/>
      <c r="O56" s="1133"/>
      <c r="P56" s="503"/>
      <c r="Q56" s="503"/>
    </row>
    <row r="57" spans="1:17" ht="14.4">
      <c r="A57" s="526" t="s">
        <v>2571</v>
      </c>
      <c r="B57" s="527" t="s">
        <v>2537</v>
      </c>
      <c r="C57" s="528">
        <f>C9</f>
        <v>0</v>
      </c>
      <c r="D57" s="529"/>
      <c r="E57" s="529"/>
      <c r="F57" s="529"/>
      <c r="G57" s="529"/>
      <c r="H57" s="529"/>
      <c r="I57" s="529"/>
      <c r="J57" s="529"/>
      <c r="K57" s="530"/>
      <c r="L57" s="531"/>
      <c r="M57" s="532"/>
      <c r="N57" s="1134"/>
      <c r="O57" s="1134"/>
      <c r="P57" s="45"/>
      <c r="Q57" s="503"/>
    </row>
    <row r="58" spans="1:17" ht="14.4" thickBot="1">
      <c r="A58" s="533"/>
      <c r="B58" s="534"/>
      <c r="C58" s="535">
        <v>100</v>
      </c>
      <c r="D58" s="535"/>
      <c r="E58" s="535"/>
      <c r="F58" s="535"/>
      <c r="G58" s="535"/>
      <c r="H58" s="535"/>
      <c r="I58" s="535"/>
      <c r="J58" s="535"/>
      <c r="K58" s="535"/>
      <c r="L58" s="535"/>
      <c r="M58" s="536"/>
      <c r="N58" s="1135"/>
      <c r="O58" s="1135"/>
      <c r="P58" s="45"/>
      <c r="Q58" s="503"/>
    </row>
    <row r="59" spans="1:17" ht="29.4" thickTop="1">
      <c r="A59" s="533"/>
      <c r="B59" s="537" t="s">
        <v>2540</v>
      </c>
      <c r="C59" s="538" t="s">
        <v>2572</v>
      </c>
      <c r="D59" s="538" t="s">
        <v>2573</v>
      </c>
      <c r="E59" s="538" t="s">
        <v>2574</v>
      </c>
      <c r="F59" s="538" t="s">
        <v>2575</v>
      </c>
      <c r="G59" s="538" t="s">
        <v>2576</v>
      </c>
      <c r="H59" s="538" t="s">
        <v>2577</v>
      </c>
      <c r="I59" s="538" t="s">
        <v>2578</v>
      </c>
      <c r="J59" s="538"/>
      <c r="K59" s="539"/>
      <c r="L59" s="540"/>
      <c r="M59" s="541"/>
      <c r="N59" s="1134"/>
      <c r="O59" s="1134"/>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35"/>
      <c r="O60" s="1135"/>
      <c r="P60" s="45"/>
      <c r="Q60" s="503"/>
    </row>
    <row r="61" spans="1:17" ht="15" thickTop="1">
      <c r="A61" s="533"/>
      <c r="B61" s="545" t="s">
        <v>2541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5"/>
      <c r="O61" s="1135"/>
      <c r="P61" s="45"/>
      <c r="Q61" s="503"/>
    </row>
    <row r="62" spans="1:17">
      <c r="A62" s="533"/>
      <c r="B62" s="547"/>
      <c r="C62" s="548"/>
      <c r="D62" s="548"/>
      <c r="E62" s="548"/>
      <c r="F62" s="548"/>
      <c r="G62" s="548"/>
      <c r="H62" s="548"/>
      <c r="I62" s="548"/>
      <c r="J62" s="548"/>
      <c r="K62" s="549"/>
      <c r="L62" s="550"/>
      <c r="M62" s="551"/>
      <c r="N62" s="1134"/>
      <c r="O62" s="1134"/>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5"/>
      <c r="O63" s="1135"/>
      <c r="P63" s="45"/>
      <c r="Q63" s="503"/>
    </row>
    <row r="64" spans="1:17" s="470" customFormat="1" ht="14.4" thickTop="1">
      <c r="A64" s="552"/>
      <c r="B64" s="537">
        <f>B12</f>
        <v>111</v>
      </c>
      <c r="C64" s="553"/>
      <c r="D64" s="553"/>
      <c r="E64" s="553"/>
      <c r="F64" s="553"/>
      <c r="G64" s="553"/>
      <c r="H64" s="554"/>
      <c r="I64" s="554"/>
      <c r="J64" s="554"/>
      <c r="K64" s="554"/>
      <c r="L64" s="555"/>
      <c r="M64" s="556"/>
      <c r="N64" s="1136"/>
      <c r="O64" s="1136"/>
      <c r="P64" s="557"/>
      <c r="Q64" s="558"/>
    </row>
    <row r="65" spans="1:17" s="470" customFormat="1" ht="14.4" thickBot="1">
      <c r="A65" s="552"/>
      <c r="B65" s="542"/>
      <c r="C65" s="559"/>
      <c r="D65" s="535"/>
      <c r="E65" s="535"/>
      <c r="F65" s="535"/>
      <c r="G65" s="535"/>
      <c r="H65" s="535"/>
      <c r="I65" s="535"/>
      <c r="J65" s="535"/>
      <c r="K65" s="535"/>
      <c r="L65" s="535"/>
      <c r="M65" s="536"/>
      <c r="N65" s="1135"/>
      <c r="O65" s="1135"/>
      <c r="P65" s="557"/>
      <c r="Q65" s="558"/>
    </row>
    <row r="66" spans="1:17" s="470" customFormat="1" ht="14.4" thickTop="1">
      <c r="A66" s="552"/>
      <c r="B66" s="537">
        <f>B13</f>
        <v>111</v>
      </c>
      <c r="C66" s="553"/>
      <c r="D66" s="553"/>
      <c r="E66" s="553"/>
      <c r="F66" s="553"/>
      <c r="G66" s="553"/>
      <c r="H66" s="554"/>
      <c r="I66" s="554"/>
      <c r="J66" s="554"/>
      <c r="K66" s="554"/>
      <c r="L66" s="555"/>
      <c r="M66" s="556"/>
      <c r="N66" s="1136"/>
      <c r="O66" s="1136"/>
      <c r="P66" s="469"/>
      <c r="Q66" s="560"/>
    </row>
    <row r="67" spans="1:17" s="470" customFormat="1" ht="14.4" thickBot="1">
      <c r="A67" s="552"/>
      <c r="B67" s="542"/>
      <c r="C67" s="559"/>
      <c r="D67" s="535"/>
      <c r="E67" s="535"/>
      <c r="F67" s="535"/>
      <c r="G67" s="559"/>
      <c r="H67" s="561"/>
      <c r="I67" s="561"/>
      <c r="J67" s="561"/>
      <c r="K67" s="561"/>
      <c r="L67" s="561"/>
      <c r="M67" s="562"/>
      <c r="N67" s="1136"/>
      <c r="O67" s="1136"/>
      <c r="P67" s="557"/>
      <c r="Q67" s="558"/>
    </row>
    <row r="68" spans="1:17" s="470" customFormat="1" ht="14.4" thickTop="1">
      <c r="A68" s="552"/>
      <c r="B68" s="545">
        <f>B14</f>
        <v>111</v>
      </c>
      <c r="C68" s="522"/>
      <c r="D68" s="522"/>
      <c r="E68" s="522"/>
      <c r="F68" s="522"/>
      <c r="G68" s="522"/>
      <c r="H68" s="563"/>
      <c r="I68" s="563"/>
      <c r="J68" s="563"/>
      <c r="K68" s="563"/>
      <c r="L68" s="564"/>
      <c r="M68" s="565"/>
      <c r="N68" s="1136"/>
      <c r="O68" s="1136"/>
      <c r="P68" s="566"/>
      <c r="Q68" s="558"/>
    </row>
    <row r="69" spans="1:17" s="470" customFormat="1" ht="14.4" thickBot="1">
      <c r="A69" s="567"/>
      <c r="B69" s="568"/>
      <c r="C69" s="569"/>
      <c r="D69" s="569"/>
      <c r="E69" s="569"/>
      <c r="F69" s="569"/>
      <c r="G69" s="569"/>
      <c r="H69" s="570"/>
      <c r="I69" s="570"/>
      <c r="J69" s="570"/>
      <c r="K69" s="570"/>
      <c r="L69" s="570"/>
      <c r="M69" s="571"/>
      <c r="N69" s="1136"/>
      <c r="O69" s="1136"/>
      <c r="P69" s="557"/>
      <c r="Q69" s="558"/>
    </row>
    <row r="70" spans="1:17" ht="14.4">
      <c r="A70" s="526" t="s">
        <v>2542</v>
      </c>
      <c r="B70" s="527" t="s">
        <v>2688</v>
      </c>
      <c r="C70" s="572" t="s">
        <v>2580</v>
      </c>
      <c r="D70" s="572" t="s">
        <v>2581</v>
      </c>
      <c r="E70" s="572" t="s">
        <v>2582</v>
      </c>
      <c r="F70" s="572" t="s">
        <v>2583</v>
      </c>
      <c r="G70" s="572" t="s">
        <v>2584</v>
      </c>
      <c r="H70" s="528"/>
      <c r="I70" s="528"/>
      <c r="J70" s="528"/>
      <c r="K70" s="573"/>
      <c r="L70" s="574"/>
      <c r="M70" s="575"/>
      <c r="N70" s="1134"/>
      <c r="O70" s="1134"/>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35"/>
      <c r="O71" s="1135"/>
      <c r="P71" s="45"/>
      <c r="Q71" s="503"/>
    </row>
    <row r="72" spans="1:17" ht="15" thickTop="1">
      <c r="A72" s="533"/>
      <c r="B72" s="537" t="s">
        <v>2585</v>
      </c>
      <c r="C72" s="577" t="s">
        <v>2580</v>
      </c>
      <c r="D72" s="577" t="s">
        <v>2581</v>
      </c>
      <c r="E72" s="577" t="s">
        <v>2582</v>
      </c>
      <c r="F72" s="577" t="s">
        <v>2583</v>
      </c>
      <c r="G72" s="577" t="s">
        <v>2584</v>
      </c>
      <c r="H72" s="538"/>
      <c r="I72" s="538"/>
      <c r="J72" s="538"/>
      <c r="K72" s="539"/>
      <c r="L72" s="540"/>
      <c r="M72" s="541"/>
      <c r="N72" s="1134"/>
      <c r="O72" s="1134"/>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35"/>
      <c r="O73" s="1135"/>
      <c r="P73" s="45"/>
      <c r="Q73" s="503"/>
    </row>
    <row r="74" spans="1:17" ht="15" thickTop="1">
      <c r="A74" s="533"/>
      <c r="B74" s="537" t="s">
        <v>2586</v>
      </c>
      <c r="C74" s="577" t="s">
        <v>2580</v>
      </c>
      <c r="D74" s="577" t="s">
        <v>2581</v>
      </c>
      <c r="E74" s="577" t="s">
        <v>2582</v>
      </c>
      <c r="F74" s="577" t="s">
        <v>2583</v>
      </c>
      <c r="G74" s="577" t="s">
        <v>2584</v>
      </c>
      <c r="H74" s="538"/>
      <c r="I74" s="538"/>
      <c r="J74" s="538"/>
      <c r="K74" s="539"/>
      <c r="L74" s="540"/>
      <c r="M74" s="541"/>
      <c r="N74" s="1134"/>
      <c r="O74" s="1134"/>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35"/>
      <c r="O75" s="1135"/>
      <c r="P75" s="45"/>
      <c r="Q75" s="503"/>
    </row>
    <row r="76" spans="1:17" ht="15" thickTop="1">
      <c r="A76" s="533"/>
      <c r="B76" s="545" t="s">
        <v>2672</v>
      </c>
      <c r="C76" s="659" t="s">
        <v>2658</v>
      </c>
      <c r="D76" s="659" t="s">
        <v>2659</v>
      </c>
      <c r="E76" s="659" t="s">
        <v>2660</v>
      </c>
      <c r="F76" s="659" t="s">
        <v>2661</v>
      </c>
      <c r="G76" s="659" t="s">
        <v>2662</v>
      </c>
      <c r="H76" s="538"/>
      <c r="I76" s="538"/>
      <c r="J76" s="538"/>
      <c r="K76" s="538"/>
      <c r="L76" s="538"/>
      <c r="M76" s="1363"/>
      <c r="N76" s="1135"/>
      <c r="O76" s="1135"/>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35"/>
      <c r="O77" s="1135"/>
      <c r="P77" s="45"/>
      <c r="Q77" s="503"/>
    </row>
    <row r="78" spans="1:17" ht="15" thickTop="1">
      <c r="A78" s="533"/>
      <c r="B78" s="537" t="s">
        <v>2681</v>
      </c>
      <c r="C78" s="577" t="s">
        <v>2580</v>
      </c>
      <c r="D78" s="577" t="s">
        <v>2581</v>
      </c>
      <c r="E78" s="577" t="s">
        <v>2582</v>
      </c>
      <c r="F78" s="577" t="s">
        <v>2583</v>
      </c>
      <c r="G78" s="577" t="s">
        <v>2584</v>
      </c>
      <c r="H78" s="538"/>
      <c r="I78" s="538"/>
      <c r="J78" s="538"/>
      <c r="K78" s="539"/>
      <c r="L78" s="540"/>
      <c r="M78" s="541"/>
      <c r="N78" s="1134"/>
      <c r="O78" s="1134"/>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35"/>
      <c r="O79" s="1135"/>
      <c r="P79" s="45"/>
      <c r="Q79" s="503"/>
    </row>
    <row r="80" spans="1:17" s="117" customFormat="1" ht="14.4" thickTop="1">
      <c r="A80" s="578"/>
      <c r="B80" s="537">
        <f>B25</f>
        <v>111</v>
      </c>
      <c r="C80" s="553"/>
      <c r="D80" s="553"/>
      <c r="E80" s="553"/>
      <c r="F80" s="553"/>
      <c r="G80" s="553"/>
      <c r="H80" s="553"/>
      <c r="I80" s="553"/>
      <c r="J80" s="553"/>
      <c r="K80" s="553"/>
      <c r="L80" s="579"/>
      <c r="M80" s="580"/>
      <c r="N80" s="1133"/>
      <c r="O80" s="1133"/>
      <c r="P80" s="45"/>
      <c r="Q80" s="503"/>
    </row>
    <row r="81" spans="1:17" s="117" customFormat="1" ht="14.4" thickBot="1">
      <c r="A81" s="578"/>
      <c r="B81" s="542"/>
      <c r="C81" s="559"/>
      <c r="D81" s="535"/>
      <c r="E81" s="535"/>
      <c r="F81" s="535"/>
      <c r="G81" s="535"/>
      <c r="H81" s="535"/>
      <c r="I81" s="535"/>
      <c r="J81" s="535"/>
      <c r="K81" s="535"/>
      <c r="L81" s="535"/>
      <c r="M81" s="536"/>
      <c r="N81" s="1135"/>
      <c r="O81" s="1135"/>
      <c r="P81" s="45"/>
      <c r="Q81" s="503"/>
    </row>
    <row r="82" spans="1:17" s="117" customFormat="1" ht="14.4" thickTop="1">
      <c r="A82" s="578"/>
      <c r="B82" s="537">
        <f>B26</f>
        <v>111</v>
      </c>
      <c r="C82" s="553"/>
      <c r="D82" s="553"/>
      <c r="E82" s="553"/>
      <c r="F82" s="553"/>
      <c r="G82" s="553"/>
      <c r="H82" s="553"/>
      <c r="I82" s="553"/>
      <c r="J82" s="553"/>
      <c r="K82" s="553"/>
      <c r="L82" s="579"/>
      <c r="M82" s="580"/>
      <c r="N82" s="1133"/>
      <c r="O82" s="1133"/>
      <c r="P82" s="45"/>
      <c r="Q82" s="503"/>
    </row>
    <row r="83" spans="1:17" s="117" customFormat="1" ht="14.4" thickBot="1">
      <c r="A83" s="578"/>
      <c r="B83" s="542"/>
      <c r="C83" s="559"/>
      <c r="D83" s="535"/>
      <c r="E83" s="535"/>
      <c r="F83" s="535"/>
      <c r="G83" s="535"/>
      <c r="H83" s="535"/>
      <c r="I83" s="535"/>
      <c r="J83" s="535"/>
      <c r="K83" s="535"/>
      <c r="L83" s="535"/>
      <c r="M83" s="536"/>
      <c r="N83" s="1135"/>
      <c r="O83" s="1135"/>
      <c r="P83" s="45"/>
      <c r="Q83" s="503"/>
    </row>
    <row r="84" spans="1:17" s="470" customFormat="1" ht="14.4" thickTop="1">
      <c r="A84" s="552"/>
      <c r="B84" s="537">
        <f>B27</f>
        <v>111</v>
      </c>
      <c r="C84" s="553"/>
      <c r="D84" s="553"/>
      <c r="E84" s="553"/>
      <c r="F84" s="553"/>
      <c r="G84" s="553"/>
      <c r="H84" s="553"/>
      <c r="I84" s="553"/>
      <c r="J84" s="553"/>
      <c r="K84" s="553"/>
      <c r="L84" s="579"/>
      <c r="M84" s="580"/>
      <c r="N84" s="1136"/>
      <c r="O84" s="1136"/>
      <c r="P84" s="557"/>
      <c r="Q84" s="558"/>
    </row>
    <row r="85" spans="1:17" s="470" customFormat="1" ht="14.4" thickBot="1">
      <c r="A85" s="552"/>
      <c r="B85" s="542"/>
      <c r="C85" s="559"/>
      <c r="D85" s="535"/>
      <c r="E85" s="535"/>
      <c r="F85" s="535"/>
      <c r="G85" s="535"/>
      <c r="H85" s="535"/>
      <c r="I85" s="535"/>
      <c r="J85" s="535"/>
      <c r="K85" s="535"/>
      <c r="L85" s="535"/>
      <c r="M85" s="536"/>
      <c r="N85" s="1136"/>
      <c r="O85" s="1136"/>
      <c r="P85" s="557"/>
      <c r="Q85" s="558"/>
    </row>
    <row r="86" spans="1:17" ht="14.4" thickTop="1">
      <c r="A86" s="533"/>
      <c r="B86" s="545">
        <f>B28</f>
        <v>111</v>
      </c>
      <c r="C86" s="522"/>
      <c r="D86" s="522"/>
      <c r="E86" s="522"/>
      <c r="F86" s="522"/>
      <c r="G86" s="586"/>
      <c r="H86" s="586"/>
      <c r="I86" s="586"/>
      <c r="J86" s="586"/>
      <c r="K86" s="587"/>
      <c r="L86" s="588"/>
      <c r="M86" s="589"/>
      <c r="N86" s="1134"/>
      <c r="O86" s="1134"/>
      <c r="P86" s="45"/>
      <c r="Q86" s="503"/>
    </row>
    <row r="87" spans="1:17" ht="14.4" thickBot="1">
      <c r="A87" s="2606"/>
      <c r="B87" s="568"/>
      <c r="C87" s="569"/>
      <c r="D87" s="569"/>
      <c r="E87" s="569"/>
      <c r="F87" s="569"/>
      <c r="G87" s="590"/>
      <c r="H87" s="590"/>
      <c r="I87" s="590"/>
      <c r="J87" s="590"/>
      <c r="K87" s="590"/>
      <c r="L87" s="590"/>
      <c r="M87" s="591"/>
      <c r="N87" s="1135"/>
      <c r="O87" s="1135"/>
      <c r="P87" s="45"/>
      <c r="Q87" s="503"/>
    </row>
    <row r="88" spans="1:17" ht="14.4">
      <c r="A88" s="526" t="s">
        <v>2546</v>
      </c>
      <c r="B88" s="527" t="s">
        <v>2595</v>
      </c>
      <c r="C88" s="529"/>
      <c r="D88" s="529"/>
      <c r="E88" s="529"/>
      <c r="F88" s="529"/>
      <c r="G88" s="529"/>
      <c r="H88" s="529"/>
      <c r="I88" s="529"/>
      <c r="J88" s="529"/>
      <c r="K88" s="530"/>
      <c r="L88" s="531"/>
      <c r="M88" s="532"/>
      <c r="N88" s="1134"/>
      <c r="O88" s="1134"/>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5"/>
      <c r="O89" s="1135"/>
      <c r="P89" s="45"/>
      <c r="Q89" s="503"/>
    </row>
    <row r="90" spans="1:17" ht="15" thickTop="1">
      <c r="A90" s="533"/>
      <c r="B90" s="537" t="s">
        <v>2596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3"/>
      <c r="O90" s="1133"/>
      <c r="P90" s="45"/>
      <c r="Q90" s="503"/>
    </row>
    <row r="91" spans="1:17" s="470" customFormat="1">
      <c r="A91" s="592"/>
      <c r="B91" s="593"/>
      <c r="C91" s="594"/>
      <c r="D91" s="594"/>
      <c r="E91" s="594"/>
      <c r="F91" s="594"/>
      <c r="G91" s="594"/>
      <c r="H91" s="594"/>
      <c r="I91" s="594"/>
      <c r="J91" s="595"/>
      <c r="K91" s="595"/>
      <c r="L91" s="596"/>
      <c r="M91" s="597"/>
      <c r="N91" s="1136"/>
      <c r="O91" s="1136"/>
      <c r="P91" s="557"/>
      <c r="Q91" s="558"/>
    </row>
    <row r="92" spans="1:17" s="470" customFormat="1" ht="14.4" thickBot="1">
      <c r="A92" s="552"/>
      <c r="B92" s="542"/>
      <c r="C92" s="559"/>
      <c r="D92" s="535"/>
      <c r="E92" s="535"/>
      <c r="F92" s="535"/>
      <c r="G92" s="535"/>
      <c r="H92" s="535"/>
      <c r="I92" s="535"/>
      <c r="J92" s="535"/>
      <c r="K92" s="535"/>
      <c r="L92" s="535"/>
      <c r="M92" s="536"/>
      <c r="N92" s="1135"/>
      <c r="O92" s="1135"/>
      <c r="P92" s="557"/>
      <c r="Q92" s="558"/>
    </row>
    <row r="93" spans="1:17" ht="15" thickTop="1">
      <c r="A93" s="598"/>
      <c r="B93" s="537" t="s">
        <v>2597</v>
      </c>
      <c r="C93" s="553"/>
      <c r="D93" s="553"/>
      <c r="E93" s="582"/>
      <c r="F93" s="582"/>
      <c r="G93" s="582"/>
      <c r="H93" s="582"/>
      <c r="I93" s="582"/>
      <c r="J93" s="582"/>
      <c r="K93" s="583"/>
      <c r="L93" s="584"/>
      <c r="M93" s="585"/>
      <c r="N93" s="1134"/>
      <c r="O93" s="1134"/>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5"/>
      <c r="O94" s="1135"/>
      <c r="P94" s="45"/>
      <c r="Q94" s="503"/>
    </row>
    <row r="95" spans="1:17" ht="15" thickTop="1">
      <c r="A95" s="598"/>
      <c r="B95" s="537" t="s">
        <v>2599</v>
      </c>
      <c r="C95" s="553"/>
      <c r="D95" s="553"/>
      <c r="E95" s="553"/>
      <c r="F95" s="582"/>
      <c r="G95" s="582"/>
      <c r="H95" s="582"/>
      <c r="I95" s="582"/>
      <c r="J95" s="582"/>
      <c r="K95" s="583"/>
      <c r="L95" s="584"/>
      <c r="M95" s="585"/>
      <c r="N95" s="1134"/>
      <c r="O95" s="1134"/>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5"/>
      <c r="O96" s="1135"/>
      <c r="P96" s="45"/>
      <c r="Q96" s="503"/>
    </row>
    <row r="97" spans="1:17" ht="15" thickTop="1">
      <c r="A97" s="598"/>
      <c r="B97" s="537" t="s">
        <v>1981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4"/>
      <c r="O97" s="1134"/>
      <c r="P97" s="45"/>
      <c r="Q97" s="503"/>
    </row>
    <row r="98" spans="1:17">
      <c r="A98" s="598"/>
      <c r="B98" s="545"/>
      <c r="C98" s="602">
        <v>0.5</v>
      </c>
      <c r="D98" s="602">
        <v>0.6</v>
      </c>
      <c r="E98" s="602">
        <v>0.7</v>
      </c>
      <c r="F98" s="602">
        <v>0.8</v>
      </c>
      <c r="G98" s="602">
        <v>0.9</v>
      </c>
      <c r="H98" s="602">
        <v>1.0001</v>
      </c>
      <c r="I98" s="622"/>
      <c r="J98" s="622"/>
      <c r="K98" s="623"/>
      <c r="L98" s="624"/>
      <c r="M98" s="625"/>
      <c r="N98" s="1134"/>
      <c r="O98" s="1134"/>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5"/>
      <c r="O99" s="1135"/>
      <c r="P99" s="45"/>
      <c r="Q99" s="503"/>
    </row>
    <row r="100" spans="1:17" s="470" customFormat="1" ht="15" thickTop="1">
      <c r="A100" s="592"/>
      <c r="B100" s="537" t="s">
        <v>2600</v>
      </c>
      <c r="C100" s="553"/>
      <c r="D100" s="553"/>
      <c r="E100" s="553"/>
      <c r="F100" s="553"/>
      <c r="G100" s="553"/>
      <c r="H100" s="582"/>
      <c r="I100" s="582"/>
      <c r="J100" s="582"/>
      <c r="K100" s="583"/>
      <c r="L100" s="584"/>
      <c r="M100" s="585"/>
      <c r="N100" s="1136"/>
      <c r="O100" s="1136"/>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6"/>
      <c r="O101" s="1136"/>
      <c r="P101" s="557"/>
      <c r="Q101" s="558"/>
    </row>
    <row r="102" spans="1:17" ht="15" thickTop="1">
      <c r="A102" s="598"/>
      <c r="B102" s="537" t="s">
        <v>2601</v>
      </c>
      <c r="C102" s="553"/>
      <c r="D102" s="553"/>
      <c r="E102" s="553"/>
      <c r="F102" s="553"/>
      <c r="G102" s="553"/>
      <c r="H102" s="582"/>
      <c r="I102" s="582"/>
      <c r="J102" s="582"/>
      <c r="K102" s="583"/>
      <c r="L102" s="584"/>
      <c r="M102" s="585"/>
      <c r="N102" s="1134"/>
      <c r="O102" s="1134"/>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5"/>
      <c r="O103" s="1135"/>
      <c r="P103" s="45"/>
      <c r="Q103" s="503"/>
    </row>
    <row r="104" spans="1:17" ht="15" thickTop="1">
      <c r="A104" s="598"/>
      <c r="B104" s="537" t="s">
        <v>2603</v>
      </c>
      <c r="C104" s="553"/>
      <c r="D104" s="553"/>
      <c r="E104" s="553"/>
      <c r="F104" s="553"/>
      <c r="G104" s="553"/>
      <c r="H104" s="582"/>
      <c r="I104" s="582"/>
      <c r="J104" s="582"/>
      <c r="K104" s="583"/>
      <c r="L104" s="584"/>
      <c r="M104" s="585"/>
      <c r="N104" s="1134"/>
      <c r="O104" s="1134"/>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35"/>
      <c r="O105" s="1135"/>
      <c r="P105" s="45"/>
      <c r="Q105" s="503"/>
    </row>
    <row r="106" spans="1:17" ht="29.4" thickTop="1">
      <c r="A106" s="598"/>
      <c r="B106" s="635" t="s">
        <v>2689</v>
      </c>
      <c r="C106" s="577" t="s">
        <v>2580</v>
      </c>
      <c r="D106" s="577" t="s">
        <v>2581</v>
      </c>
      <c r="E106" s="577" t="s">
        <v>2582</v>
      </c>
      <c r="F106" s="577" t="s">
        <v>2583</v>
      </c>
      <c r="G106" s="577" t="s">
        <v>2584</v>
      </c>
      <c r="H106" s="538"/>
      <c r="I106" s="538"/>
      <c r="J106" s="538"/>
      <c r="K106" s="539"/>
      <c r="L106" s="540"/>
      <c r="M106" s="541"/>
      <c r="N106" s="1135"/>
      <c r="O106" s="1135"/>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5"/>
      <c r="O107" s="1135"/>
      <c r="P107" s="45"/>
      <c r="Q107" s="503"/>
    </row>
    <row r="108" spans="1:17" s="470" customFormat="1" ht="14.4" thickTop="1">
      <c r="A108" s="592"/>
      <c r="B108" s="537">
        <f>B38</f>
        <v>111</v>
      </c>
      <c r="C108" s="553"/>
      <c r="D108" s="553"/>
      <c r="E108" s="553"/>
      <c r="F108" s="553"/>
      <c r="G108" s="553"/>
      <c r="H108" s="554"/>
      <c r="I108" s="554"/>
      <c r="J108" s="554"/>
      <c r="K108" s="554"/>
      <c r="L108" s="555"/>
      <c r="M108" s="556"/>
      <c r="N108" s="1136"/>
      <c r="O108" s="1136"/>
      <c r="P108" s="557"/>
      <c r="Q108" s="558"/>
    </row>
    <row r="109" spans="1:17" s="470" customFormat="1" ht="14.4" thickBot="1">
      <c r="A109" s="552"/>
      <c r="B109" s="534"/>
      <c r="C109" s="559"/>
      <c r="D109" s="535"/>
      <c r="E109" s="535"/>
      <c r="F109" s="535"/>
      <c r="G109" s="559"/>
      <c r="H109" s="561"/>
      <c r="I109" s="561"/>
      <c r="J109" s="561"/>
      <c r="K109" s="561"/>
      <c r="L109" s="561"/>
      <c r="M109" s="562"/>
      <c r="N109" s="1136"/>
      <c r="O109" s="1136"/>
      <c r="P109" s="557"/>
      <c r="Q109" s="558"/>
    </row>
    <row r="110" spans="1:17" ht="14.4" thickTop="1">
      <c r="A110" s="598"/>
      <c r="B110" s="537">
        <f>B39</f>
        <v>111</v>
      </c>
      <c r="C110" s="553"/>
      <c r="D110" s="553"/>
      <c r="E110" s="553"/>
      <c r="F110" s="553"/>
      <c r="G110" s="553"/>
      <c r="H110" s="554"/>
      <c r="I110" s="554"/>
      <c r="J110" s="554"/>
      <c r="K110" s="554"/>
      <c r="L110" s="555"/>
      <c r="M110" s="556"/>
      <c r="N110" s="1134"/>
      <c r="O110" s="1134"/>
      <c r="P110" s="45"/>
      <c r="Q110" s="503"/>
    </row>
    <row r="111" spans="1:17" ht="14.4" thickBot="1">
      <c r="A111" s="533"/>
      <c r="B111" s="542"/>
      <c r="C111" s="559"/>
      <c r="D111" s="535"/>
      <c r="E111" s="535"/>
      <c r="F111" s="535"/>
      <c r="G111" s="559"/>
      <c r="H111" s="561"/>
      <c r="I111" s="561"/>
      <c r="J111" s="561"/>
      <c r="K111" s="561"/>
      <c r="L111" s="561"/>
      <c r="M111" s="562"/>
      <c r="N111" s="1135"/>
      <c r="O111" s="1135"/>
      <c r="P111" s="45"/>
      <c r="Q111" s="503"/>
    </row>
    <row r="112" spans="1:17" ht="14.4" thickTop="1">
      <c r="A112" s="598"/>
      <c r="B112" s="545">
        <f>B40</f>
        <v>111</v>
      </c>
      <c r="C112" s="522"/>
      <c r="D112" s="522"/>
      <c r="E112" s="522"/>
      <c r="F112" s="522"/>
      <c r="G112" s="586"/>
      <c r="H112" s="586"/>
      <c r="I112" s="586"/>
      <c r="J112" s="586"/>
      <c r="K112" s="522"/>
      <c r="L112" s="523"/>
      <c r="M112" s="589"/>
      <c r="N112" s="1134"/>
      <c r="O112" s="1134"/>
      <c r="P112" s="45"/>
      <c r="Q112" s="503"/>
    </row>
    <row r="113" spans="1:17" ht="14.4" thickBot="1">
      <c r="A113" s="2606"/>
      <c r="B113" s="568"/>
      <c r="C113" s="569"/>
      <c r="D113" s="569"/>
      <c r="E113" s="569"/>
      <c r="F113" s="569"/>
      <c r="G113" s="590"/>
      <c r="H113" s="590"/>
      <c r="I113" s="590"/>
      <c r="J113" s="590"/>
      <c r="K113" s="590"/>
      <c r="L113" s="590"/>
      <c r="M113" s="591"/>
      <c r="N113" s="1135"/>
      <c r="O113" s="113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E20 I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7" customWidth="1"/>
    <col min="2" max="2" width="37.21875" style="1937" customWidth="1"/>
    <col min="3" max="3" width="11.33203125" style="1937" customWidth="1"/>
    <col min="4" max="4" width="31.77734375" style="1937" customWidth="1"/>
    <col min="5" max="5" width="0.44140625" style="1937" customWidth="1"/>
    <col min="6" max="7" width="13" style="1937" customWidth="1"/>
    <col min="8" max="16384" width="9" style="1937"/>
  </cols>
  <sheetData>
    <row r="1" spans="1:5" ht="17.399999999999999">
      <c r="A1" s="1935" t="s">
        <v>1605</v>
      </c>
      <c r="B1" s="1936"/>
      <c r="C1" s="1936"/>
      <c r="D1" s="1936"/>
      <c r="E1" s="1936"/>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8"/>
      <c r="C2" s="3448"/>
      <c r="D2" s="3448"/>
      <c r="E2" s="3448"/>
    </row>
    <row r="3" spans="1:5" ht="17.399999999999999">
      <c r="A3" s="3449" t="str">
        <f>IF(项目基本情况!B9="房地产市场价值","估价结果一览表（市场价值不需“结果表-1”）","估价结果一览表")</f>
        <v>估价结果一览表（市场价值不需“结果表-1”）</v>
      </c>
      <c r="B3" s="3449"/>
      <c r="C3" s="3449"/>
      <c r="D3" s="3449"/>
      <c r="E3" s="3449"/>
    </row>
    <row r="4" spans="1:5" ht="18" thickBot="1">
      <c r="A4" s="1938"/>
      <c r="B4" s="3447" t="s">
        <v>1614</v>
      </c>
      <c r="C4" s="3447"/>
      <c r="D4" s="3447"/>
      <c r="E4" s="1938"/>
    </row>
    <row r="5" spans="1:5" ht="16.2" thickTop="1">
      <c r="A5" s="1936"/>
      <c r="B5" s="3445" t="s">
        <v>1606</v>
      </c>
      <c r="C5" s="1939" t="s">
        <v>1607</v>
      </c>
      <c r="D5" s="1029">
        <f ca="1">结果表商!H101</f>
        <v>53174</v>
      </c>
      <c r="E5" s="1936"/>
    </row>
    <row r="6" spans="1:5" ht="15.6">
      <c r="A6" s="1936"/>
      <c r="B6" s="3445"/>
      <c r="C6" s="1939" t="s">
        <v>1608</v>
      </c>
      <c r="D6" s="1029" t="str">
        <f ca="1">NUMBERSTRING(INT(D5*10000),2)&amp;"元整"</f>
        <v>伍亿叁仟壹佰柒拾肆万元整</v>
      </c>
      <c r="E6" s="1936"/>
    </row>
    <row r="7" spans="1:5" ht="15.6">
      <c r="A7" s="1936"/>
      <c r="B7" s="3450"/>
      <c r="C7" s="1940" t="s">
        <v>1609</v>
      </c>
      <c r="D7" s="1030">
        <f ca="1">结果表商!H102</f>
        <v>53421</v>
      </c>
      <c r="E7" s="1936"/>
    </row>
    <row r="8" spans="1:5" ht="15.6">
      <c r="A8" s="1936"/>
      <c r="B8" s="3451" t="str">
        <f>结果表商!E103</f>
        <v>2.估价师知悉的法定优先受偿款</v>
      </c>
      <c r="C8" s="1941" t="s">
        <v>1610</v>
      </c>
      <c r="D8" s="1030">
        <f>结果表商!H103</f>
        <v>0</v>
      </c>
      <c r="E8" s="1936"/>
    </row>
    <row r="9" spans="1:5" ht="15.6">
      <c r="A9" s="1936"/>
      <c r="B9" s="3453"/>
      <c r="C9" s="1939" t="s">
        <v>1608</v>
      </c>
      <c r="D9" s="1029" t="str">
        <f>NUMBERSTRING(INT(D8*10000),2)&amp;"元整"</f>
        <v>零元整</v>
      </c>
      <c r="E9" s="1936"/>
    </row>
    <row r="10" spans="1:5" ht="15.6">
      <c r="A10" s="1936"/>
      <c r="B10" s="1942" t="s">
        <v>1613</v>
      </c>
      <c r="C10" s="1943" t="s">
        <v>1611</v>
      </c>
      <c r="D10" s="1031">
        <f>结果表商!H104</f>
        <v>0</v>
      </c>
      <c r="E10" s="1936"/>
    </row>
    <row r="11" spans="1:5" ht="15.6">
      <c r="A11" s="1936"/>
      <c r="B11" s="1942" t="s">
        <v>1615</v>
      </c>
      <c r="C11" s="1943" t="s">
        <v>1616</v>
      </c>
      <c r="D11" s="1031">
        <f>结果表商!H105</f>
        <v>0</v>
      </c>
      <c r="E11" s="1936"/>
    </row>
    <row r="12" spans="1:5" ht="15.6">
      <c r="A12" s="1936"/>
      <c r="B12" s="1942" t="s">
        <v>1617</v>
      </c>
      <c r="C12" s="1943" t="s">
        <v>1616</v>
      </c>
      <c r="D12" s="1031">
        <f>结果表商!H106</f>
        <v>0</v>
      </c>
      <c r="E12" s="1936"/>
    </row>
    <row r="13" spans="1:5" ht="15.6">
      <c r="A13" s="1936"/>
      <c r="B13" s="3444" t="str">
        <f>结果表商!E107</f>
        <v>3.房地产抵押价值</v>
      </c>
      <c r="C13" s="1944" t="s">
        <v>1607</v>
      </c>
      <c r="D13" s="1032">
        <f ca="1">结果表商!H107</f>
        <v>53174</v>
      </c>
      <c r="E13" s="1936"/>
    </row>
    <row r="14" spans="1:5" ht="15.6">
      <c r="A14" s="1936"/>
      <c r="B14" s="3445"/>
      <c r="C14" s="1939" t="s">
        <v>1608</v>
      </c>
      <c r="D14" s="1029" t="str">
        <f ca="1">NUMBERSTRING(INT(D13*10000),2)&amp;"元整"</f>
        <v>伍亿叁仟壹佰柒拾肆万元整</v>
      </c>
      <c r="E14" s="1936"/>
    </row>
    <row r="15" spans="1:5" ht="15.6">
      <c r="A15" s="1936"/>
      <c r="B15" s="3450"/>
      <c r="C15" s="1940" t="s">
        <v>1618</v>
      </c>
      <c r="D15" s="1041">
        <f ca="1">结果表商!H108</f>
        <v>3195</v>
      </c>
      <c r="E15" s="1936"/>
    </row>
    <row r="16" spans="1:5" ht="15.6">
      <c r="A16" s="1936"/>
      <c r="B16" s="3451" t="str">
        <f>结果表商!E109</f>
        <v>——</v>
      </c>
      <c r="C16" s="1944" t="s">
        <v>1619</v>
      </c>
      <c r="D16" s="1945" t="str">
        <f>结果表商!H109</f>
        <v>——</v>
      </c>
      <c r="E16" s="1936"/>
    </row>
    <row r="17" spans="1:5" ht="15.6">
      <c r="A17" s="1936"/>
      <c r="B17" s="3452"/>
      <c r="C17" s="1939" t="s">
        <v>1620</v>
      </c>
      <c r="D17" s="1029" t="e">
        <f>NUMBERSTRING(INT(D16*10000),2)&amp;"元整"</f>
        <v>#VALUE!</v>
      </c>
      <c r="E17" s="1936"/>
    </row>
    <row r="18" spans="1:5" ht="15.6">
      <c r="A18" s="1936"/>
      <c r="B18" s="3453"/>
      <c r="C18" s="1940" t="s">
        <v>1609</v>
      </c>
      <c r="D18" s="1041" t="str">
        <f>结果表商!H110</f>
        <v>——</v>
      </c>
      <c r="E18" s="1936"/>
    </row>
    <row r="19" spans="1:5" ht="15.6">
      <c r="A19" s="1936"/>
      <c r="B19" s="3444" t="str">
        <f>结果表商!E111</f>
        <v>——</v>
      </c>
      <c r="C19" s="1944" t="s">
        <v>1607</v>
      </c>
      <c r="D19" s="1030" t="str">
        <f>结果表商!H111</f>
        <v>——</v>
      </c>
      <c r="E19" s="1936"/>
    </row>
    <row r="20" spans="1:5" ht="15.6">
      <c r="A20" s="1936"/>
      <c r="B20" s="3445"/>
      <c r="C20" s="1939" t="s">
        <v>1620</v>
      </c>
      <c r="D20" s="1029" t="e">
        <f>NUMBERSTRING(INT(D19*10000),2)&amp;"元整"</f>
        <v>#VALUE!</v>
      </c>
      <c r="E20" s="1936"/>
    </row>
    <row r="21" spans="1:5" ht="16.2" thickBot="1">
      <c r="A21" s="1936"/>
      <c r="B21" s="3446"/>
      <c r="C21" s="1946" t="s">
        <v>1618</v>
      </c>
      <c r="D21" s="1042" t="str">
        <f>结果表商!H112</f>
        <v>——</v>
      </c>
      <c r="E21" s="1936"/>
    </row>
    <row r="22" spans="1:5" ht="14.4" thickTop="1">
      <c r="A22" s="1936"/>
      <c r="B22" s="1947" t="s">
        <v>1621</v>
      </c>
      <c r="C22" s="1936"/>
      <c r="D22" s="1936"/>
      <c r="E22" s="1936"/>
    </row>
    <row r="23" spans="1:5">
      <c r="A23" s="1936"/>
      <c r="B23" s="1936"/>
      <c r="C23" s="1936"/>
      <c r="D23" s="1936"/>
      <c r="E23" s="1936"/>
    </row>
    <row r="24" spans="1:5" ht="17.399999999999999">
      <c r="A24" s="1948"/>
      <c r="B24" s="1949" t="s">
        <v>1612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F13"/>
  <sheetViews>
    <sheetView workbookViewId="0">
      <selection activeCell="L7" sqref="L7"/>
    </sheetView>
  </sheetViews>
  <sheetFormatPr defaultColWidth="9" defaultRowHeight="13.8"/>
  <cols>
    <col min="1" max="1" width="23.6640625" style="1922" customWidth="1"/>
    <col min="2" max="2" width="12" style="1922" customWidth="1"/>
    <col min="3" max="3" width="9" style="1922"/>
    <col min="4" max="4" width="14.109375" style="1922" customWidth="1"/>
    <col min="5" max="5" width="9" style="1922"/>
    <col min="6" max="6" width="12.88671875" style="1922" customWidth="1"/>
    <col min="7" max="16384" width="9" style="1922"/>
  </cols>
  <sheetData>
    <row r="1" spans="1:6" ht="21.6">
      <c r="A1" s="2531" t="s">
        <v>2509</v>
      </c>
      <c r="B1" s="2532"/>
      <c r="C1" s="2532"/>
      <c r="D1" s="2532"/>
      <c r="E1" s="2533"/>
    </row>
    <row r="2" spans="1:6" ht="15.6">
      <c r="A2" s="2534" t="s">
        <v>2310</v>
      </c>
      <c r="B2" s="2535">
        <f ca="1">SUMIF(B6:B13,"&lt;&gt;#ref!",B6:B13)</f>
        <v>240866</v>
      </c>
      <c r="C2" s="2536" t="s">
        <v>2502</v>
      </c>
      <c r="D2" s="2537" t="s">
        <v>2503</v>
      </c>
      <c r="E2" s="2538">
        <f>SUM(E6:E13)</f>
        <v>82700.41</v>
      </c>
    </row>
    <row r="3" spans="1:6" ht="15.6">
      <c r="A3" s="2534" t="s">
        <v>1379</v>
      </c>
      <c r="B3" s="2535">
        <f ca="1">ROUND(B2*10000/E2,0)</f>
        <v>29125</v>
      </c>
      <c r="C3" s="2536" t="s">
        <v>2510</v>
      </c>
      <c r="D3" s="2539"/>
      <c r="E3" s="2540"/>
    </row>
    <row r="4" spans="1:6" ht="15.6">
      <c r="A4" s="2541"/>
      <c r="B4" s="2539"/>
      <c r="C4" s="2539"/>
      <c r="D4" s="2539"/>
      <c r="E4" s="2540"/>
    </row>
    <row r="5" spans="1:6" ht="14.4">
      <c r="A5" s="2542" t="s">
        <v>2504</v>
      </c>
      <c r="B5" s="3698" t="s">
        <v>2505</v>
      </c>
      <c r="C5" s="3698"/>
      <c r="D5" s="2543"/>
      <c r="E5" s="2544" t="s">
        <v>2506</v>
      </c>
      <c r="F5" s="2545" t="s">
        <v>2507</v>
      </c>
    </row>
    <row r="6" spans="1:6" ht="14.4">
      <c r="A6" s="2546" t="str">
        <f>'数据-取费表'!AN6</f>
        <v>收益法商</v>
      </c>
      <c r="B6" s="2545">
        <f>IF(F6="是",'数据-取费表'!AO6,0)</f>
        <v>0</v>
      </c>
      <c r="C6" s="2536" t="s">
        <v>2502</v>
      </c>
      <c r="D6" s="2539"/>
      <c r="E6" s="2547">
        <f>IF(OR(A6=0,F6="否"),0,'数据-取费表'!K6+'数据-取费表'!S6)</f>
        <v>0</v>
      </c>
      <c r="F6" s="2548" t="s">
        <v>3085</v>
      </c>
    </row>
    <row r="7" spans="1:6" ht="14.4">
      <c r="A7" s="2546">
        <f>'数据-取费表'!AN7</f>
        <v>0</v>
      </c>
      <c r="B7" s="2545">
        <f>IF(F7="是",'数据-取费表'!AO7,0)</f>
        <v>0</v>
      </c>
      <c r="C7" s="2536" t="s">
        <v>2502</v>
      </c>
      <c r="D7" s="2539"/>
      <c r="E7" s="2547">
        <f>IF(OR(A7=0,F7="否"),0,'数据-取费表'!K7+'数据-取费表'!S7)</f>
        <v>0</v>
      </c>
      <c r="F7" s="2548" t="s">
        <v>3085</v>
      </c>
    </row>
    <row r="8" spans="1:6" ht="14.4">
      <c r="A8" s="2546" t="str">
        <f>'数据-取费表'!AN8</f>
        <v>收益法办</v>
      </c>
      <c r="B8" s="2545">
        <f ca="1">IF(F8="是",'数据-取费表'!AO8,0)</f>
        <v>240866</v>
      </c>
      <c r="C8" s="2536" t="s">
        <v>2502</v>
      </c>
      <c r="D8" s="2539"/>
      <c r="E8" s="2547">
        <f>IF(OR(A8=0,F8="否"),0,'数据-取费表'!K8+'数据-取费表'!S8)</f>
        <v>82700.41</v>
      </c>
      <c r="F8" s="2548" t="s">
        <v>2508</v>
      </c>
    </row>
    <row r="9" spans="1:6" ht="14.4">
      <c r="A9" s="2546">
        <f>'数据-取费表'!AN9</f>
        <v>0</v>
      </c>
      <c r="B9" s="2545" t="e">
        <f ca="1">IF(F9="是",'数据-取费表'!AO9,0)</f>
        <v>#REF!</v>
      </c>
      <c r="C9" s="2536" t="s">
        <v>2502</v>
      </c>
      <c r="D9" s="2539"/>
      <c r="E9" s="2547">
        <f>IF(OR(A9=0,F9="否"),0,'数据-取费表'!K9+'数据-取费表'!S9)</f>
        <v>0</v>
      </c>
      <c r="F9" s="2548" t="s">
        <v>2508</v>
      </c>
    </row>
    <row r="10" spans="1:6" ht="14.4">
      <c r="A10" s="2546" t="str">
        <f>'数据-取费表'!AN10</f>
        <v>收益法车库</v>
      </c>
      <c r="B10" s="2545">
        <f>IF(F10="是",'数据-取费表'!AO10,0)</f>
        <v>0</v>
      </c>
      <c r="C10" s="2536" t="s">
        <v>2502</v>
      </c>
      <c r="D10" s="2539"/>
      <c r="E10" s="2547">
        <f>IF(OR(A10=0,F10="否"),0,'数据-取费表'!K10+'数据-取费表'!S10)</f>
        <v>0</v>
      </c>
      <c r="F10" s="2548" t="s">
        <v>3085</v>
      </c>
    </row>
    <row r="11" spans="1:6" ht="14.4">
      <c r="A11" s="2546" t="str">
        <f>'数据-取费表'!AN11</f>
        <v>收益法酒店</v>
      </c>
      <c r="B11" s="2545">
        <f>IF(F11="是",'数据-取费表'!AO11,0)</f>
        <v>0</v>
      </c>
      <c r="C11" s="2536" t="s">
        <v>2502</v>
      </c>
      <c r="D11" s="2539"/>
      <c r="E11" s="2547">
        <f>IF(OR(A11=0,F11="否"),0,'数据-取费表'!K11+'数据-取费表'!S11)</f>
        <v>0</v>
      </c>
      <c r="F11" s="2548" t="s">
        <v>3085</v>
      </c>
    </row>
    <row r="12" spans="1:6" ht="14.4">
      <c r="A12" s="2546">
        <f>'数据-取费表'!AN12</f>
        <v>0</v>
      </c>
      <c r="B12" s="2545">
        <f>IF(F12="是",'数据-取费表'!AO12,0)</f>
        <v>0</v>
      </c>
      <c r="C12" s="2536" t="s">
        <v>2502</v>
      </c>
      <c r="D12" s="2539"/>
      <c r="E12" s="2547">
        <f>IF(OR(A12=0,F12="否"),0,'数据-取费表'!K12+'数据-取费表'!S12)</f>
        <v>0</v>
      </c>
      <c r="F12" s="2548" t="s">
        <v>3085</v>
      </c>
    </row>
    <row r="13" spans="1:6" ht="15" thickBot="1">
      <c r="A13" s="2549">
        <f>'数据-取费表'!AN13</f>
        <v>0</v>
      </c>
      <c r="B13" s="2545">
        <f>IF(F13="是",'数据-取费表'!AO13,0)</f>
        <v>0</v>
      </c>
      <c r="C13" s="2550" t="s">
        <v>2502</v>
      </c>
      <c r="D13" s="2551"/>
      <c r="E13" s="2547">
        <f>IF(OR(A13=0,F13="否"),0,'数据-取费表'!K13+'数据-取费表'!S13)</f>
        <v>0</v>
      </c>
      <c r="F13" s="2548" t="s">
        <v>3085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2700-000000000000}">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AI512"/>
  <sheetViews>
    <sheetView view="pageBreakPreview" zoomScaleNormal="100" zoomScaleSheetLayoutView="100" zoomScalePageLayoutView="80" workbookViewId="0">
      <selection activeCell="L4" sqref="L4"/>
    </sheetView>
  </sheetViews>
  <sheetFormatPr defaultColWidth="12.6640625" defaultRowHeight="21.75" customHeight="1"/>
  <cols>
    <col min="1" max="2" width="12.6640625" style="2392"/>
    <col min="3" max="4" width="12.6640625" style="2392" customWidth="1"/>
    <col min="5" max="9" width="12.6640625" style="2392"/>
    <col min="10" max="11" width="12.6640625" style="790" customWidth="1"/>
    <col min="12" max="12" width="12.6640625" style="790"/>
    <col min="13" max="13" width="14.109375" style="790" bestFit="1" customWidth="1"/>
    <col min="14" max="26" width="12.6640625" style="790"/>
    <col min="27" max="35" width="12.6640625" style="2391"/>
    <col min="36" max="16384" width="12.6640625" style="2392"/>
  </cols>
  <sheetData>
    <row r="1" spans="1:12" ht="21.75" customHeight="1" thickBot="1">
      <c r="A1" s="2197" t="s">
        <v>2100</v>
      </c>
      <c r="B1" s="2386"/>
      <c r="C1" s="2387" t="s">
        <v>48</v>
      </c>
      <c r="D1" s="2386"/>
      <c r="E1" s="2386"/>
      <c r="F1" s="2388" t="s">
        <v>2101</v>
      </c>
      <c r="G1" s="2042" t="s">
        <v>3041</v>
      </c>
      <c r="H1" s="2389" t="str">
        <f>IF(G1="现房","——","估价对象范围")</f>
        <v>——</v>
      </c>
      <c r="I1" s="2390"/>
    </row>
    <row r="2" spans="1:12" ht="21.75" customHeight="1" thickBot="1">
      <c r="A2" s="3579" t="str">
        <f>项目基本情况!S2</f>
        <v>四川省成都市青羊区西御街3号、5号房地产</v>
      </c>
      <c r="B2" s="3580"/>
      <c r="C2" s="3580"/>
      <c r="D2" s="3580"/>
      <c r="E2" s="3580"/>
      <c r="F2" s="3580"/>
      <c r="G2" s="3580"/>
      <c r="H2" s="3580"/>
      <c r="I2" s="3581"/>
    </row>
    <row r="3" spans="1:12" ht="13.2">
      <c r="A3" s="3583" t="s">
        <v>2102</v>
      </c>
      <c r="B3" s="3584"/>
      <c r="C3" s="3584"/>
      <c r="D3" s="3584"/>
      <c r="E3" s="3584"/>
      <c r="F3" s="3584"/>
      <c r="G3" s="3584"/>
      <c r="H3" s="3584"/>
      <c r="I3" s="3584"/>
    </row>
    <row r="4" spans="1:12" ht="14.4">
      <c r="A4" s="2393" t="s">
        <v>2103</v>
      </c>
      <c r="B4" s="2394" t="s">
        <v>2104</v>
      </c>
      <c r="C4" s="2395" t="s">
        <v>3367</v>
      </c>
      <c r="D4" s="2395" t="s">
        <v>3364</v>
      </c>
      <c r="E4" s="3576" t="s">
        <v>2105</v>
      </c>
      <c r="F4" s="3577"/>
      <c r="G4" s="3577"/>
      <c r="H4" s="3577"/>
      <c r="I4" s="3585"/>
      <c r="K4" s="2396" t="str">
        <f>IF(ISNUMBER(FIND("比较法",结果表车!C4)),"比较法",IF(ISNUMBER(FIND("成本法",结果表车!C4)),"成本法",IF(ISNUMBER(FIND("假设开发法",结果表车!C4)),"假设开发法",IF(ISNUMBER(FIND("收益法",结果表车!C4)),"收益法","基准地价系数修正法"))))</f>
        <v>比较法</v>
      </c>
      <c r="L4" s="2396"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559" t="s">
        <v>2106</v>
      </c>
      <c r="B5" s="3486">
        <v>25</v>
      </c>
      <c r="C5" s="3562"/>
      <c r="D5" s="3582"/>
      <c r="E5" s="140" t="s">
        <v>2107</v>
      </c>
      <c r="F5" s="2397"/>
      <c r="G5" s="2397"/>
      <c r="H5" s="2397"/>
      <c r="I5" s="1809"/>
    </row>
    <row r="6" spans="1:12" ht="13.2">
      <c r="A6" s="3559"/>
      <c r="B6" s="3486"/>
      <c r="C6" s="3563"/>
      <c r="D6" s="3582"/>
      <c r="E6" s="140" t="s">
        <v>2108</v>
      </c>
      <c r="F6" s="2397"/>
      <c r="G6" s="2397"/>
      <c r="H6" s="2397"/>
      <c r="I6" s="1809"/>
    </row>
    <row r="7" spans="1:12" ht="13.2">
      <c r="A7" s="3559"/>
      <c r="B7" s="3486"/>
      <c r="C7" s="3564"/>
      <c r="D7" s="3582"/>
      <c r="E7" s="140" t="s">
        <v>2109</v>
      </c>
      <c r="F7" s="2397"/>
      <c r="G7" s="2397"/>
      <c r="H7" s="2397"/>
      <c r="I7" s="1809"/>
    </row>
    <row r="8" spans="1:12" ht="13.2">
      <c r="A8" s="3559" t="s">
        <v>2110</v>
      </c>
      <c r="B8" s="3486">
        <v>15</v>
      </c>
      <c r="C8" s="3562"/>
      <c r="D8" s="3582"/>
      <c r="E8" s="140" t="s">
        <v>2111</v>
      </c>
      <c r="F8" s="2397"/>
      <c r="G8" s="2397"/>
      <c r="H8" s="2397"/>
      <c r="I8" s="1809"/>
    </row>
    <row r="9" spans="1:12" ht="13.2">
      <c r="A9" s="3559"/>
      <c r="B9" s="3486"/>
      <c r="C9" s="3564"/>
      <c r="D9" s="3582"/>
      <c r="E9" s="140" t="s">
        <v>2112</v>
      </c>
      <c r="F9" s="2397"/>
      <c r="G9" s="2397"/>
      <c r="H9" s="2397"/>
      <c r="I9" s="1809"/>
    </row>
    <row r="10" spans="1:12" ht="13.2">
      <c r="A10" s="3559" t="s">
        <v>2113</v>
      </c>
      <c r="B10" s="3486">
        <v>15</v>
      </c>
      <c r="C10" s="3562"/>
      <c r="D10" s="3582"/>
      <c r="E10" s="140" t="s">
        <v>2114</v>
      </c>
      <c r="F10" s="2397"/>
      <c r="G10" s="2397"/>
      <c r="H10" s="2397"/>
      <c r="I10" s="1809"/>
    </row>
    <row r="11" spans="1:12" ht="13.2">
      <c r="A11" s="3559"/>
      <c r="B11" s="3486"/>
      <c r="C11" s="3564"/>
      <c r="D11" s="3582"/>
      <c r="E11" s="140" t="s">
        <v>2115</v>
      </c>
      <c r="F11" s="2397"/>
      <c r="G11" s="2397"/>
      <c r="H11" s="2397"/>
      <c r="I11" s="1809"/>
    </row>
    <row r="12" spans="1:12" ht="13.2">
      <c r="A12" s="3559" t="s">
        <v>2116</v>
      </c>
      <c r="B12" s="3486">
        <v>15</v>
      </c>
      <c r="C12" s="3562"/>
      <c r="D12" s="3582"/>
      <c r="E12" s="140" t="s">
        <v>2117</v>
      </c>
      <c r="F12" s="2397"/>
      <c r="G12" s="2397"/>
      <c r="H12" s="2397"/>
      <c r="I12" s="1809"/>
    </row>
    <row r="13" spans="1:12" ht="13.2">
      <c r="A13" s="3559"/>
      <c r="B13" s="3486"/>
      <c r="C13" s="3564"/>
      <c r="D13" s="3582"/>
      <c r="E13" s="140" t="s">
        <v>2118</v>
      </c>
      <c r="F13" s="2397"/>
      <c r="G13" s="2397"/>
      <c r="H13" s="2397"/>
      <c r="I13" s="1809"/>
    </row>
    <row r="14" spans="1:12" ht="13.2">
      <c r="A14" s="3559" t="s">
        <v>2119</v>
      </c>
      <c r="B14" s="3486">
        <v>30</v>
      </c>
      <c r="C14" s="3562">
        <v>7</v>
      </c>
      <c r="D14" s="3582">
        <v>3</v>
      </c>
      <c r="E14" s="140" t="s">
        <v>2120</v>
      </c>
      <c r="F14" s="2397"/>
      <c r="G14" s="2397"/>
      <c r="H14" s="2397"/>
      <c r="I14" s="1809"/>
    </row>
    <row r="15" spans="1:12" ht="13.2">
      <c r="A15" s="3559"/>
      <c r="B15" s="3486"/>
      <c r="C15" s="3563"/>
      <c r="D15" s="3582"/>
      <c r="E15" s="140" t="s">
        <v>2121</v>
      </c>
      <c r="F15" s="2397"/>
      <c r="G15" s="2397"/>
      <c r="H15" s="2397"/>
      <c r="I15" s="1809"/>
    </row>
    <row r="16" spans="1:12" ht="13.2">
      <c r="A16" s="3559"/>
      <c r="B16" s="3486"/>
      <c r="C16" s="3564"/>
      <c r="D16" s="3582"/>
      <c r="E16" s="140" t="s">
        <v>2122</v>
      </c>
      <c r="F16" s="2397"/>
      <c r="G16" s="2397"/>
      <c r="H16" s="2397"/>
      <c r="I16" s="1809"/>
    </row>
    <row r="17" spans="1:35" ht="14.4">
      <c r="A17" s="2398" t="s">
        <v>2123</v>
      </c>
      <c r="B17" s="64"/>
      <c r="C17" s="141">
        <f>SUM(C5:C16)</f>
        <v>7</v>
      </c>
      <c r="D17" s="141">
        <f>SUM(D5:D16)</f>
        <v>3</v>
      </c>
      <c r="E17" s="138"/>
      <c r="F17" s="138"/>
      <c r="G17" s="138"/>
      <c r="H17" s="138"/>
      <c r="I17" s="138"/>
      <c r="K17" s="2396"/>
      <c r="L17" s="2399" t="s">
        <v>2124</v>
      </c>
      <c r="M17" s="2399" t="s">
        <v>2125</v>
      </c>
    </row>
    <row r="18" spans="1:35" ht="15" thickBot="1">
      <c r="A18" s="2400" t="s">
        <v>2126</v>
      </c>
      <c r="B18" s="2401"/>
      <c r="C18" s="142">
        <f>ROUND(C17/SUM(C17:D17),2)</f>
        <v>0.7</v>
      </c>
      <c r="D18" s="142">
        <f>1-C18</f>
        <v>0.30000000000000004</v>
      </c>
      <c r="E18" s="138"/>
      <c r="F18" s="138"/>
      <c r="G18" s="138"/>
      <c r="H18" s="138"/>
      <c r="I18" s="138"/>
      <c r="K18" s="2396" t="s">
        <v>2127</v>
      </c>
      <c r="L18" s="2396">
        <f>IF(C1="",'数据-汇总表'!E3,SUMIF(项目类型,C1,'数据-汇总表'!E17:E26)+SUMIF(项目类型,C1,'数据-汇总表'!I17:I26))</f>
        <v>34155.11</v>
      </c>
      <c r="M18" s="2396">
        <f>IF(C1="",'数据-汇总表'!E3,SUMIF(项目类型,C1,'数据-汇总表'!E17:E26))</f>
        <v>34125.879999999997</v>
      </c>
    </row>
    <row r="19" spans="1:35" ht="14.4">
      <c r="A19" s="2402" t="s">
        <v>2128</v>
      </c>
      <c r="B19" s="2403" t="s">
        <v>2129</v>
      </c>
      <c r="C19" s="143">
        <f ca="1">SUMIF(INDIRECT("'"&amp;C4&amp;"'"&amp;"!A:A"),结果表车!B19,INDIRECT("'"&amp;C4&amp;"'"&amp;"!B:B"))</f>
        <v>20594</v>
      </c>
      <c r="D19" s="144">
        <f ca="1">SUMIF(INDIRECT("'"&amp;D4&amp;"'"&amp;"!A:A"),结果表车!B19,INDIRECT("'"&amp;D4&amp;"'"&amp;"!B:B"))</f>
        <v>6838</v>
      </c>
      <c r="E19" s="2402" t="s">
        <v>2130</v>
      </c>
      <c r="F19" s="2403" t="s">
        <v>2129</v>
      </c>
      <c r="G19" s="145">
        <f ca="1">ROUND(C19*$C$18+D19*$D$18,0)</f>
        <v>16467</v>
      </c>
      <c r="H19" s="2404" t="s">
        <v>2131</v>
      </c>
      <c r="I19" s="138"/>
      <c r="K19" s="2396" t="s">
        <v>2132</v>
      </c>
      <c r="L19" s="2396">
        <f>IF(C1="",'数据-汇总表'!D3,SUMIF(项目类型,C1,'数据-汇总表'!D17:D26)+SUMIF(项目类型,C1,'数据-汇总表'!H17:H27))</f>
        <v>9724.5499999999993</v>
      </c>
      <c r="M19" s="2396">
        <f>IF(C1="",'数据-汇总表'!D3,SUMIF(项目类型,C1,'数据-汇总表'!D17:D26))</f>
        <v>2506.35</v>
      </c>
    </row>
    <row r="20" spans="1:35" ht="14.4">
      <c r="A20" s="2405"/>
      <c r="B20" s="1228" t="s">
        <v>2133</v>
      </c>
      <c r="C20" s="146">
        <f ca="1">SUMIF(INDIRECT("'"&amp;C4&amp;"'"&amp;"!A:A"),结果表车!B20,INDIRECT("'"&amp;C4&amp;"'"&amp;"!B:B"))</f>
        <v>6035</v>
      </c>
      <c r="D20" s="147">
        <f ca="1">SUMIF(INDIRECT("'"&amp;D4&amp;"'"&amp;"!A:A"),结果表车!B20,INDIRECT("'"&amp;D4&amp;"'"&amp;"!B:B"))</f>
        <v>2004</v>
      </c>
      <c r="E20" s="2405"/>
      <c r="F20" s="1228" t="s">
        <v>2133</v>
      </c>
      <c r="G20" s="148">
        <f ca="1">ROUND(C20*$C$18+D20*$D$18,0)</f>
        <v>4826</v>
      </c>
      <c r="H20" s="969" t="s">
        <v>2134</v>
      </c>
      <c r="I20" s="138"/>
    </row>
    <row r="21" spans="1:35" ht="15" customHeight="1" thickBot="1">
      <c r="A21" s="989"/>
      <c r="B21" s="2406" t="s">
        <v>2135</v>
      </c>
      <c r="C21" s="784">
        <f ca="1">ROUND(C19*10000/L19,0)</f>
        <v>21177</v>
      </c>
      <c r="D21" s="785">
        <f ca="1">ROUND(D19*10000/L19,0)</f>
        <v>7032</v>
      </c>
      <c r="E21" s="989"/>
      <c r="F21" s="2406" t="s">
        <v>2135</v>
      </c>
      <c r="G21" s="149">
        <f ca="1">ROUND(G19*10000/L19,0)</f>
        <v>16933</v>
      </c>
      <c r="H21" s="2407" t="s">
        <v>2134</v>
      </c>
      <c r="I21" s="138"/>
    </row>
    <row r="22" spans="1:35" ht="15" thickBot="1">
      <c r="A22" s="2252" t="s">
        <v>2136</v>
      </c>
      <c r="B22" s="2408"/>
      <c r="C22" s="2409"/>
      <c r="D22" s="786">
        <f ca="1">IF(C19&lt;D19,D19/C19-1,C19/D19-1)</f>
        <v>2.0116993272886807</v>
      </c>
      <c r="E22" s="138"/>
      <c r="F22" s="138"/>
      <c r="G22" s="138"/>
      <c r="H22" s="138"/>
      <c r="I22" s="138"/>
    </row>
    <row r="23" spans="1:35" ht="13.8" thickBot="1">
      <c r="A23" s="2386"/>
      <c r="B23" s="2386"/>
      <c r="C23" s="2386"/>
      <c r="D23" s="2386"/>
      <c r="E23" s="138"/>
      <c r="F23" s="138"/>
      <c r="G23" s="138"/>
      <c r="H23" s="138"/>
      <c r="I23" s="138"/>
      <c r="K23" s="790">
        <f ca="1">G19/650</f>
        <v>25.333846153846153</v>
      </c>
    </row>
    <row r="24" spans="1:35" ht="14.4">
      <c r="A24" s="3553" t="s">
        <v>2137</v>
      </c>
      <c r="B24" s="2403" t="s">
        <v>2129</v>
      </c>
      <c r="C24" s="145">
        <f>IF(B30=0,0,D30)</f>
        <v>0</v>
      </c>
      <c r="D24" s="2410"/>
      <c r="E24" s="138"/>
      <c r="F24" s="138"/>
      <c r="G24" s="138"/>
      <c r="H24" s="138"/>
      <c r="I24" s="138"/>
    </row>
    <row r="25" spans="1:35" ht="14.4">
      <c r="A25" s="3554"/>
      <c r="B25" s="1228" t="s">
        <v>2133</v>
      </c>
      <c r="C25" s="150">
        <f>IF(B30=0,0,C30)</f>
        <v>0</v>
      </c>
      <c r="D25" s="2411"/>
      <c r="E25" s="138"/>
      <c r="F25" s="138"/>
      <c r="G25" s="138"/>
      <c r="H25" s="138"/>
      <c r="I25" s="138"/>
    </row>
    <row r="26" spans="1:35" ht="13.5" customHeight="1">
      <c r="A26" s="2412" t="s">
        <v>2138</v>
      </c>
      <c r="B26" s="151" t="s">
        <v>2139</v>
      </c>
      <c r="C26" s="151" t="s">
        <v>2140</v>
      </c>
      <c r="D26" s="152" t="s">
        <v>2141</v>
      </c>
      <c r="E26" s="138"/>
      <c r="F26" s="138"/>
      <c r="G26" s="138"/>
      <c r="H26" s="138"/>
      <c r="I26" s="138"/>
    </row>
    <row r="27" spans="1:35" ht="13.8">
      <c r="A27" s="2412"/>
      <c r="B27" s="151">
        <v>0</v>
      </c>
      <c r="C27" s="151">
        <v>0</v>
      </c>
      <c r="D27" s="152">
        <f>ROUND(C27*B27/10000,0)</f>
        <v>0</v>
      </c>
      <c r="E27" s="138"/>
      <c r="F27" s="138"/>
      <c r="G27" s="138"/>
      <c r="H27" s="138"/>
      <c r="I27" s="138"/>
    </row>
    <row r="28" spans="1:35" ht="13.8">
      <c r="A28" s="2412"/>
      <c r="B28" s="151"/>
      <c r="C28" s="151"/>
      <c r="D28" s="152"/>
      <c r="E28" s="138"/>
      <c r="F28" s="138"/>
      <c r="G28" s="138"/>
      <c r="H28" s="138"/>
      <c r="I28" s="138"/>
    </row>
    <row r="29" spans="1:35" ht="13.8">
      <c r="A29" s="2412"/>
      <c r="B29" s="151"/>
      <c r="C29" s="151"/>
      <c r="D29" s="152"/>
      <c r="E29" s="138"/>
      <c r="F29" s="138"/>
      <c r="G29" s="138"/>
      <c r="H29" s="138"/>
      <c r="I29" s="138"/>
    </row>
    <row r="30" spans="1:35" ht="14.4">
      <c r="A30" s="151" t="s">
        <v>2142</v>
      </c>
      <c r="B30" s="151"/>
      <c r="C30" s="151"/>
      <c r="D30" s="151"/>
      <c r="E30" s="2883" t="s">
        <v>3003</v>
      </c>
      <c r="F30" s="138"/>
      <c r="G30" s="138"/>
      <c r="H30" s="138"/>
      <c r="I30" s="138"/>
    </row>
    <row r="31" spans="1:35" s="2414" customFormat="1" ht="14.4" thickBot="1">
      <c r="A31" s="2413"/>
      <c r="B31" s="2413"/>
      <c r="C31" s="2413"/>
      <c r="D31" s="2413"/>
      <c r="E31" s="138"/>
      <c r="F31" s="138"/>
      <c r="G31" s="138"/>
      <c r="H31" s="138"/>
      <c r="I31" s="138"/>
      <c r="J31" s="790"/>
      <c r="K31" s="790"/>
      <c r="L31" s="790"/>
      <c r="M31" s="790"/>
      <c r="N31" s="790"/>
      <c r="O31" s="790"/>
      <c r="P31" s="790"/>
      <c r="Q31" s="790"/>
      <c r="R31" s="790"/>
      <c r="S31" s="790"/>
      <c r="T31" s="790"/>
      <c r="U31" s="790"/>
      <c r="V31" s="790"/>
      <c r="W31" s="790"/>
      <c r="X31" s="790"/>
      <c r="Y31" s="790"/>
      <c r="Z31" s="790"/>
      <c r="AA31" s="2391"/>
      <c r="AB31" s="2391"/>
      <c r="AC31" s="2391"/>
      <c r="AD31" s="2391"/>
      <c r="AE31" s="2391"/>
      <c r="AF31" s="2391"/>
      <c r="AG31" s="2391"/>
      <c r="AH31" s="2391"/>
      <c r="AI31" s="2391"/>
    </row>
    <row r="32" spans="1:35" ht="15" thickBot="1">
      <c r="A32" s="2415" t="s">
        <v>2143</v>
      </c>
      <c r="B32" s="2416"/>
      <c r="C32" s="153">
        <f ca="1">IF(D32="总价",G19-C24,G20-C25)</f>
        <v>16467</v>
      </c>
      <c r="D32" s="2417" t="s">
        <v>2144</v>
      </c>
      <c r="E32" s="138"/>
      <c r="F32" s="138"/>
      <c r="G32" s="138"/>
      <c r="H32" s="138"/>
      <c r="I32" s="138"/>
    </row>
    <row r="33" spans="1:15" ht="14.4">
      <c r="A33" s="946" t="s">
        <v>2145</v>
      </c>
      <c r="B33" s="2418"/>
      <c r="C33" s="2419" t="s">
        <v>3379</v>
      </c>
      <c r="D33" s="2420" t="s">
        <v>3364</v>
      </c>
      <c r="E33" s="2421" t="s">
        <v>2146</v>
      </c>
      <c r="F33" s="2991" t="str">
        <f>IF(D32="楼面单价","取值（单价）","取值（总价）")</f>
        <v>取值（总价）</v>
      </c>
      <c r="G33" s="138"/>
      <c r="H33" s="138"/>
      <c r="I33" s="138"/>
    </row>
    <row r="34" spans="1:15" ht="14.4">
      <c r="A34" s="2423"/>
      <c r="B34" s="2424" t="s">
        <v>2147</v>
      </c>
      <c r="C34" s="157">
        <f ca="1">IF(C33="自定义",F34,C32-C35)</f>
        <v>16467</v>
      </c>
      <c r="D34" s="1044">
        <f ca="1">IF(C33="自定义",ROUND(C34/C32,3),IF(C33="收益比率",SUMIF(INDIRECT("'"&amp;D33&amp;"'"&amp;"!b:b"),"土地收益比率",INDIRECT("'"&amp;D33&amp;"'"&amp;"!c:c")),SUMIF(INDIRECT("'"&amp;D33&amp;"'"&amp;"!b:b"),"土地成本比率",INDIRECT("'"&amp;D33&amp;"'"&amp;"!c:c"))))</f>
        <v>1</v>
      </c>
      <c r="E34" s="2425" t="s">
        <v>2148</v>
      </c>
      <c r="F34" s="1715"/>
      <c r="G34" s="138"/>
      <c r="H34" s="138"/>
      <c r="I34" s="138"/>
    </row>
    <row r="35" spans="1:15" ht="15" thickBot="1">
      <c r="A35" s="2426"/>
      <c r="B35" s="2427" t="s">
        <v>2149</v>
      </c>
      <c r="C35" s="1421">
        <f ca="1">IF(C33="自定义",F35,ROUND(C32*D35,0))</f>
        <v>0</v>
      </c>
      <c r="D35" s="1422">
        <f ca="1">IF(C33="自定义",ROUND(C35/C32,3),IF(C33="收益比率",SUMIF(INDIRECT("'"&amp;D33&amp;"'"&amp;"!b:b"),"建筑物收益比率",INDIRECT("'"&amp;D33&amp;"'"&amp;"!c:c")),SUMIF(INDIRECT("'"&amp;D33&amp;"'"&amp;"!b:b"),"建筑物成本比率",INDIRECT("'"&amp;D33&amp;"'"&amp;"!c:c"))))</f>
        <v>0</v>
      </c>
      <c r="E35" s="2428" t="s">
        <v>2150</v>
      </c>
      <c r="F35" s="163"/>
      <c r="G35" s="138"/>
      <c r="H35" s="138"/>
      <c r="I35" s="138"/>
    </row>
    <row r="36" spans="1:15" ht="15" thickBot="1">
      <c r="A36" s="3571" t="s">
        <v>2151</v>
      </c>
      <c r="B36" s="2429" t="s">
        <v>2152</v>
      </c>
      <c r="C36" s="154"/>
      <c r="D36" s="2430"/>
      <c r="E36" s="2431"/>
      <c r="F36" s="2432"/>
      <c r="G36" s="138"/>
      <c r="H36" s="138"/>
      <c r="I36" s="138"/>
    </row>
    <row r="37" spans="1:15" ht="15" thickBot="1">
      <c r="A37" s="3572"/>
      <c r="B37" s="2238" t="s">
        <v>2153</v>
      </c>
      <c r="C37" s="156"/>
      <c r="D37" s="1372"/>
      <c r="E37" s="1372"/>
      <c r="F37" s="2432"/>
      <c r="G37" s="138"/>
      <c r="H37" s="138"/>
      <c r="I37" s="138"/>
    </row>
    <row r="38" spans="1:15" ht="15" thickBot="1">
      <c r="A38" s="3573"/>
      <c r="B38" s="2433" t="s">
        <v>2154</v>
      </c>
      <c r="C38" s="723"/>
      <c r="D38" s="2434" t="s">
        <v>2155</v>
      </c>
      <c r="E38" s="1372"/>
      <c r="F38" s="2432"/>
      <c r="G38" s="138"/>
      <c r="H38" s="138"/>
      <c r="I38" s="138"/>
    </row>
    <row r="39" spans="1:15" ht="14.4">
      <c r="A39" s="2405" t="s">
        <v>2156</v>
      </c>
      <c r="B39" s="2435" t="s">
        <v>2139</v>
      </c>
      <c r="C39" s="2436" t="s">
        <v>2140</v>
      </c>
      <c r="D39" s="2436" t="s">
        <v>2159</v>
      </c>
      <c r="E39" s="2437" t="s">
        <v>2141</v>
      </c>
      <c r="F39" s="2432"/>
      <c r="G39" s="138"/>
      <c r="H39" s="138"/>
      <c r="I39" s="138"/>
    </row>
    <row r="40" spans="1:15" ht="13.8">
      <c r="A40" s="2438" t="s">
        <v>2161</v>
      </c>
      <c r="B40" s="158"/>
      <c r="C40" s="159"/>
      <c r="D40" s="159"/>
      <c r="E40" s="160"/>
      <c r="F40" s="2432"/>
      <c r="G40" s="138"/>
      <c r="H40" s="138"/>
      <c r="I40" s="138"/>
    </row>
    <row r="41" spans="1:15" ht="13.8">
      <c r="A41" s="2438" t="s">
        <v>2162</v>
      </c>
      <c r="B41" s="158"/>
      <c r="C41" s="159"/>
      <c r="D41" s="159"/>
      <c r="E41" s="160"/>
      <c r="F41" s="2432"/>
      <c r="G41" s="138"/>
      <c r="H41" s="138"/>
      <c r="I41" s="138"/>
    </row>
    <row r="42" spans="1:15" ht="14.4" thickBot="1">
      <c r="A42" s="2439"/>
      <c r="B42" s="161"/>
      <c r="C42" s="162"/>
      <c r="D42" s="162"/>
      <c r="E42" s="163"/>
      <c r="F42" s="2432"/>
      <c r="G42" s="138"/>
      <c r="H42" s="138"/>
      <c r="I42" s="138"/>
    </row>
    <row r="43" spans="1:15" ht="13.2">
      <c r="A43" s="2137"/>
      <c r="B43" s="2137"/>
      <c r="C43" s="2137"/>
      <c r="D43" s="2137"/>
      <c r="E43" s="2137"/>
      <c r="F43" s="2440"/>
      <c r="G43" s="2440"/>
      <c r="H43" s="2440"/>
      <c r="I43" s="2441"/>
    </row>
    <row r="44" spans="1:15" ht="17.399999999999999">
      <c r="A44" s="2442" t="s">
        <v>2163</v>
      </c>
      <c r="B44" s="2443"/>
      <c r="C44" s="2443"/>
      <c r="D44" s="2444"/>
      <c r="E44" s="2444"/>
      <c r="F44" s="2445"/>
      <c r="G44" s="2445"/>
      <c r="H44" s="2445"/>
      <c r="I44" s="2445"/>
      <c r="J44" s="2446" t="s">
        <v>2164</v>
      </c>
      <c r="K44" s="2447"/>
      <c r="L44" s="2447"/>
      <c r="M44" s="2447"/>
      <c r="N44" s="2447"/>
      <c r="O44" s="2447"/>
    </row>
    <row r="45" spans="1:15" ht="14.25" customHeight="1" thickBot="1">
      <c r="A45" s="3550" t="s">
        <v>2165</v>
      </c>
      <c r="B45" s="3551"/>
      <c r="C45" s="3552"/>
      <c r="D45" s="164">
        <f ca="1">ROUND(H101*F45,0)</f>
        <v>16467</v>
      </c>
      <c r="E45" s="165" t="s">
        <v>2166</v>
      </c>
      <c r="F45" s="166">
        <v>1</v>
      </c>
      <c r="G45" s="167" t="s">
        <v>2167</v>
      </c>
      <c r="H45" s="138"/>
      <c r="I45" s="138"/>
      <c r="J45" s="3610" t="s">
        <v>2168</v>
      </c>
      <c r="K45" s="3610"/>
      <c r="L45" s="3610"/>
      <c r="M45" s="3610"/>
      <c r="N45" s="3610"/>
      <c r="O45" s="3610"/>
    </row>
    <row r="46" spans="1:15" ht="14.25" customHeight="1">
      <c r="A46" s="3547" t="s">
        <v>2169</v>
      </c>
      <c r="B46" s="3548"/>
      <c r="C46" s="3548"/>
      <c r="D46" s="3548"/>
      <c r="E46" s="3548"/>
      <c r="F46" s="3548"/>
      <c r="G46" s="3549"/>
      <c r="H46" s="2448"/>
      <c r="I46" s="168"/>
      <c r="J46" s="3000">
        <v>1</v>
      </c>
      <c r="K46" s="3610" t="s">
        <v>2170</v>
      </c>
      <c r="L46" s="3610"/>
      <c r="M46" s="3630"/>
      <c r="N46" s="3630"/>
      <c r="O46" s="3630"/>
    </row>
    <row r="47" spans="1:15" ht="12" customHeight="1">
      <c r="A47" s="169" t="s">
        <v>2171</v>
      </c>
      <c r="B47" s="170"/>
      <c r="C47" s="171"/>
      <c r="D47" s="172" t="s">
        <v>2172</v>
      </c>
      <c r="E47" s="24" t="s">
        <v>2173</v>
      </c>
      <c r="F47" s="173" t="s">
        <v>2174</v>
      </c>
      <c r="G47" s="174" t="s">
        <v>2175</v>
      </c>
      <c r="H47" s="2448"/>
      <c r="I47" s="168"/>
      <c r="J47" s="3000">
        <v>2</v>
      </c>
      <c r="K47" s="3610" t="s">
        <v>2176</v>
      </c>
      <c r="L47" s="3610"/>
      <c r="M47" s="3631">
        <f>'数据-取费表'!B2</f>
        <v>43903</v>
      </c>
      <c r="N47" s="3631"/>
      <c r="O47" s="3631"/>
    </row>
    <row r="48" spans="1:15" ht="26.4">
      <c r="A48" s="3578" t="s">
        <v>2177</v>
      </c>
      <c r="B48" s="3561"/>
      <c r="C48" s="3561"/>
      <c r="D48" s="140">
        <f>IF(H48="情况1",0,IF(H48="情况2",D52,IF(H48="情况3",D53,IF(H48="情况4",D54))))</f>
        <v>0</v>
      </c>
      <c r="E48" s="3009" t="str">
        <f>IF(H48="情况4","(销售额-原购置价)×税（费）率","销售额×税（费）率")</f>
        <v>销售额×税（费）率</v>
      </c>
      <c r="F48" s="175" t="str">
        <f>IF(H48="情况1","免征",'数据-取费表'!B41)</f>
        <v>免征</v>
      </c>
      <c r="G48" s="2449" t="s">
        <v>2178</v>
      </c>
      <c r="H48" s="2450" t="s">
        <v>2179</v>
      </c>
      <c r="I48" s="2448"/>
      <c r="J48" s="3000">
        <v>3</v>
      </c>
      <c r="K48" s="3610" t="s">
        <v>2180</v>
      </c>
      <c r="L48" s="3610"/>
      <c r="M48" s="3632">
        <f ca="1">H101</f>
        <v>16467</v>
      </c>
      <c r="N48" s="3632"/>
      <c r="O48" s="3632"/>
    </row>
    <row r="49" spans="1:35" ht="25.5" customHeight="1">
      <c r="A49" s="176" t="s">
        <v>2181</v>
      </c>
      <c r="B49" s="3546" t="s">
        <v>2182</v>
      </c>
      <c r="C49" s="3546"/>
      <c r="D49" s="177">
        <v>0</v>
      </c>
      <c r="E49" s="23" t="s">
        <v>2183</v>
      </c>
      <c r="F49" s="28" t="s">
        <v>34</v>
      </c>
      <c r="G49" s="3616"/>
      <c r="H49" s="138"/>
      <c r="I49" s="2451"/>
      <c r="J49" s="3000">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178"/>
      <c r="B50" s="3546" t="s">
        <v>2184</v>
      </c>
      <c r="C50" s="3546"/>
      <c r="D50" s="179"/>
      <c r="E50" s="31"/>
      <c r="F50" s="180"/>
      <c r="G50" s="3617"/>
      <c r="H50" s="138"/>
      <c r="I50" s="2451"/>
      <c r="J50" s="3610" t="s">
        <v>2185</v>
      </c>
      <c r="K50" s="3610"/>
      <c r="L50" s="3610"/>
      <c r="M50" s="3610"/>
      <c r="N50" s="3610"/>
      <c r="O50" s="3610"/>
    </row>
    <row r="51" spans="1:35" ht="12" customHeight="1">
      <c r="A51" s="181"/>
      <c r="B51" s="3546" t="s">
        <v>2186</v>
      </c>
      <c r="C51" s="3546"/>
      <c r="D51" s="182"/>
      <c r="E51" s="30"/>
      <c r="F51" s="180"/>
      <c r="G51" s="3618"/>
      <c r="H51" s="138"/>
      <c r="I51" s="2451"/>
      <c r="J51" s="2993" t="s">
        <v>2187</v>
      </c>
      <c r="K51" s="3610" t="s">
        <v>2188</v>
      </c>
      <c r="L51" s="3610"/>
      <c r="M51" s="2993" t="s">
        <v>2189</v>
      </c>
      <c r="N51" s="2993" t="s">
        <v>2190</v>
      </c>
      <c r="O51" s="2993" t="s">
        <v>2191</v>
      </c>
    </row>
    <row r="52" spans="1:35" ht="24" customHeight="1">
      <c r="A52" s="183" t="s">
        <v>2192</v>
      </c>
      <c r="B52" s="3546" t="s">
        <v>2193</v>
      </c>
      <c r="C52" s="3546"/>
      <c r="D52" s="182">
        <f ca="1">ROUND(D45*'数据-取费表'!B41/(1+'数据-取费表'!C42),0)</f>
        <v>878</v>
      </c>
      <c r="E52" s="11" t="s">
        <v>2194</v>
      </c>
      <c r="F52" s="184">
        <f>'数据-取费表'!B41</f>
        <v>5.6000000000000001E-2</v>
      </c>
      <c r="G52" s="2453"/>
      <c r="H52" s="138"/>
      <c r="I52" s="2451"/>
      <c r="J52" s="3000">
        <v>1</v>
      </c>
      <c r="K52" s="3611" t="s">
        <v>2195</v>
      </c>
      <c r="L52" s="3611"/>
      <c r="M52" s="1730">
        <f>D48</f>
        <v>0</v>
      </c>
      <c r="N52" s="3000" t="str">
        <f>E48</f>
        <v>销售额×税（费）率</v>
      </c>
      <c r="O52" s="1731" t="str">
        <f>F48</f>
        <v>免征</v>
      </c>
    </row>
    <row r="53" spans="1:35" ht="12" customHeight="1">
      <c r="A53" s="183" t="s">
        <v>2196</v>
      </c>
      <c r="B53" s="3569" t="s">
        <v>2197</v>
      </c>
      <c r="C53" s="3570"/>
      <c r="D53" s="182">
        <f ca="1">ROUND(D45*'数据-取费表'!B41/(1+'数据-取费表'!C42),0)</f>
        <v>878</v>
      </c>
      <c r="E53" s="11" t="s">
        <v>2194</v>
      </c>
      <c r="F53" s="184">
        <f>'数据-取费表'!B41</f>
        <v>5.6000000000000001E-2</v>
      </c>
      <c r="G53" s="2453"/>
      <c r="H53" s="138"/>
      <c r="I53" s="2451"/>
      <c r="J53" s="3000">
        <v>2</v>
      </c>
      <c r="K53" s="3611" t="s">
        <v>2198</v>
      </c>
      <c r="L53" s="3611"/>
      <c r="M53" s="1730">
        <f t="shared" ref="M53:O54" ca="1" si="0">D55</f>
        <v>8</v>
      </c>
      <c r="N53" s="3000" t="str">
        <f t="shared" si="0"/>
        <v>销售额×税（费）率</v>
      </c>
      <c r="O53" s="1731">
        <f t="shared" si="0"/>
        <v>5.0000000000000001E-4</v>
      </c>
    </row>
    <row r="54" spans="1:35" ht="12" customHeight="1">
      <c r="A54" s="183" t="s">
        <v>2199</v>
      </c>
      <c r="B54" s="3569" t="s">
        <v>2200</v>
      </c>
      <c r="C54" s="3570"/>
      <c r="D54" s="182">
        <f ca="1">C68</f>
        <v>878</v>
      </c>
      <c r="E54" s="30" t="s">
        <v>2201</v>
      </c>
      <c r="F54" s="184">
        <f>'数据-取费表'!B41</f>
        <v>5.6000000000000001E-2</v>
      </c>
      <c r="G54" s="2453"/>
      <c r="H54" s="2454"/>
      <c r="I54" s="2451"/>
      <c r="J54" s="3000">
        <v>3</v>
      </c>
      <c r="K54" s="3611" t="s">
        <v>2202</v>
      </c>
      <c r="L54" s="3611"/>
      <c r="M54" s="1730">
        <f t="shared" ca="1" si="0"/>
        <v>9321</v>
      </c>
      <c r="N54" s="3000" t="str">
        <f t="shared" si="0"/>
        <v>增值额×税（费）率</v>
      </c>
      <c r="O54" s="1732" t="str">
        <f t="shared" si="0"/>
        <v>——</v>
      </c>
    </row>
    <row r="55" spans="1:35" ht="24" customHeight="1">
      <c r="A55" s="3560" t="s">
        <v>2203</v>
      </c>
      <c r="B55" s="3561"/>
      <c r="C55" s="3561"/>
      <c r="D55" s="185">
        <f ca="1">IF(H55="个人住宅",0,ROUND(D45*I55,0))</f>
        <v>8</v>
      </c>
      <c r="E55" s="11" t="s">
        <v>2204</v>
      </c>
      <c r="F55" s="184">
        <f>IF(H55="正常",I55,"免征")</f>
        <v>5.0000000000000001E-4</v>
      </c>
      <c r="G55" s="2453"/>
      <c r="H55" s="2450" t="s">
        <v>2205</v>
      </c>
      <c r="I55" s="186">
        <f>'数据-取费表'!B49</f>
        <v>5.0000000000000001E-4</v>
      </c>
      <c r="J55" s="3000" t="str">
        <f>IF(H59="非个人房产","",4)</f>
        <v/>
      </c>
      <c r="K55" s="3611" t="str">
        <f>IF(H59="非个人房产","——","个人所得税")</f>
        <v>——</v>
      </c>
      <c r="L55" s="3611"/>
      <c r="M55" s="1733" t="str">
        <f>D59</f>
        <v>——</v>
      </c>
      <c r="N55" s="3001" t="str">
        <f>E59</f>
        <v>——</v>
      </c>
      <c r="O55" s="1734" t="str">
        <f>F59</f>
        <v>——</v>
      </c>
    </row>
    <row r="56" spans="1:35" ht="25.2">
      <c r="A56" s="3560" t="s">
        <v>2206</v>
      </c>
      <c r="B56" s="3561"/>
      <c r="C56" s="3561"/>
      <c r="D56" s="185">
        <f ca="1">IF(H56="个人住宅",D57,D58)</f>
        <v>9321</v>
      </c>
      <c r="E56" s="11" t="s">
        <v>2207</v>
      </c>
      <c r="F56" s="184" t="str">
        <f>IF(H56="正常",F58,"免征")</f>
        <v>——</v>
      </c>
      <c r="G56" s="2455" t="s">
        <v>2208</v>
      </c>
      <c r="H56" s="2456" t="s">
        <v>2205</v>
      </c>
      <c r="I56" s="2457"/>
      <c r="J56" s="3000" t="str">
        <f>IF(项目基本情况!K6="上海银行",IF(J55="",4,J55+1),"")</f>
        <v/>
      </c>
      <c r="K56" s="3634" t="str">
        <f>IF(项目基本情况!K6="上海银行","其他处置费用","")</f>
        <v/>
      </c>
      <c r="L56" s="3635"/>
      <c r="M56" s="1730" t="str">
        <f>IF(项目基本情况!K6="上海银行",M69,"")</f>
        <v/>
      </c>
      <c r="N56" s="3637" t="str">
        <f>IF(项目基本情况!K6="上海银行","包含处置中涉及的律师、诉讼、拍卖、评估等费用","")</f>
        <v/>
      </c>
      <c r="O56" s="3638"/>
    </row>
    <row r="57" spans="1:35" ht="13.2">
      <c r="A57" s="183" t="s">
        <v>2181</v>
      </c>
      <c r="B57" s="3576" t="s">
        <v>2209</v>
      </c>
      <c r="C57" s="3585"/>
      <c r="D57" s="187">
        <v>0</v>
      </c>
      <c r="E57" s="23" t="s">
        <v>2183</v>
      </c>
      <c r="F57" s="155"/>
      <c r="G57" s="2453"/>
      <c r="H57" s="2457"/>
      <c r="I57" s="2457"/>
      <c r="J57" s="3611">
        <f>IF(AND(J55="",J56=""),4,IF(项目基本情况!K6="上海银行",结果表车!J56+1,结果表车!J55+1))</f>
        <v>4</v>
      </c>
      <c r="K57" s="3611" t="s">
        <v>2210</v>
      </c>
      <c r="L57" s="2458" t="s">
        <v>2211</v>
      </c>
      <c r="M57" s="1735"/>
      <c r="N57" s="1736">
        <f ca="1">SUMIF(M52:M56,"&lt;9e307")</f>
        <v>9329</v>
      </c>
      <c r="O57" s="2459"/>
      <c r="P57" s="1729" t="e">
        <f ca="1">N57/M49</f>
        <v>#VALUE!</v>
      </c>
    </row>
    <row r="58" spans="1:35" ht="25.2">
      <c r="A58" s="183" t="s">
        <v>2192</v>
      </c>
      <c r="B58" s="3576" t="s">
        <v>2212</v>
      </c>
      <c r="C58" s="3577"/>
      <c r="D58" s="185">
        <f ca="1">IF(H58="转让取得",C81,C97)</f>
        <v>9321</v>
      </c>
      <c r="E58" s="11" t="s">
        <v>2207</v>
      </c>
      <c r="F58" s="24" t="s">
        <v>34</v>
      </c>
      <c r="G58" s="2453"/>
      <c r="H58" s="2456" t="s">
        <v>2213</v>
      </c>
      <c r="I58" s="2457"/>
      <c r="J58" s="3611"/>
      <c r="K58" s="3611"/>
      <c r="L58" s="2458" t="s">
        <v>2214</v>
      </c>
      <c r="M58" s="1737"/>
      <c r="N58" s="2460" t="str">
        <f ca="1">NUMBERSTRING(INT(N57*10000),2)&amp;"元整"</f>
        <v>玖仟叁佰贰拾玖万元整</v>
      </c>
      <c r="O58" s="2461"/>
    </row>
    <row r="59" spans="1:35" ht="24.6" thickBot="1">
      <c r="A59" s="3614" t="s">
        <v>2215</v>
      </c>
      <c r="B59" s="3615"/>
      <c r="C59" s="3615"/>
      <c r="D59" s="188" t="str">
        <f>IF(H59="非个人房产","——",IF(H59="个人住宅",0,ROUND(D45*I59,0)))</f>
        <v>——</v>
      </c>
      <c r="E59" s="189" t="str">
        <f>IF(H59="非个人房产","——","销售额×税（费）率")</f>
        <v>——</v>
      </c>
      <c r="F59" s="190" t="str">
        <f>IF(H59="非个人房产","——",IF(H59="个人住宅","免征",I59))</f>
        <v>——</v>
      </c>
      <c r="G59" s="2462" t="s">
        <v>2208</v>
      </c>
      <c r="H59" s="2456" t="s">
        <v>2216</v>
      </c>
      <c r="I59" s="191">
        <v>0.01</v>
      </c>
      <c r="J59" s="3612">
        <f>J57+1</f>
        <v>5</v>
      </c>
      <c r="K59" s="3611" t="s">
        <v>2217</v>
      </c>
      <c r="L59" s="3000" t="s">
        <v>2211</v>
      </c>
      <c r="M59" s="1738"/>
      <c r="N59" s="1739" t="e">
        <f ca="1">M49-N57</f>
        <v>#VALUE!</v>
      </c>
      <c r="O59" s="2463"/>
    </row>
    <row r="60" spans="1:35" ht="12" customHeight="1">
      <c r="A60" s="2464"/>
      <c r="B60" s="2386"/>
      <c r="C60" s="2386"/>
      <c r="D60" s="2386"/>
      <c r="E60" s="2138"/>
      <c r="F60" s="2457"/>
      <c r="G60" s="2457"/>
      <c r="H60" s="2465"/>
      <c r="I60" s="138"/>
      <c r="J60" s="3613"/>
      <c r="K60" s="3611"/>
      <c r="L60" s="2458" t="s">
        <v>2214</v>
      </c>
      <c r="M60" s="1737"/>
      <c r="N60" s="2460" t="e">
        <f ca="1">NUMBERSTRING(INT(N59*10000),2)&amp;"元整"</f>
        <v>#VALUE!</v>
      </c>
      <c r="O60" s="2461"/>
    </row>
    <row r="61" spans="1:35" ht="13.8" thickBot="1">
      <c r="A61" s="3558" t="s">
        <v>2218</v>
      </c>
      <c r="B61" s="3558"/>
      <c r="C61" s="3558"/>
      <c r="D61" s="3558"/>
      <c r="E61" s="3558"/>
      <c r="F61" s="2457"/>
      <c r="G61" s="2457"/>
      <c r="H61" s="2465"/>
      <c r="I61" s="138"/>
      <c r="J61" s="3000">
        <f>J59+1</f>
        <v>6</v>
      </c>
      <c r="K61" s="3611" t="s">
        <v>2219</v>
      </c>
      <c r="L61" s="3611"/>
      <c r="M61" s="1740"/>
      <c r="N61" s="1741" t="e">
        <f ca="1">ROUND(N59*10000/'数据-汇总表'!E3,0)</f>
        <v>#VALUE!</v>
      </c>
      <c r="O61" s="2466"/>
    </row>
    <row r="62" spans="1:35" ht="13.2">
      <c r="A62" s="3574" t="s">
        <v>2220</v>
      </c>
      <c r="B62" s="3575"/>
      <c r="C62" s="3005"/>
      <c r="D62" s="3005" t="s">
        <v>2221</v>
      </c>
      <c r="E62" s="192" t="s">
        <v>2222</v>
      </c>
      <c r="F62" s="2457"/>
      <c r="G62" s="2457"/>
      <c r="H62" s="2465"/>
      <c r="I62" s="138"/>
    </row>
    <row r="63" spans="1:35" ht="13.2">
      <c r="A63" s="203" t="s">
        <v>775</v>
      </c>
      <c r="B63" s="193" t="s">
        <v>2223</v>
      </c>
      <c r="C63" s="194">
        <f ca="1">ROUND((C64+C65)/(1+'数据-取费表'!C42),0)</f>
        <v>15683</v>
      </c>
      <c r="D63" s="195"/>
      <c r="E63" s="196"/>
      <c r="F63" s="2457"/>
      <c r="G63" s="2457"/>
      <c r="H63" s="2465"/>
      <c r="I63" s="138"/>
      <c r="J63" s="3636" t="s">
        <v>2224</v>
      </c>
      <c r="K63" s="2996" t="s">
        <v>2225</v>
      </c>
      <c r="L63" s="1728" t="e">
        <f>IF(M49&gt;10000,M49*0.5%,IF(AND(M49&gt;1000,M49&lt;=10000),M49*1%,IF(AND(M49&gt;100,M49&lt;=1000),M49*3%,IF(AND(M49&gt;10,M49&lt;=100),M49*5%,M49*8%))))</f>
        <v>#VALUE!</v>
      </c>
      <c r="M63" s="24" t="e">
        <f>ROUND(L63,1)</f>
        <v>#VALUE!</v>
      </c>
      <c r="Z63" s="2391"/>
      <c r="AI63" s="2392"/>
    </row>
    <row r="64" spans="1:35" ht="14.25" customHeight="1">
      <c r="A64" s="197" t="s">
        <v>770</v>
      </c>
      <c r="B64" s="198" t="s">
        <v>2226</v>
      </c>
      <c r="C64" s="199">
        <f ca="1">D45</f>
        <v>16467</v>
      </c>
      <c r="D64" s="200" t="s">
        <v>32</v>
      </c>
      <c r="E64" s="201"/>
      <c r="F64" s="2457"/>
      <c r="G64" s="2457"/>
      <c r="H64" s="2465"/>
      <c r="I64" s="138"/>
      <c r="J64" s="3636"/>
      <c r="K64" s="2996" t="s">
        <v>2227</v>
      </c>
      <c r="L64" s="172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2228</v>
      </c>
      <c r="Z64" s="2391"/>
      <c r="AI64" s="2392"/>
    </row>
    <row r="65" spans="1:35" ht="14.25" customHeight="1">
      <c r="A65" s="197" t="s">
        <v>771</v>
      </c>
      <c r="B65" s="198" t="s">
        <v>2229</v>
      </c>
      <c r="C65" s="202"/>
      <c r="D65" s="200"/>
      <c r="E65" s="201"/>
      <c r="F65" s="2457"/>
      <c r="G65" s="2457"/>
      <c r="H65" s="2465"/>
      <c r="I65" s="138"/>
      <c r="J65" s="3636"/>
      <c r="K65" s="2996" t="s">
        <v>2230</v>
      </c>
      <c r="L65" s="1728" t="e">
        <f>IF(M49&gt;1000,M49*0.1%,IF(AND(M49&gt;500,M49&lt;=1000),M49*0.5%,IF(AND(M49&gt;50,M49&lt;=500),M49*1%,IF(AND(M49&gt;1,M49&lt;=50),M49*1.5%))))</f>
        <v>#VALUE!</v>
      </c>
      <c r="M65" s="24" t="e">
        <f t="shared" si="1"/>
        <v>#VALUE!</v>
      </c>
      <c r="N65" s="138" t="s">
        <v>2228</v>
      </c>
      <c r="Z65" s="2391"/>
      <c r="AI65" s="2392"/>
    </row>
    <row r="66" spans="1:35" ht="14.25" customHeight="1">
      <c r="A66" s="203" t="s">
        <v>772</v>
      </c>
      <c r="B66" s="204" t="s">
        <v>2231</v>
      </c>
      <c r="C66" s="205"/>
      <c r="D66" s="206" t="s">
        <v>32</v>
      </c>
      <c r="E66" s="1751" t="s">
        <v>1356</v>
      </c>
      <c r="F66" s="2457"/>
      <c r="G66" s="2457"/>
      <c r="H66" s="2465"/>
      <c r="I66" s="138"/>
      <c r="J66" s="3636"/>
      <c r="K66" s="2996" t="s">
        <v>2232</v>
      </c>
      <c r="L66" s="1728" t="e">
        <f>M49*0.5%</f>
        <v>#VALUE!</v>
      </c>
      <c r="M66" s="24" t="e">
        <f>IF(L66&gt;0.5,0.5,ROUND(L66,0))</f>
        <v>#VALUE!</v>
      </c>
      <c r="N66" s="138" t="s">
        <v>2233</v>
      </c>
      <c r="Z66" s="2391"/>
      <c r="AI66" s="2392"/>
    </row>
    <row r="67" spans="1:35" ht="14.25" customHeight="1">
      <c r="A67" s="203" t="s">
        <v>773</v>
      </c>
      <c r="B67" s="204" t="s">
        <v>2234</v>
      </c>
      <c r="C67" s="207">
        <f ca="1">C63-C66</f>
        <v>15683</v>
      </c>
      <c r="D67" s="200" t="s">
        <v>32</v>
      </c>
      <c r="E67" s="201"/>
      <c r="F67" s="2457"/>
      <c r="G67" s="2457"/>
      <c r="H67" s="2465"/>
      <c r="I67" s="138"/>
      <c r="J67" s="3636"/>
      <c r="K67" s="2996" t="s">
        <v>2235</v>
      </c>
      <c r="L67" s="172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91"/>
      <c r="AI67" s="2392"/>
    </row>
    <row r="68" spans="1:35" ht="14.25" customHeight="1" thickBot="1">
      <c r="A68" s="208" t="s">
        <v>774</v>
      </c>
      <c r="B68" s="209" t="s">
        <v>2236</v>
      </c>
      <c r="C68" s="210">
        <f ca="1">IF(C67&lt;=0,0,ROUND(C67*D68,0))</f>
        <v>878</v>
      </c>
      <c r="D68" s="211">
        <f>'数据-取费表'!B41</f>
        <v>5.6000000000000001E-2</v>
      </c>
      <c r="E68" s="212"/>
      <c r="F68" s="2457"/>
      <c r="G68" s="2457"/>
      <c r="H68" s="2465"/>
      <c r="I68" s="138"/>
      <c r="J68" s="3636"/>
      <c r="K68" s="2996" t="s">
        <v>2237</v>
      </c>
      <c r="L68" s="1728" t="e">
        <f>IF(M49&gt;10000,M49*0.5%,IF(AND(M49&gt;5000,M49&lt;=10000),M49*1%,IF(AND(M49&gt;1000,M49&lt;=5000),M49*2%,IF(AND(M49&gt;200,M49&lt;=1000),M49*3%,M49*5%))))</f>
        <v>#VALUE!</v>
      </c>
      <c r="M68" s="24" t="e">
        <f>ROUND(L68,1)</f>
        <v>#VALUE!</v>
      </c>
      <c r="Z68" s="2391"/>
      <c r="AI68" s="2392"/>
    </row>
    <row r="69" spans="1:35" s="2414" customFormat="1" ht="16.5" customHeight="1">
      <c r="A69" s="2468"/>
      <c r="B69" s="2469"/>
      <c r="C69" s="2470"/>
      <c r="D69" s="2471"/>
      <c r="E69" s="2472"/>
      <c r="F69" s="2138"/>
      <c r="G69" s="2138"/>
      <c r="H69" s="2137"/>
      <c r="I69" s="2386"/>
      <c r="J69" s="3636"/>
      <c r="K69" s="2996" t="s">
        <v>2238</v>
      </c>
      <c r="L69" s="2473"/>
      <c r="M69" s="24" t="e">
        <f>ROUND(SUM(M63:M68),0)</f>
        <v>#VALUE!</v>
      </c>
      <c r="N69" s="1729" t="e">
        <f>M69/M49</f>
        <v>#VALUE!</v>
      </c>
      <c r="O69" s="790"/>
      <c r="P69" s="790"/>
      <c r="Q69" s="790"/>
      <c r="R69" s="790"/>
      <c r="S69" s="790"/>
      <c r="T69" s="790"/>
      <c r="U69" s="790"/>
      <c r="V69" s="790"/>
      <c r="W69" s="790"/>
      <c r="X69" s="790"/>
      <c r="Y69" s="790"/>
      <c r="Z69" s="2391"/>
      <c r="AA69" s="2391"/>
      <c r="AB69" s="2391"/>
      <c r="AC69" s="2391"/>
      <c r="AD69" s="2391"/>
      <c r="AE69" s="2391"/>
      <c r="AF69" s="2391"/>
      <c r="AG69" s="2391"/>
      <c r="AH69" s="2391"/>
    </row>
    <row r="70" spans="1:35" s="2475" customFormat="1" ht="14.4" thickBot="1">
      <c r="A70" s="3595" t="s">
        <v>2239</v>
      </c>
      <c r="B70" s="3596"/>
      <c r="C70" s="3596"/>
      <c r="D70" s="3596"/>
      <c r="E70" s="3596"/>
      <c r="F70" s="3596"/>
      <c r="G70" s="3596"/>
      <c r="H70" s="3596"/>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574" t="s">
        <v>2220</v>
      </c>
      <c r="B71" s="3575"/>
      <c r="C71" s="3005"/>
      <c r="D71" s="3005" t="s">
        <v>2221</v>
      </c>
      <c r="E71" s="213" t="s">
        <v>2222</v>
      </c>
      <c r="F71" s="214"/>
      <c r="G71" s="214"/>
      <c r="H71" s="215"/>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203" t="s">
        <v>775</v>
      </c>
      <c r="B72" s="204" t="s">
        <v>2240</v>
      </c>
      <c r="C72" s="207">
        <f ca="1">ROUND(D45/(1+'数据-取费表'!C42),0)</f>
        <v>15683</v>
      </c>
      <c r="D72" s="200" t="s">
        <v>32</v>
      </c>
      <c r="E72" s="3007"/>
      <c r="F72" s="3006"/>
      <c r="G72" s="3006"/>
      <c r="H72" s="216"/>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203" t="s">
        <v>772</v>
      </c>
      <c r="B73" s="173" t="s">
        <v>2241</v>
      </c>
      <c r="C73" s="207">
        <f ca="1">C74+C78</f>
        <v>94</v>
      </c>
      <c r="D73" s="200" t="s">
        <v>32</v>
      </c>
      <c r="E73" s="3007"/>
      <c r="F73" s="3006"/>
      <c r="G73" s="3006"/>
      <c r="H73" s="216"/>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17" t="s">
        <v>770</v>
      </c>
      <c r="B74" s="198" t="s">
        <v>2242</v>
      </c>
      <c r="C74" s="200">
        <f>ROUND(IF(G77="2016年5月1日后购买",C75/(1+'数据-取费表'!C42)+C76+C77,C75+C76+C77),0)</f>
        <v>0</v>
      </c>
      <c r="D74" s="200" t="s">
        <v>32</v>
      </c>
      <c r="E74" s="3007"/>
      <c r="F74" s="3006"/>
      <c r="G74" s="3006"/>
      <c r="H74" s="216"/>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17" t="s">
        <v>776</v>
      </c>
      <c r="B75" s="198" t="s">
        <v>2243</v>
      </c>
      <c r="C75" s="218"/>
      <c r="D75" s="200" t="s">
        <v>32</v>
      </c>
      <c r="E75" s="219" t="s">
        <v>2244</v>
      </c>
      <c r="F75" s="2479" t="s">
        <v>2245</v>
      </c>
      <c r="G75" s="219" t="s">
        <v>2246</v>
      </c>
      <c r="H75" s="220"/>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17" t="s">
        <v>777</v>
      </c>
      <c r="B76" s="221" t="s">
        <v>2247</v>
      </c>
      <c r="C76" s="200">
        <f>IF(F75="购房发票",ROUND(C75*H75*D76,0),0)</f>
        <v>0</v>
      </c>
      <c r="D76" s="222">
        <v>0.05</v>
      </c>
      <c r="E76" s="3569" t="s">
        <v>2248</v>
      </c>
      <c r="F76" s="3546"/>
      <c r="G76" s="3546"/>
      <c r="H76" s="3594"/>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17" t="s">
        <v>778</v>
      </c>
      <c r="B77" s="198" t="s">
        <v>2249</v>
      </c>
      <c r="C77" s="200">
        <f>ROUND(IF(G77="个人住宅",0,IF(G77="2016年5月1日前购买",C75*D77,C75*D77/(1+'数据-取费表'!C42))),0)</f>
        <v>0</v>
      </c>
      <c r="D77" s="223">
        <f>'数据-取费表'!B48+'数据-取费表'!B49</f>
        <v>3.0499999999999999E-2</v>
      </c>
      <c r="E77" s="2997" t="s">
        <v>2250</v>
      </c>
      <c r="F77" s="224"/>
      <c r="G77" s="2481" t="s">
        <v>2251</v>
      </c>
      <c r="H77" s="3008"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17" t="s">
        <v>771</v>
      </c>
      <c r="B78" s="198" t="s">
        <v>2252</v>
      </c>
      <c r="C78" s="225">
        <f ca="1">ROUND(D45*D78/(1+'数据-取费表'!C42),0)</f>
        <v>94</v>
      </c>
      <c r="D78" s="226">
        <f>'数据-取费表'!B43</f>
        <v>6.000000000000001E-3</v>
      </c>
      <c r="E78" s="3555" t="s">
        <v>2253</v>
      </c>
      <c r="F78" s="3556"/>
      <c r="G78" s="3556"/>
      <c r="H78" s="3565"/>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773</v>
      </c>
      <c r="B79" s="204" t="s">
        <v>2254</v>
      </c>
      <c r="C79" s="207">
        <f ca="1">C72-C73</f>
        <v>15589</v>
      </c>
      <c r="D79" s="200" t="s">
        <v>32</v>
      </c>
      <c r="E79" s="3007"/>
      <c r="F79" s="3006"/>
      <c r="G79" s="3006"/>
      <c r="H79" s="216"/>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204" t="s">
        <v>2255</v>
      </c>
      <c r="C80" s="227">
        <f ca="1">IF(C79&lt;=0,0,C79/C73)</f>
        <v>165.84042553191489</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3006"/>
      <c r="G80" s="3006"/>
      <c r="H80" s="216"/>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209" t="s">
        <v>2256</v>
      </c>
      <c r="C81" s="228">
        <f ca="1">ROUND(IF(C79&lt;=0,0,IF(C80&gt;=200%,C79*60%-C73*35%,IF(C80&gt;=100%,C79*50%-C73*15%,IF(C80&gt;=50%,C79*40%-C73*5%,IF(C80&lt;50%,C79*30%,0))))),0)</f>
        <v>9321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29"/>
      <c r="B82" s="730"/>
      <c r="C82" s="7"/>
      <c r="D82" s="7"/>
      <c r="E82" s="730"/>
      <c r="F82" s="730"/>
      <c r="G82" s="730"/>
      <c r="H82" s="731"/>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595" t="s">
        <v>2257</v>
      </c>
      <c r="B83" s="3596"/>
      <c r="C83" s="3596"/>
      <c r="D83" s="3596"/>
      <c r="E83" s="3596"/>
      <c r="F83" s="3596"/>
      <c r="G83" s="3596"/>
      <c r="H83" s="3596"/>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574" t="s">
        <v>2220</v>
      </c>
      <c r="B84" s="3575"/>
      <c r="C84" s="3005"/>
      <c r="D84" s="3005" t="s">
        <v>2221</v>
      </c>
      <c r="E84" s="213" t="s">
        <v>2222</v>
      </c>
      <c r="F84" s="214"/>
      <c r="G84" s="214"/>
      <c r="H84" s="233"/>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203" t="s">
        <v>775</v>
      </c>
      <c r="B85" s="204" t="s">
        <v>2240</v>
      </c>
      <c r="C85" s="207">
        <f ca="1">ROUND(D45/(1+'数据-取费表'!C42),0)</f>
        <v>15683</v>
      </c>
      <c r="D85" s="200" t="s">
        <v>32</v>
      </c>
      <c r="E85" s="3007"/>
      <c r="F85" s="3006"/>
      <c r="G85" s="3006"/>
      <c r="H85" s="234"/>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203" t="s">
        <v>772</v>
      </c>
      <c r="B86" s="173" t="s">
        <v>2241</v>
      </c>
      <c r="C86" s="207">
        <f ca="1">IF(H88="仅含出让金",C87+C90+C91+C92+C93+C94,C87+C91+C92+C93+C94)</f>
        <v>94</v>
      </c>
      <c r="D86" s="235"/>
      <c r="E86" s="3007"/>
      <c r="F86" s="3006"/>
      <c r="G86" s="3006"/>
      <c r="H86" s="234"/>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17" t="s">
        <v>770</v>
      </c>
      <c r="B87" s="198" t="s">
        <v>2258</v>
      </c>
      <c r="C87" s="225">
        <f>C88+C89</f>
        <v>0</v>
      </c>
      <c r="D87" s="226"/>
      <c r="E87" s="3002"/>
      <c r="F87" s="3003"/>
      <c r="G87" s="3003"/>
      <c r="H87" s="3004"/>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17" t="s">
        <v>776</v>
      </c>
      <c r="B88" s="198" t="s">
        <v>2259</v>
      </c>
      <c r="C88" s="236"/>
      <c r="D88" s="226"/>
      <c r="E88" s="237" t="s">
        <v>2260</v>
      </c>
      <c r="F88" s="3003"/>
      <c r="G88" s="238" t="s">
        <v>2261</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17" t="s">
        <v>777</v>
      </c>
      <c r="B89" s="198" t="s">
        <v>2249</v>
      </c>
      <c r="C89" s="225">
        <f>ROUND(C88*D89,0)</f>
        <v>0</v>
      </c>
      <c r="D89" s="226">
        <f>'数据-取费表'!B48+'数据-取费表'!B49</f>
        <v>3.0499999999999999E-2</v>
      </c>
      <c r="E89" s="237" t="s">
        <v>2262</v>
      </c>
      <c r="F89" s="3003"/>
      <c r="G89" s="3003"/>
      <c r="H89" s="3004"/>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17" t="s">
        <v>771</v>
      </c>
      <c r="B90" s="198" t="s">
        <v>2263</v>
      </c>
      <c r="C90" s="236"/>
      <c r="D90" s="226"/>
      <c r="E90" s="237" t="str">
        <f>IF(H88="-","土地取得成本中已包含该笔费用"," ")</f>
        <v xml:space="preserve"> </v>
      </c>
      <c r="F90" s="3003"/>
      <c r="G90" s="3003"/>
      <c r="H90" s="3004"/>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17" t="s">
        <v>2264</v>
      </c>
      <c r="B91" s="198" t="s">
        <v>2265</v>
      </c>
      <c r="C91" s="225">
        <f>IF(H91="——",成本法商租!C33,I91)</f>
        <v>0</v>
      </c>
      <c r="D91" s="226"/>
      <c r="E91" s="3555" t="s">
        <v>2266</v>
      </c>
      <c r="F91" s="3556"/>
      <c r="G91" s="3556"/>
      <c r="H91" s="2486" t="s">
        <v>2267</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17" t="s">
        <v>2268</v>
      </c>
      <c r="B92" s="198" t="s">
        <v>2269</v>
      </c>
      <c r="C92" s="225">
        <f>ROUND((C87+C90+C91)*D92,0)</f>
        <v>0</v>
      </c>
      <c r="D92" s="226">
        <v>0.1</v>
      </c>
      <c r="E92" s="3555" t="s">
        <v>2270</v>
      </c>
      <c r="F92" s="3556"/>
      <c r="G92" s="3556"/>
      <c r="H92" s="3565"/>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17" t="s">
        <v>2271</v>
      </c>
      <c r="B93" s="198" t="s">
        <v>2252</v>
      </c>
      <c r="C93" s="225">
        <f ca="1">ROUND(D45*D93/(1+'数据-取费表'!C42),0)</f>
        <v>94</v>
      </c>
      <c r="D93" s="226">
        <f>'数据-取费表'!B43</f>
        <v>6.000000000000001E-3</v>
      </c>
      <c r="E93" s="3555" t="s">
        <v>2253</v>
      </c>
      <c r="F93" s="3556"/>
      <c r="G93" s="3556"/>
      <c r="H93" s="3565"/>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17" t="s">
        <v>2272</v>
      </c>
      <c r="B94" s="198" t="s">
        <v>2273</v>
      </c>
      <c r="C94" s="236">
        <f>ROUND((C87+C90+C91)*D94,0)</f>
        <v>0</v>
      </c>
      <c r="D94" s="226">
        <v>0.2</v>
      </c>
      <c r="E94" s="3566" t="s">
        <v>2274</v>
      </c>
      <c r="F94" s="3567"/>
      <c r="G94" s="3567"/>
      <c r="H94" s="3568"/>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773</v>
      </c>
      <c r="B95" s="204" t="s">
        <v>2254</v>
      </c>
      <c r="C95" s="207">
        <f ca="1">ROUND(C85-C86,0)</f>
        <v>15589</v>
      </c>
      <c r="D95" s="200" t="s">
        <v>32</v>
      </c>
      <c r="E95" s="3007"/>
      <c r="F95" s="3006"/>
      <c r="G95" s="3006"/>
      <c r="H95" s="234"/>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204" t="s">
        <v>2255</v>
      </c>
      <c r="C96" s="227">
        <f ca="1">IF(C95&lt;=0,0,C95/C86)</f>
        <v>165.84042553191489</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3006"/>
      <c r="G96" s="3006"/>
      <c r="H96" s="234"/>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209" t="s">
        <v>2256</v>
      </c>
      <c r="C97" s="228">
        <f ca="1">ROUND(IF(C95&lt;=0,0,IF(C96&gt;=200%,C95*60%-C86*35%,IF(C96&gt;=100%,C95*50%-C86*15%,IF(C96&gt;=50%,C95*40%-C86*5%,IF(C96&lt;50%,C95*30%,0))))),0)</f>
        <v>9321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8"/>
      <c r="F98" s="2138"/>
      <c r="G98" s="2138"/>
      <c r="H98" s="2137"/>
      <c r="I98" s="138"/>
    </row>
    <row r="99" spans="1:35" ht="21.75" customHeight="1" thickBot="1">
      <c r="A99" s="2442" t="s">
        <v>2275</v>
      </c>
      <c r="B99" s="2386"/>
      <c r="C99" s="2386"/>
      <c r="D99" s="2386"/>
      <c r="E99" s="2138"/>
      <c r="F99" s="2138"/>
      <c r="G99" s="2138"/>
      <c r="H99" s="2137"/>
      <c r="I99" s="138"/>
    </row>
    <row r="100" spans="1:35" ht="18.75" customHeight="1">
      <c r="A100" s="3530" t="s">
        <v>2276</v>
      </c>
      <c r="B100" s="3531"/>
      <c r="C100" s="3531"/>
      <c r="D100" s="3557"/>
      <c r="E100" s="3531" t="s">
        <v>2277</v>
      </c>
      <c r="F100" s="3531"/>
      <c r="G100" s="3531"/>
      <c r="H100" s="3557"/>
      <c r="I100" s="138"/>
    </row>
    <row r="101" spans="1:35" ht="18.75" customHeight="1">
      <c r="A101" s="3619" t="s">
        <v>2278</v>
      </c>
      <c r="B101" s="3620"/>
      <c r="C101" s="732" t="str">
        <f>C4</f>
        <v>比较法-车位</v>
      </c>
      <c r="D101" s="733" t="str">
        <f>D4</f>
        <v>收益法车库</v>
      </c>
      <c r="E101" s="3633" t="s">
        <v>2279</v>
      </c>
      <c r="F101" s="3587"/>
      <c r="G101" s="2488" t="s">
        <v>2280</v>
      </c>
      <c r="H101" s="1034">
        <f ca="1">H118</f>
        <v>16467</v>
      </c>
      <c r="I101" s="138"/>
    </row>
    <row r="102" spans="1:35" ht="18.75" customHeight="1">
      <c r="A102" s="3589" t="s">
        <v>2281</v>
      </c>
      <c r="B102" s="2488" t="s">
        <v>2280</v>
      </c>
      <c r="C102" s="732">
        <f ca="1">C19</f>
        <v>20594</v>
      </c>
      <c r="D102" s="733">
        <f ca="1">D19</f>
        <v>6838</v>
      </c>
      <c r="E102" s="3633"/>
      <c r="F102" s="3587"/>
      <c r="G102" s="2488" t="s">
        <v>2282</v>
      </c>
      <c r="H102" s="371">
        <f ca="1">I118</f>
        <v>4825</v>
      </c>
      <c r="I102" s="138"/>
    </row>
    <row r="103" spans="1:35" ht="42.75" customHeight="1">
      <c r="A103" s="3589"/>
      <c r="B103" s="2488" t="s">
        <v>2282</v>
      </c>
      <c r="C103" s="734">
        <f ca="1">C20</f>
        <v>6035</v>
      </c>
      <c r="D103" s="735">
        <f ca="1">D20</f>
        <v>2004</v>
      </c>
      <c r="E103" s="3628" t="s">
        <v>2283</v>
      </c>
      <c r="F103" s="3629"/>
      <c r="G103" s="2489" t="s">
        <v>2284</v>
      </c>
      <c r="H103" s="1034">
        <f>IF(D36="正常操作",H104+H105+H106,H105+H106)</f>
        <v>0</v>
      </c>
      <c r="I103" s="138"/>
    </row>
    <row r="104" spans="1:35" ht="18.75" customHeight="1">
      <c r="A104" s="3589" t="s">
        <v>2285</v>
      </c>
      <c r="B104" s="2490" t="s">
        <v>2280</v>
      </c>
      <c r="C104" s="736">
        <f ca="1">H118</f>
        <v>16467</v>
      </c>
      <c r="D104" s="737"/>
      <c r="E104" s="2238" t="s">
        <v>2286</v>
      </c>
      <c r="F104" s="2230"/>
      <c r="G104" s="2489" t="s">
        <v>2284</v>
      </c>
      <c r="H104" s="1035">
        <f>IF(D36="同一抵押权人同一抵押物续贷",C36&amp;"（未扣减，详见特别提示）",C36)</f>
        <v>0</v>
      </c>
      <c r="I104" s="138"/>
    </row>
    <row r="105" spans="1:35" ht="18.75" customHeight="1" thickBot="1">
      <c r="A105" s="3590"/>
      <c r="B105" s="2491" t="s">
        <v>2282</v>
      </c>
      <c r="C105" s="738">
        <f ca="1">I118</f>
        <v>4825</v>
      </c>
      <c r="D105" s="739"/>
      <c r="E105" s="2238" t="s">
        <v>2287</v>
      </c>
      <c r="F105" s="2230"/>
      <c r="G105" s="2489" t="s">
        <v>2284</v>
      </c>
      <c r="H105" s="1035">
        <f>C37</f>
        <v>0</v>
      </c>
      <c r="I105" s="138"/>
    </row>
    <row r="106" spans="1:35" ht="18.75" customHeight="1">
      <c r="A106" s="2386" t="s">
        <v>2288</v>
      </c>
      <c r="B106" s="2386"/>
      <c r="C106" s="2386"/>
      <c r="D106" s="2386"/>
      <c r="E106" s="2492" t="s">
        <v>2289</v>
      </c>
      <c r="F106" s="2230"/>
      <c r="G106" s="2489" t="s">
        <v>2284</v>
      </c>
      <c r="H106" s="1035">
        <f>C38</f>
        <v>0</v>
      </c>
      <c r="I106" s="138"/>
    </row>
    <row r="107" spans="1:35" ht="18.75" customHeight="1">
      <c r="A107" s="138"/>
      <c r="B107" s="138"/>
      <c r="C107" s="138"/>
      <c r="D107" s="138"/>
      <c r="E107" s="3586" t="str">
        <f>IF(项目基本情况!E8="已注销","——","3.房地产抵押价值")</f>
        <v>3.房地产抵押价值</v>
      </c>
      <c r="F107" s="3587"/>
      <c r="G107" s="2488" t="s">
        <v>2280</v>
      </c>
      <c r="H107" s="1034">
        <f ca="1">IF(E107="——","——",H101-H103)</f>
        <v>16467</v>
      </c>
      <c r="I107" s="138"/>
    </row>
    <row r="108" spans="1:35" ht="18.75" customHeight="1">
      <c r="A108" s="138"/>
      <c r="B108" s="138"/>
      <c r="C108" s="138"/>
      <c r="D108" s="138"/>
      <c r="E108" s="3586"/>
      <c r="F108" s="3587"/>
      <c r="G108" s="2488" t="s">
        <v>2282</v>
      </c>
      <c r="H108" s="371">
        <f ca="1">ROUND(H107*10000/'数据-汇总表'!E3,0)</f>
        <v>989</v>
      </c>
      <c r="I108" s="138"/>
    </row>
    <row r="109" spans="1:35" ht="18.75" customHeight="1">
      <c r="A109" s="138"/>
      <c r="B109" s="138"/>
      <c r="C109" s="138"/>
      <c r="D109" s="138"/>
      <c r="E109" s="3586" t="str">
        <f>IF(项目基本情况!E8="已注销及未注销","4.抵押担保权已注销时的房地产抵押价值",IF(项目基本情况!E8="已注销","3.抵押担保权已注销时的房地产抵押价值","——"))</f>
        <v>——</v>
      </c>
      <c r="F109" s="3587"/>
      <c r="G109" s="2488" t="s">
        <v>2280</v>
      </c>
      <c r="H109" s="348" t="str">
        <f>IF(E109="——","——",H101-H105-H106)</f>
        <v>——</v>
      </c>
      <c r="I109" s="138"/>
    </row>
    <row r="110" spans="1:35" ht="18.75" customHeight="1">
      <c r="A110" s="138"/>
      <c r="B110" s="138"/>
      <c r="C110" s="138"/>
      <c r="D110" s="138"/>
      <c r="E110" s="3586"/>
      <c r="F110" s="3587"/>
      <c r="G110" s="2488" t="s">
        <v>2282</v>
      </c>
      <c r="H110" s="371" t="str">
        <f>IF(H109="——","——",ROUND(H109*10000/'数据-汇总表'!E3,0))</f>
        <v>——</v>
      </c>
      <c r="I110" s="138"/>
    </row>
    <row r="111" spans="1:35" ht="18.75" customHeight="1">
      <c r="A111" s="138"/>
      <c r="B111" s="138"/>
      <c r="C111" s="138"/>
      <c r="D111" s="138"/>
      <c r="E111" s="3621" t="str">
        <f>IF(项目基本情况!E9="抵押净值",IF(OR(项目基本情况!E8="已注销",项目基本情况!E8="房地产抵押价值"),"4.抵押净值","5.抵押净值"),"——")</f>
        <v>——</v>
      </c>
      <c r="F111" s="3622"/>
      <c r="G111" s="2488" t="s">
        <v>2280</v>
      </c>
      <c r="H111" s="1034" t="str">
        <f>IF(E111="——","——",N59)</f>
        <v>——</v>
      </c>
      <c r="I111" s="138"/>
    </row>
    <row r="112" spans="1:35" ht="18.75" customHeight="1" thickBot="1">
      <c r="A112" s="138"/>
      <c r="B112" s="138"/>
      <c r="C112" s="138"/>
      <c r="D112" s="138"/>
      <c r="E112" s="3623"/>
      <c r="F112" s="3624"/>
      <c r="G112" s="2493" t="s">
        <v>2282</v>
      </c>
      <c r="H112" s="785" t="str">
        <f>IF(E111="——","——",N61)</f>
        <v>——</v>
      </c>
      <c r="I112" s="138"/>
    </row>
    <row r="113" spans="1:11" ht="18.75" customHeight="1">
      <c r="A113" s="138"/>
      <c r="B113" s="138"/>
      <c r="C113" s="138"/>
      <c r="D113" s="138"/>
      <c r="E113" s="3591" t="s">
        <v>2288</v>
      </c>
      <c r="F113" s="3591"/>
      <c r="G113" s="3591"/>
      <c r="H113" s="3591"/>
      <c r="I113" s="138"/>
    </row>
    <row r="114" spans="1:11" ht="3.75" customHeight="1">
      <c r="A114" s="2386"/>
      <c r="B114" s="2386"/>
      <c r="C114" s="2386"/>
      <c r="D114" s="2386"/>
      <c r="E114" s="2464"/>
      <c r="F114" s="2464"/>
      <c r="G114" s="2464"/>
      <c r="H114" s="2464"/>
      <c r="I114" s="2386"/>
    </row>
    <row r="115" spans="1:11" ht="18.75" customHeight="1">
      <c r="A115" s="3604" t="s">
        <v>2290</v>
      </c>
      <c r="B115" s="3605"/>
      <c r="C115" s="3605"/>
      <c r="D115" s="3605"/>
      <c r="E115" s="3605"/>
      <c r="F115" s="3605"/>
      <c r="G115" s="3605"/>
      <c r="H115" s="3605"/>
      <c r="I115" s="3606"/>
    </row>
    <row r="116" spans="1:11" ht="27" customHeight="1">
      <c r="A116" s="3486" t="s">
        <v>2291</v>
      </c>
      <c r="B116" s="3592" t="s">
        <v>2292</v>
      </c>
      <c r="C116" s="3592" t="s">
        <v>2293</v>
      </c>
      <c r="D116" s="3608" t="s">
        <v>2294</v>
      </c>
      <c r="E116" s="3609"/>
      <c r="F116" s="3600" t="s">
        <v>2295</v>
      </c>
      <c r="G116" s="3600"/>
      <c r="H116" s="3486" t="s">
        <v>2296</v>
      </c>
      <c r="I116" s="3486"/>
    </row>
    <row r="117" spans="1:11" ht="18.75" customHeight="1">
      <c r="A117" s="3486"/>
      <c r="B117" s="3593"/>
      <c r="C117" s="3593"/>
      <c r="D117" s="2992" t="s">
        <v>2297</v>
      </c>
      <c r="E117" s="2992" t="s">
        <v>2298</v>
      </c>
      <c r="F117" s="2992" t="s">
        <v>2297</v>
      </c>
      <c r="G117" s="2992" t="s">
        <v>2299</v>
      </c>
      <c r="H117" s="2992" t="s">
        <v>2297</v>
      </c>
      <c r="I117" s="2992" t="s">
        <v>2299</v>
      </c>
    </row>
    <row r="118" spans="1:11" ht="24.75" customHeight="1">
      <c r="A118" s="2494" t="str">
        <f>项目基本情况!S2</f>
        <v>四川省成都市青羊区西御街3号、5号房地产</v>
      </c>
      <c r="B118" s="2992">
        <f>M18</f>
        <v>34125.879999999997</v>
      </c>
      <c r="C118" s="2992">
        <f>M19</f>
        <v>2506.35</v>
      </c>
      <c r="D118" s="2992">
        <f ca="1">ROUND(IF(D32="总价",C34,E118*B118/10000),0)</f>
        <v>16467</v>
      </c>
      <c r="E118" s="2992">
        <f ca="1">ROUND(IF(C33="自定义",IF(D32="楼面单价",C34,D118*10000/B118),I118-G118),0)</f>
        <v>4825</v>
      </c>
      <c r="F118" s="2992">
        <f ca="1">ROUND(IF(D32="总价",C35,G118*B118/10000),0)</f>
        <v>0</v>
      </c>
      <c r="G118" s="2992">
        <f ca="1">ROUND(IF(D32="楼面单价",C35,F118*10000/B118),0)</f>
        <v>0</v>
      </c>
      <c r="H118" s="2992">
        <f ca="1">ROUND(IF(D32="总价",C32,I118*B118/10000),0)</f>
        <v>16467</v>
      </c>
      <c r="I118" s="2992">
        <f ca="1">ROUND(IF(D32="楼面单价",C32,H118*10000/B118),0)</f>
        <v>4825</v>
      </c>
    </row>
    <row r="119" spans="1:11" ht="18.75" customHeight="1">
      <c r="A119" s="3486" t="s">
        <v>2300</v>
      </c>
      <c r="B119" s="3486"/>
      <c r="C119" s="3486"/>
      <c r="D119" s="3597" t="str">
        <f ca="1">NUMBERSTRING(INT(D118*10000),2)&amp;"元整"</f>
        <v>壹亿陆仟肆佰陆拾柒万元整</v>
      </c>
      <c r="E119" s="3599"/>
      <c r="F119" s="3597" t="str">
        <f ca="1">NUMBERSTRING(INT(F118*10000),2)&amp;"元整"</f>
        <v>零元整</v>
      </c>
      <c r="G119" s="3599"/>
      <c r="H119" s="3597" t="str">
        <f ca="1">NUMBERSTRING(INT(H118*10000),2)&amp;"元整"</f>
        <v>壹亿陆仟肆佰陆拾柒万元整</v>
      </c>
      <c r="I119" s="3599"/>
    </row>
    <row r="120" spans="1:11" ht="18.75" customHeight="1">
      <c r="A120" s="3625" t="str">
        <f>IF(项目基本情况!B9="房地产市场价值","",MID(E103,3,LEN(E103)-2))</f>
        <v/>
      </c>
      <c r="B120" s="3626"/>
      <c r="C120" s="3627"/>
      <c r="D120" s="3625">
        <f>H103</f>
        <v>0</v>
      </c>
      <c r="E120" s="3626"/>
      <c r="F120" s="3626"/>
      <c r="G120" s="3626"/>
      <c r="H120" s="3626"/>
      <c r="I120" s="3627"/>
      <c r="K120" s="2391" t="str">
        <f>IF(D120=0,"故，本次评估不存在"&amp;A120,"故，本次评估"&amp;A120&amp;"为人民币"&amp;D120&amp;"万元整。")</f>
        <v>故，本次评估不存在</v>
      </c>
    </row>
    <row r="121" spans="1:11" ht="18.75" customHeight="1">
      <c r="A121" s="3601" t="s">
        <v>2300</v>
      </c>
      <c r="B121" s="3602"/>
      <c r="C121" s="3603"/>
      <c r="D121" s="3597" t="str">
        <f>IF(D120=0,"零元整",NUMBERSTRING(INT(D120*10000),2)&amp;"元整")</f>
        <v>零元整</v>
      </c>
      <c r="E121" s="3598"/>
      <c r="F121" s="3598"/>
      <c r="G121" s="3598"/>
      <c r="H121" s="3598"/>
      <c r="I121" s="3599"/>
    </row>
    <row r="122" spans="1:11" ht="18.75" customHeight="1">
      <c r="A122" s="3588" t="str">
        <f>IF(项目基本情况!B9="房地产市场价值","",MID(E107,3,LEN(E107)-2))</f>
        <v/>
      </c>
      <c r="B122" s="3588"/>
      <c r="C122" s="3588"/>
      <c r="D122" s="3625">
        <f ca="1">H107</f>
        <v>16467</v>
      </c>
      <c r="E122" s="3626"/>
      <c r="F122" s="3626"/>
      <c r="G122" s="3626"/>
      <c r="H122" s="3626"/>
      <c r="I122" s="3627"/>
    </row>
    <row r="123" spans="1:11" ht="18.75" customHeight="1">
      <c r="A123" s="3486" t="s">
        <v>2300</v>
      </c>
      <c r="B123" s="3486"/>
      <c r="C123" s="3486"/>
      <c r="D123" s="3597" t="str">
        <f ca="1">NUMBERSTRING(INT(D122*10000),2)&amp;"元整"</f>
        <v>壹亿陆仟肆佰陆拾柒万元整</v>
      </c>
      <c r="E123" s="3598"/>
      <c r="F123" s="3598"/>
      <c r="G123" s="3598"/>
      <c r="H123" s="3598"/>
      <c r="I123" s="3599"/>
    </row>
    <row r="124" spans="1:11" ht="18.75" customHeight="1">
      <c r="A124" s="3588" t="str">
        <f>IF(项目基本情况!B9="房地产市场价值","",MID(E109,3,LEN(E109)-2))</f>
        <v/>
      </c>
      <c r="B124" s="3588"/>
      <c r="C124" s="3588"/>
      <c r="D124" s="3625" t="str">
        <f>H109</f>
        <v>——</v>
      </c>
      <c r="E124" s="3626"/>
      <c r="F124" s="3626"/>
      <c r="G124" s="3626"/>
      <c r="H124" s="3626"/>
      <c r="I124" s="3627"/>
    </row>
    <row r="125" spans="1:11" ht="18.75" customHeight="1">
      <c r="A125" s="3486" t="s">
        <v>2300</v>
      </c>
      <c r="B125" s="3486"/>
      <c r="C125" s="3486"/>
      <c r="D125" s="3597" t="e">
        <f>NUMBERSTRING(INT(D124*10000),2)&amp;"元整"</f>
        <v>#VALUE!</v>
      </c>
      <c r="E125" s="3598"/>
      <c r="F125" s="3598"/>
      <c r="G125" s="3598"/>
      <c r="H125" s="3598"/>
      <c r="I125" s="3599"/>
    </row>
    <row r="126" spans="1:11" ht="18.75" customHeight="1">
      <c r="A126" s="3588" t="str">
        <f>IF(项目基本情况!B9="房地产市场价值","",MID(E111,3,LEN(E111)-2))</f>
        <v/>
      </c>
      <c r="B126" s="3588"/>
      <c r="C126" s="3588"/>
      <c r="D126" s="3625" t="str">
        <f>H111</f>
        <v>——</v>
      </c>
      <c r="E126" s="3626"/>
      <c r="F126" s="3626"/>
      <c r="G126" s="3626"/>
      <c r="H126" s="3626"/>
      <c r="I126" s="3627"/>
    </row>
    <row r="127" spans="1:11" ht="18.75" customHeight="1">
      <c r="A127" s="3486" t="s">
        <v>2300</v>
      </c>
      <c r="B127" s="3486"/>
      <c r="C127" s="3486"/>
      <c r="D127" s="3597" t="e">
        <f>NUMBERSTRING(INT(D126*10000),2)&amp;"元整"</f>
        <v>#VALUE!</v>
      </c>
      <c r="E127" s="3598"/>
      <c r="F127" s="3598"/>
      <c r="G127" s="3598"/>
      <c r="H127" s="3598"/>
      <c r="I127" s="3599"/>
    </row>
    <row r="128" spans="1:11" ht="21.75" customHeight="1">
      <c r="A128" s="3607" t="s">
        <v>2301</v>
      </c>
      <c r="B128" s="3607"/>
      <c r="C128" s="3607"/>
      <c r="D128" s="3607"/>
      <c r="E128" s="3607"/>
      <c r="F128" s="3607"/>
      <c r="G128" s="3607"/>
      <c r="H128" s="3607"/>
      <c r="I128" s="3607"/>
    </row>
    <row r="129" spans="1:35" ht="21.75" customHeight="1">
      <c r="A129" s="2495" t="s">
        <v>2302</v>
      </c>
      <c r="B129" s="2496"/>
      <c r="C129" s="2497" t="s">
        <v>2303</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90"/>
    </row>
    <row r="135" spans="1:35" ht="21.75" customHeight="1">
      <c r="A135" s="790"/>
      <c r="B135" s="790"/>
      <c r="C135" s="790"/>
      <c r="D135" s="790"/>
      <c r="E135" s="790"/>
      <c r="F135" s="2511" t="s">
        <v>2304</v>
      </c>
      <c r="G135" s="2512"/>
      <c r="H135" s="2512"/>
      <c r="I135" s="2513" t="s">
        <v>2305</v>
      </c>
    </row>
    <row r="136" spans="1:35" ht="21.75" customHeight="1">
      <c r="A136" s="790"/>
      <c r="B136" s="2514" t="s">
        <v>2306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2"/>
      <c r="C138" s="2512"/>
      <c r="D138" s="2512"/>
      <c r="E138" s="2512"/>
      <c r="F138" s="2512"/>
      <c r="G138" s="2512"/>
      <c r="H138" s="2512"/>
      <c r="I138" s="2513" t="s">
        <v>2307</v>
      </c>
    </row>
    <row r="139" spans="1:35" ht="21.75" customHeight="1">
      <c r="A139" s="790"/>
      <c r="B139" s="2514" t="s">
        <v>2308</v>
      </c>
      <c r="C139" s="790"/>
      <c r="D139" s="790"/>
      <c r="E139" s="790"/>
      <c r="F139" s="790"/>
      <c r="G139" s="790"/>
      <c r="H139" s="790"/>
      <c r="I139" s="790"/>
    </row>
    <row r="140" spans="1:35" ht="21.75" customHeight="1">
      <c r="A140" s="790"/>
      <c r="B140" s="2514"/>
      <c r="C140" s="790"/>
      <c r="D140" s="790"/>
      <c r="E140" s="790"/>
      <c r="F140" s="790"/>
      <c r="G140" s="790"/>
      <c r="H140" s="790"/>
      <c r="I140" s="790"/>
    </row>
    <row r="141" spans="1:35" ht="21.75" customHeight="1">
      <c r="A141" s="790"/>
      <c r="B141" s="2512"/>
      <c r="C141" s="2512"/>
      <c r="D141" s="2512"/>
      <c r="E141" s="2512"/>
      <c r="F141" s="2512"/>
      <c r="G141" s="2512"/>
      <c r="H141" s="2512"/>
      <c r="I141" s="2513" t="s">
        <v>2307</v>
      </c>
    </row>
    <row r="142" spans="1:35" ht="21.75" customHeight="1">
      <c r="A142" s="790"/>
      <c r="B142" s="2514"/>
      <c r="C142" s="2515"/>
      <c r="D142" s="2516"/>
      <c r="E142" s="2516"/>
      <c r="F142" s="2312"/>
      <c r="G142" s="790"/>
      <c r="H142" s="790"/>
      <c r="I142" s="790"/>
    </row>
    <row r="143" spans="1:35" s="139" customFormat="1" ht="21.75" customHeight="1">
      <c r="A143" s="790"/>
      <c r="B143" s="2514"/>
      <c r="C143" s="2515"/>
      <c r="D143" s="2516"/>
      <c r="E143" s="2516"/>
      <c r="F143" s="2312"/>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2">
    <dataValidation type="list" allowBlank="1" showInputMessage="1" showErrorMessage="1" sqref="C4:D4 D33" xr:uid="{00000000-0002-0000-2800-000000000000}">
      <formula1>估价方法</formula1>
    </dataValidation>
    <dataValidation type="list" allowBlank="1" showInputMessage="1" showErrorMessage="1" sqref="H55:H56" xr:uid="{00000000-0002-0000-2800-000001000000}">
      <formula1>"个人住宅,正常"</formula1>
    </dataValidation>
    <dataValidation type="list" allowBlank="1" showInputMessage="1" showErrorMessage="1" sqref="H48" xr:uid="{00000000-0002-0000-2800-000002000000}">
      <formula1>"情况1,情况2,情况3,情况4"</formula1>
    </dataValidation>
    <dataValidation type="list" allowBlank="1" showInputMessage="1" showErrorMessage="1" sqref="H58" xr:uid="{00000000-0002-0000-2800-000003000000}">
      <formula1>"转让取得,自行开发建设"</formula1>
    </dataValidation>
    <dataValidation type="list" allowBlank="1" showInputMessage="1" showErrorMessage="1" sqref="D32" xr:uid="{00000000-0002-0000-2800-000004000000}">
      <formula1>"总价,楼面单价"</formula1>
    </dataValidation>
    <dataValidation type="list" allowBlank="1" showInputMessage="1" showErrorMessage="1" sqref="F45" xr:uid="{00000000-0002-0000-2800-000005000000}">
      <formula1>"100%,80%,60%,64%"</formula1>
    </dataValidation>
    <dataValidation type="list" allowBlank="1" showInputMessage="1" showErrorMessage="1" sqref="C33" xr:uid="{00000000-0002-0000-2800-000006000000}">
      <formula1>"成本比率,收益比率,自定义"</formula1>
    </dataValidation>
    <dataValidation type="list" allowBlank="1" showInputMessage="1" showErrorMessage="1" sqref="H91" xr:uid="{00000000-0002-0000-2800-000007000000}">
      <formula1>"企业提供（在右侧录入）,——"</formula1>
    </dataValidation>
    <dataValidation type="list" allowBlank="1" showInputMessage="1" showErrorMessage="1" sqref="H88" xr:uid="{00000000-0002-0000-2800-000008000000}">
      <formula1>"仅含出让金,出让金+开发费"</formula1>
    </dataValidation>
    <dataValidation type="list" allowBlank="1" showInputMessage="1" showErrorMessage="1" sqref="F75" xr:uid="{00000000-0002-0000-2800-000009000000}">
      <formula1>"买卖合同,购房发票"</formula1>
    </dataValidation>
    <dataValidation type="list" allowBlank="1" showInputMessage="1" showErrorMessage="1" sqref="D36" xr:uid="{00000000-0002-0000-2800-00000A000000}">
      <formula1>"同一抵押权人同一抵押物续贷,注销后放款,正常操作"</formula1>
    </dataValidation>
    <dataValidation type="list" allowBlank="1" showInputMessage="1" showErrorMessage="1" sqref="B116:B117" xr:uid="{00000000-0002-0000-2800-00000B000000}">
      <formula1>"建筑面积,规划建筑面积,（规划）建筑面积"</formula1>
    </dataValidation>
    <dataValidation type="list" allowBlank="1" showInputMessage="1" showErrorMessage="1" sqref="C116:C117" xr:uid="{00000000-0002-0000-2800-00000C000000}">
      <formula1>"土地面积,分摊土地面积,（分摊）土地面积"</formula1>
    </dataValidation>
    <dataValidation type="list" allowBlank="1" showInputMessage="1" showErrorMessage="1" sqref="D116:E116" xr:uid="{00000000-0002-0000-2800-00000D000000}">
      <formula1>"出让国有建设用地使用权价值,划拨国有建设用地使用权价值"</formula1>
    </dataValidation>
    <dataValidation type="list" allowBlank="1" showInputMessage="1" showErrorMessage="1" sqref="F116:G116" xr:uid="{00000000-0002-0000-2800-00000E000000}">
      <formula1>"建筑物价值,在建建筑物价值,建筑物/在建建筑物价值"</formula1>
    </dataValidation>
    <dataValidation type="list" allowBlank="1" showInputMessage="1" showErrorMessage="1" sqref="C129" xr:uid="{00000000-0002-0000-2800-00000F000000}">
      <formula1>"无,有"</formula1>
    </dataValidation>
    <dataValidation type="list" allowBlank="1" showInputMessage="1" showErrorMessage="1" sqref="H59" xr:uid="{00000000-0002-0000-2800-000010000000}">
      <formula1>"非个人房产,个人住宅,个人非住宅"</formula1>
    </dataValidation>
    <dataValidation type="list" showInputMessage="1" showErrorMessage="1" sqref="G1" xr:uid="{00000000-0002-0000-2800-000011000000}">
      <formula1>"现房,在建,土地,-"</formula1>
    </dataValidation>
    <dataValidation type="list" allowBlank="1" showInputMessage="1" showErrorMessage="1" sqref="I1" xr:uid="{00000000-0002-0000-2800-000012000000}">
      <formula1>"项目局部,项目全部,——"</formula1>
    </dataValidation>
    <dataValidation type="list" allowBlank="1" showInputMessage="1" showErrorMessage="1" sqref="C1" xr:uid="{00000000-0002-0000-2800-000013000000}">
      <formula1>项目类型</formula1>
    </dataValidation>
    <dataValidation type="list" allowBlank="1" showInputMessage="1" showErrorMessage="1" sqref="G77" xr:uid="{00000000-0002-0000-2800-000014000000}">
      <formula1>"个人住宅,2016年5月1日前购买,2016年5月1日后购买"</formula1>
    </dataValidation>
    <dataValidation type="list" allowBlank="1" showInputMessage="1" showErrorMessage="1" sqref="E103" xr:uid="{00000000-0002-0000-28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zoomScale="85" zoomScaleNormal="85" workbookViewId="0">
      <selection activeCell="I21" sqref="I21"/>
    </sheetView>
  </sheetViews>
  <sheetFormatPr defaultColWidth="9" defaultRowHeight="13.8"/>
  <cols>
    <col min="1" max="1" width="10.44140625" style="402" customWidth="1"/>
    <col min="2" max="2" width="15.77734375" style="402" customWidth="1"/>
    <col min="3" max="3" width="18.109375" style="402" customWidth="1"/>
    <col min="4" max="4" width="12.21875" style="402" customWidth="1"/>
    <col min="5" max="5" width="16.7773437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05"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2690</v>
      </c>
      <c r="B1" s="1598" t="s">
        <v>3173</v>
      </c>
      <c r="C1" s="1599" t="s">
        <v>2513</v>
      </c>
      <c r="D1" s="1600" t="s">
        <v>48</v>
      </c>
      <c r="E1" s="1601"/>
      <c r="F1" s="2554" t="s">
        <v>3040</v>
      </c>
      <c r="G1" s="1602" t="s">
        <v>2626</v>
      </c>
      <c r="H1" s="1601"/>
      <c r="I1" s="1601"/>
      <c r="J1" s="1601"/>
      <c r="K1" s="1603"/>
      <c r="L1" s="1604"/>
      <c r="M1" s="1605"/>
      <c r="N1" s="1605"/>
      <c r="O1" s="1605"/>
      <c r="P1" s="1606"/>
      <c r="Q1" s="1599"/>
      <c r="R1" s="1599"/>
      <c r="S1" s="1599"/>
      <c r="T1" s="1599"/>
      <c r="U1" s="1599"/>
      <c r="V1" s="1599"/>
      <c r="W1" s="1599"/>
      <c r="X1" s="1599"/>
      <c r="Y1" s="1599"/>
      <c r="Z1" s="1599"/>
      <c r="AA1" s="1599"/>
      <c r="AB1" s="1599"/>
      <c r="AC1" s="1607"/>
    </row>
    <row r="2" spans="1:29" s="397" customFormat="1" ht="28.5" customHeight="1" thickTop="1">
      <c r="A2" s="1596" t="s">
        <v>2310</v>
      </c>
      <c r="B2" s="1398">
        <f>IF(C2="——",IF(B37="元/平方米",ROUND(C39*D3/10000,0),ROUND(F3*C39/10000,0)),IF(B37="元/平方米",ROUND(C39*D3/10000,0),ROUND(F3*C39/10000,0))-D2)</f>
        <v>20594</v>
      </c>
      <c r="C2" s="2556" t="s">
        <v>70</v>
      </c>
      <c r="D2" s="1106" t="e">
        <f ca="1">SUMIF(INDIRECT("'"&amp;F2&amp;"'"&amp;"!A:A"),"承租人权益价值",INDIRECT("'"&amp;F2&amp;"'"&amp;"!c:c"))</f>
        <v>#REF!</v>
      </c>
      <c r="E2" s="2557" t="s">
        <v>2311</v>
      </c>
      <c r="F2" s="2558" t="s">
        <v>3368</v>
      </c>
      <c r="G2" s="1107"/>
      <c r="H2" s="1107"/>
      <c r="I2" s="1107"/>
      <c r="J2" s="1107"/>
      <c r="K2" s="1109"/>
      <c r="L2" s="1110"/>
      <c r="M2" s="1111"/>
      <c r="N2" s="1111"/>
      <c r="O2" s="1111"/>
      <c r="P2" s="1399"/>
      <c r="Q2" s="764"/>
      <c r="R2" s="764"/>
      <c r="S2" s="764"/>
      <c r="T2" s="764"/>
      <c r="U2" s="764"/>
      <c r="V2" s="764"/>
      <c r="W2" s="764"/>
      <c r="X2" s="764"/>
      <c r="Y2" s="764"/>
      <c r="Z2" s="764"/>
      <c r="AA2" s="764"/>
      <c r="AB2" s="764"/>
      <c r="AC2" s="765"/>
    </row>
    <row r="3" spans="1:29" s="397" customFormat="1" ht="28.5" customHeight="1" thickBot="1">
      <c r="A3" s="247" t="s">
        <v>2312</v>
      </c>
      <c r="B3" s="608">
        <f>IF(AND(C2="——",B37="元/平方米"),C39,ROUND(B2*10000/D3,0))</f>
        <v>6035</v>
      </c>
      <c r="C3" s="399" t="s">
        <v>2627</v>
      </c>
      <c r="D3" s="398">
        <f>SUMIF('数据-汇总表'!$C19:$C33,D1,'数据-汇总表'!$E19:$E33)</f>
        <v>34125.879999999997</v>
      </c>
      <c r="E3" s="399" t="s">
        <v>2691</v>
      </c>
      <c r="F3" s="398">
        <f>SUMIF('数据-取费表'!A5:A15,D1,'数据-取费表'!AH5:AH15)</f>
        <v>650</v>
      </c>
      <c r="G3" s="1107"/>
      <c r="H3" s="1107"/>
      <c r="I3" s="1107"/>
      <c r="J3" s="1107"/>
      <c r="K3" s="1109"/>
      <c r="L3" s="1110"/>
      <c r="M3" s="1111"/>
      <c r="N3" s="1111"/>
      <c r="O3" s="1111"/>
      <c r="P3" s="1399"/>
      <c r="Q3" s="764"/>
      <c r="R3" s="764"/>
      <c r="S3" s="764"/>
      <c r="T3" s="764"/>
      <c r="U3" s="764"/>
      <c r="V3" s="764"/>
      <c r="W3" s="764"/>
      <c r="X3" s="764"/>
      <c r="Y3" s="764"/>
      <c r="Z3" s="764"/>
      <c r="AA3" s="764"/>
      <c r="AB3" s="782"/>
      <c r="AC3" s="778"/>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665" t="s">
        <v>2634</v>
      </c>
      <c r="Q4" s="3666"/>
      <c r="R4" s="3671" t="s">
        <v>2630</v>
      </c>
      <c r="S4" s="3672"/>
      <c r="T4" s="3671" t="s">
        <v>2631</v>
      </c>
      <c r="U4" s="3672"/>
      <c r="V4" s="3656" t="s">
        <v>2632</v>
      </c>
      <c r="W4" s="3656"/>
      <c r="X4" s="1791"/>
      <c r="Y4" s="3671" t="s">
        <v>2634</v>
      </c>
      <c r="Z4" s="3672"/>
      <c r="AA4" s="3658" t="s">
        <v>2630</v>
      </c>
      <c r="AB4" s="3659" t="s">
        <v>2631</v>
      </c>
      <c r="AC4" s="3658" t="s">
        <v>2632</v>
      </c>
    </row>
    <row r="5" spans="1:29" ht="14.4">
      <c r="A5" s="403"/>
      <c r="B5" s="404"/>
      <c r="C5" s="3679"/>
      <c r="D5" s="3724"/>
      <c r="E5" s="3687"/>
      <c r="F5" s="3726"/>
      <c r="G5" s="3679"/>
      <c r="H5" s="3724"/>
      <c r="I5" s="3679"/>
      <c r="J5" s="3724"/>
      <c r="K5" s="609"/>
      <c r="L5" s="1112"/>
      <c r="M5" s="1113"/>
      <c r="N5" s="1113"/>
      <c r="O5" s="1113"/>
      <c r="P5" s="3667"/>
      <c r="Q5" s="3668"/>
      <c r="R5" s="3673"/>
      <c r="S5" s="3674"/>
      <c r="T5" s="3673"/>
      <c r="U5" s="3674"/>
      <c r="V5" s="3656"/>
      <c r="W5" s="3656"/>
      <c r="X5" s="1791"/>
      <c r="Y5" s="3673"/>
      <c r="Z5" s="3674"/>
      <c r="AA5" s="3659"/>
      <c r="AB5" s="3659"/>
      <c r="AC5" s="3659"/>
    </row>
    <row r="6" spans="1:29" ht="15" thickBot="1">
      <c r="A6" s="405"/>
      <c r="B6" s="406"/>
      <c r="C6" s="3677" t="s">
        <v>2529</v>
      </c>
      <c r="D6" s="3678"/>
      <c r="E6" s="3685" t="s">
        <v>2529</v>
      </c>
      <c r="F6" s="3686"/>
      <c r="G6" s="3677" t="s">
        <v>2529</v>
      </c>
      <c r="H6" s="3678"/>
      <c r="I6" s="3677" t="s">
        <v>2529</v>
      </c>
      <c r="J6" s="3678"/>
      <c r="K6" s="609" t="s">
        <v>2530</v>
      </c>
      <c r="L6" s="1112"/>
      <c r="M6" s="1113"/>
      <c r="N6" s="1113"/>
      <c r="O6" s="1113"/>
      <c r="P6" s="3669"/>
      <c r="Q6" s="3670"/>
      <c r="R6" s="3673"/>
      <c r="S6" s="3674"/>
      <c r="T6" s="3675"/>
      <c r="U6" s="3676"/>
      <c r="V6" s="3656"/>
      <c r="W6" s="3656"/>
      <c r="X6" s="1791"/>
      <c r="Y6" s="3675"/>
      <c r="Z6" s="3676"/>
      <c r="AA6" s="3660"/>
      <c r="AB6" s="3660"/>
      <c r="AC6" s="3660"/>
    </row>
    <row r="7" spans="1:29" s="117" customFormat="1" ht="15" thickBot="1">
      <c r="A7" s="407" t="s">
        <v>2531</v>
      </c>
      <c r="B7" s="408"/>
      <c r="C7" s="409">
        <f>'数据-取费表'!B2</f>
        <v>43903</v>
      </c>
      <c r="D7" s="410">
        <v>100</v>
      </c>
      <c r="E7" s="411">
        <v>43891</v>
      </c>
      <c r="F7" s="412">
        <f>SUMIF(48:48,YEAR(E7)&amp;"-"&amp;MONTH(E7),49:49)</f>
        <v>100</v>
      </c>
      <c r="G7" s="411">
        <v>43891</v>
      </c>
      <c r="H7" s="410">
        <f>SUMIF(48:48,YEAR(G7)&amp;"-"&amp;MONTH(G7),49:49)</f>
        <v>100</v>
      </c>
      <c r="I7" s="411">
        <v>43891</v>
      </c>
      <c r="J7" s="410">
        <f>SUMIF(48:48,YEAR(I7)&amp;"-"&amp;MONTH(I7),49:49)</f>
        <v>100</v>
      </c>
      <c r="K7" s="610"/>
      <c r="L7" s="1114"/>
      <c r="M7" s="1115"/>
      <c r="N7" s="1115"/>
      <c r="O7" s="1115"/>
      <c r="P7" s="3681" t="s">
        <v>2532</v>
      </c>
      <c r="Q7" s="3683"/>
      <c r="R7" s="766" t="s">
        <v>17</v>
      </c>
      <c r="S7" s="767">
        <f t="shared" ref="S7:S14" si="0">F7</f>
        <v>100</v>
      </c>
      <c r="T7" s="766" t="s">
        <v>17</v>
      </c>
      <c r="U7" s="767">
        <f t="shared" ref="U7:U14" si="1">H7</f>
        <v>100</v>
      </c>
      <c r="V7" s="766" t="s">
        <v>17</v>
      </c>
      <c r="W7" s="767">
        <f t="shared" ref="W7:W14" si="2">J7</f>
        <v>100</v>
      </c>
      <c r="X7" s="768"/>
      <c r="Y7" s="3681" t="s">
        <v>2532</v>
      </c>
      <c r="Z7" s="3682"/>
      <c r="AA7" s="769">
        <f>D7/F7</f>
        <v>1</v>
      </c>
      <c r="AB7" s="769">
        <f>D7/H7</f>
        <v>1</v>
      </c>
      <c r="AC7" s="769">
        <f>D7/J7</f>
        <v>1</v>
      </c>
    </row>
    <row r="8" spans="1:29" s="117" customFormat="1" ht="15" thickBot="1">
      <c r="A8" s="407" t="s">
        <v>2533</v>
      </c>
      <c r="B8" s="408"/>
      <c r="C8" s="413" t="s">
        <v>2635</v>
      </c>
      <c r="D8" s="410">
        <v>100</v>
      </c>
      <c r="E8" s="413" t="s">
        <v>3042</v>
      </c>
      <c r="F8" s="412">
        <f>SUMIF(51:51,E8,52:52)-SUMIF(51:51,C8,52:52)+100</f>
        <v>100</v>
      </c>
      <c r="G8" s="413" t="s">
        <v>3042</v>
      </c>
      <c r="H8" s="410">
        <f>SUMIF(51:51,G8,52:52)-SUMIF(51:51,C8,52:52)+100</f>
        <v>100</v>
      </c>
      <c r="I8" s="413" t="s">
        <v>3042</v>
      </c>
      <c r="J8" s="410">
        <f>SUMIF(51:51,I8,52:52)-SUMIF(51:51,C8,52:52)+100</f>
        <v>100</v>
      </c>
      <c r="K8" s="610"/>
      <c r="L8" s="1114"/>
      <c r="M8" s="1115"/>
      <c r="N8" s="1115"/>
      <c r="O8" s="1115"/>
      <c r="P8" s="3681" t="s">
        <v>2535</v>
      </c>
      <c r="Q8" s="3682"/>
      <c r="R8" s="766" t="s">
        <v>17</v>
      </c>
      <c r="S8" s="767">
        <f t="shared" si="0"/>
        <v>100</v>
      </c>
      <c r="T8" s="766" t="s">
        <v>17</v>
      </c>
      <c r="U8" s="767">
        <f t="shared" si="1"/>
        <v>100</v>
      </c>
      <c r="V8" s="766" t="s">
        <v>17</v>
      </c>
      <c r="W8" s="767">
        <f t="shared" si="2"/>
        <v>100</v>
      </c>
      <c r="X8" s="768"/>
      <c r="Y8" s="3681" t="s">
        <v>2535</v>
      </c>
      <c r="Z8" s="3682"/>
      <c r="AA8" s="769">
        <f t="shared" ref="AA8:AA36" si="3">D8/F8</f>
        <v>1</v>
      </c>
      <c r="AB8" s="769">
        <f t="shared" ref="AB8:AB36" si="4">D8/H8</f>
        <v>1</v>
      </c>
      <c r="AC8" s="769">
        <f t="shared" ref="AC8:AC36" si="5">D8/J8</f>
        <v>1</v>
      </c>
    </row>
    <row r="9" spans="1:29" s="117" customFormat="1" ht="14.4">
      <c r="A9" s="68" t="s">
        <v>2536</v>
      </c>
      <c r="B9" s="639" t="s">
        <v>2537</v>
      </c>
      <c r="C9" s="2962" t="s">
        <v>3369</v>
      </c>
      <c r="D9" s="135">
        <v>100</v>
      </c>
      <c r="E9" s="418" t="s">
        <v>3173</v>
      </c>
      <c r="F9" s="135">
        <f>SUMIF(53:53,E9,54:54)-SUMIF(53:53,C9,54:54)+100</f>
        <v>100</v>
      </c>
      <c r="G9" s="418" t="s">
        <v>3173</v>
      </c>
      <c r="H9" s="135">
        <f>SUMIF(53:53,G9,54:54)-SUMIF(53:53,C9,54:54)+100</f>
        <v>100</v>
      </c>
      <c r="I9" s="418" t="s">
        <v>3173</v>
      </c>
      <c r="J9" s="135">
        <f>SUMIF(53:53,I9,54:54)-SUMIF(53:53,C9,54:54)+100</f>
        <v>100</v>
      </c>
      <c r="K9" s="610"/>
      <c r="L9" s="1114"/>
      <c r="M9" s="1115"/>
      <c r="N9" s="1115"/>
      <c r="O9" s="1115"/>
      <c r="P9" s="3642" t="s">
        <v>2538</v>
      </c>
      <c r="Q9" s="1773" t="str">
        <f t="shared" ref="Q9:Q14" si="6">B9</f>
        <v>用途</v>
      </c>
      <c r="R9" s="766" t="s">
        <v>17</v>
      </c>
      <c r="S9" s="767">
        <f t="shared" si="0"/>
        <v>100</v>
      </c>
      <c r="T9" s="766" t="s">
        <v>17</v>
      </c>
      <c r="U9" s="767">
        <f t="shared" si="1"/>
        <v>100</v>
      </c>
      <c r="V9" s="766" t="s">
        <v>17</v>
      </c>
      <c r="W9" s="767">
        <f t="shared" si="2"/>
        <v>100</v>
      </c>
      <c r="X9" s="768"/>
      <c r="Y9" s="3486" t="s">
        <v>2539</v>
      </c>
      <c r="Z9" s="55" t="str">
        <f t="shared" ref="Z9:Z14" si="7">Q9</f>
        <v>用途</v>
      </c>
      <c r="AA9" s="769">
        <f t="shared" si="3"/>
        <v>1</v>
      </c>
      <c r="AB9" s="769">
        <f t="shared" si="4"/>
        <v>1</v>
      </c>
      <c r="AC9" s="769">
        <f t="shared" si="5"/>
        <v>1</v>
      </c>
    </row>
    <row r="10" spans="1:29" s="426" customFormat="1" ht="28.8">
      <c r="A10" s="640"/>
      <c r="B10" s="641" t="s">
        <v>2540</v>
      </c>
      <c r="C10" s="422" t="s">
        <v>3370</v>
      </c>
      <c r="D10" s="136">
        <v>100</v>
      </c>
      <c r="E10" s="422" t="s">
        <v>3371</v>
      </c>
      <c r="F10" s="136">
        <f>SUMIF(55:55,E10,56:56)-SUMIF(55:55,C10,56:56)+100</f>
        <v>101</v>
      </c>
      <c r="G10" s="422" t="s">
        <v>3371</v>
      </c>
      <c r="H10" s="136">
        <f>SUMIF(55:55,G10,56:56)-SUMIF(55:55,C10,56:56)+100</f>
        <v>101</v>
      </c>
      <c r="I10" s="422" t="s">
        <v>3371</v>
      </c>
      <c r="J10" s="136">
        <f>SUMIF(55:55,I10,56:56)-SUMIF(55:55,C10,56:56)+100</f>
        <v>101</v>
      </c>
      <c r="K10" s="611">
        <v>1</v>
      </c>
      <c r="L10" s="1117"/>
      <c r="M10" s="1118"/>
      <c r="N10" s="1118"/>
      <c r="O10" s="1118"/>
      <c r="P10" s="3642"/>
      <c r="Q10" s="1773" t="str">
        <f t="shared" si="6"/>
        <v>土地使用年限（年）</v>
      </c>
      <c r="R10" s="766" t="s">
        <v>17</v>
      </c>
      <c r="S10" s="767">
        <f t="shared" si="0"/>
        <v>101</v>
      </c>
      <c r="T10" s="766" t="s">
        <v>17</v>
      </c>
      <c r="U10" s="767">
        <f t="shared" si="1"/>
        <v>101</v>
      </c>
      <c r="V10" s="766" t="s">
        <v>17</v>
      </c>
      <c r="W10" s="767">
        <f t="shared" si="2"/>
        <v>101</v>
      </c>
      <c r="X10" s="768"/>
      <c r="Y10" s="3486"/>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0"/>
      <c r="M11" s="1113"/>
      <c r="N11" s="1113"/>
      <c r="O11" s="1113"/>
      <c r="P11" s="3642"/>
      <c r="Q11" s="1773">
        <f t="shared" si="6"/>
        <v>111</v>
      </c>
      <c r="R11" s="766" t="s">
        <v>17</v>
      </c>
      <c r="S11" s="767">
        <f t="shared" si="0"/>
        <v>100</v>
      </c>
      <c r="T11" s="766" t="s">
        <v>17</v>
      </c>
      <c r="U11" s="767">
        <f t="shared" si="1"/>
        <v>100</v>
      </c>
      <c r="V11" s="766" t="s">
        <v>17</v>
      </c>
      <c r="W11" s="767">
        <f t="shared" si="2"/>
        <v>100</v>
      </c>
      <c r="X11" s="768"/>
      <c r="Y11" s="3486"/>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4"/>
      <c r="M12" s="1115"/>
      <c r="N12" s="1115"/>
      <c r="O12" s="1115"/>
      <c r="P12" s="3642"/>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769">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2"/>
      <c r="M13" s="1113"/>
      <c r="N13" s="1113"/>
      <c r="O13" s="1113"/>
      <c r="P13" s="3642"/>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769">
        <f t="shared" si="5"/>
        <v>1</v>
      </c>
    </row>
    <row r="14" spans="1:29" ht="96.6">
      <c r="A14" s="400" t="s">
        <v>2542</v>
      </c>
      <c r="B14" s="628" t="s">
        <v>2692</v>
      </c>
      <c r="C14" s="2663"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22"/>
      <c r="M14" s="1113"/>
      <c r="N14" s="1113"/>
      <c r="O14" s="1113"/>
      <c r="P14" s="3649" t="s">
        <v>2543</v>
      </c>
      <c r="Q14" s="1788" t="str">
        <f t="shared" si="6"/>
        <v>交通便捷度</v>
      </c>
      <c r="R14" s="770" t="s">
        <v>17</v>
      </c>
      <c r="S14" s="771">
        <f t="shared" si="0"/>
        <v>100</v>
      </c>
      <c r="T14" s="770" t="s">
        <v>17</v>
      </c>
      <c r="U14" s="771">
        <f t="shared" si="1"/>
        <v>100</v>
      </c>
      <c r="V14" s="770" t="s">
        <v>17</v>
      </c>
      <c r="W14" s="771">
        <f t="shared" si="2"/>
        <v>100</v>
      </c>
      <c r="X14" s="1791"/>
      <c r="Y14" s="3649" t="s">
        <v>2543</v>
      </c>
      <c r="Z14" s="1792" t="str">
        <f t="shared" si="7"/>
        <v>交通便捷度</v>
      </c>
      <c r="AA14" s="1789">
        <f t="shared" si="3"/>
        <v>1</v>
      </c>
      <c r="AB14" s="1789">
        <f t="shared" si="4"/>
        <v>1</v>
      </c>
      <c r="AC14" s="1789">
        <f t="shared" si="5"/>
        <v>1</v>
      </c>
    </row>
    <row r="15" spans="1:29" ht="15">
      <c r="A15" s="403"/>
      <c r="B15" s="646"/>
      <c r="C15" s="446" t="s">
        <v>3048</v>
      </c>
      <c r="D15" s="447"/>
      <c r="E15" s="446" t="s">
        <v>3048</v>
      </c>
      <c r="F15" s="448"/>
      <c r="G15" s="446" t="s">
        <v>3048</v>
      </c>
      <c r="H15" s="449"/>
      <c r="I15" s="446" t="s">
        <v>3048</v>
      </c>
      <c r="J15" s="447"/>
      <c r="K15" s="614"/>
      <c r="L15" s="1122"/>
      <c r="M15" s="1113"/>
      <c r="N15" s="1113"/>
      <c r="O15" s="1113"/>
      <c r="P15" s="3650"/>
      <c r="Q15" s="1788"/>
      <c r="R15" s="770"/>
      <c r="S15" s="771"/>
      <c r="T15" s="770"/>
      <c r="U15" s="771"/>
      <c r="V15" s="770"/>
      <c r="W15" s="771"/>
      <c r="X15" s="1791"/>
      <c r="Y15" s="3650"/>
      <c r="Z15" s="1792"/>
      <c r="AA15" s="1789">
        <v>1</v>
      </c>
      <c r="AB15" s="1789">
        <v>1</v>
      </c>
      <c r="AC15" s="1789">
        <v>1</v>
      </c>
    </row>
    <row r="16" spans="1:29" ht="41.4">
      <c r="A16" s="403"/>
      <c r="B16" s="630" t="s">
        <v>2671</v>
      </c>
      <c r="C16" s="2577"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v>2</v>
      </c>
      <c r="L16" s="1122"/>
      <c r="M16" s="1113"/>
      <c r="N16" s="1113"/>
      <c r="O16" s="1113"/>
      <c r="P16" s="3650"/>
      <c r="Q16" s="1788" t="str">
        <f>B16</f>
        <v>公共配套设施</v>
      </c>
      <c r="R16" s="770" t="s">
        <v>17</v>
      </c>
      <c r="S16" s="771">
        <f>F16</f>
        <v>100</v>
      </c>
      <c r="T16" s="770" t="s">
        <v>17</v>
      </c>
      <c r="U16" s="771">
        <f>H16</f>
        <v>100</v>
      </c>
      <c r="V16" s="770" t="s">
        <v>17</v>
      </c>
      <c r="W16" s="771">
        <f>J16</f>
        <v>100</v>
      </c>
      <c r="X16" s="1791"/>
      <c r="Y16" s="3650"/>
      <c r="Z16" s="1792" t="str">
        <f>Q16</f>
        <v>公共配套设施</v>
      </c>
      <c r="AA16" s="1789">
        <f t="shared" si="3"/>
        <v>1</v>
      </c>
      <c r="AB16" s="1789">
        <f t="shared" si="4"/>
        <v>1</v>
      </c>
      <c r="AC16" s="1789">
        <f t="shared" si="5"/>
        <v>1</v>
      </c>
    </row>
    <row r="17" spans="1:29" ht="15">
      <c r="A17" s="403"/>
      <c r="B17" s="631"/>
      <c r="C17" s="2578" t="s">
        <v>3048</v>
      </c>
      <c r="D17" s="447"/>
      <c r="E17" s="446" t="s">
        <v>3048</v>
      </c>
      <c r="F17" s="448"/>
      <c r="G17" s="2578" t="s">
        <v>3048</v>
      </c>
      <c r="H17" s="447"/>
      <c r="I17" s="446" t="s">
        <v>3048</v>
      </c>
      <c r="J17" s="447"/>
      <c r="K17" s="614"/>
      <c r="L17" s="1122"/>
      <c r="M17" s="1113"/>
      <c r="N17" s="1113"/>
      <c r="O17" s="1113"/>
      <c r="P17" s="3650"/>
      <c r="Q17" s="1788"/>
      <c r="R17" s="770"/>
      <c r="S17" s="771"/>
      <c r="T17" s="770"/>
      <c r="U17" s="771"/>
      <c r="V17" s="770"/>
      <c r="W17" s="771"/>
      <c r="X17" s="1791"/>
      <c r="Y17" s="3650"/>
      <c r="Z17" s="1792"/>
      <c r="AA17" s="1789">
        <v>1</v>
      </c>
      <c r="AB17" s="1789">
        <v>1</v>
      </c>
      <c r="AC17" s="1789">
        <v>1</v>
      </c>
    </row>
    <row r="18" spans="1:29" ht="41.4">
      <c r="A18" s="403"/>
      <c r="B18" s="632" t="s">
        <v>2672</v>
      </c>
      <c r="C18" s="2577"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2"/>
      <c r="M18" s="1113"/>
      <c r="N18" s="1113"/>
      <c r="O18" s="1113"/>
      <c r="P18" s="3650"/>
      <c r="Q18" s="1788" t="str">
        <f>B18</f>
        <v>基础设施水平</v>
      </c>
      <c r="R18" s="770" t="s">
        <v>17</v>
      </c>
      <c r="S18" s="771">
        <f>F18</f>
        <v>100</v>
      </c>
      <c r="T18" s="770" t="s">
        <v>17</v>
      </c>
      <c r="U18" s="771">
        <f>H18</f>
        <v>100</v>
      </c>
      <c r="V18" s="770" t="s">
        <v>17</v>
      </c>
      <c r="W18" s="771">
        <f>J18</f>
        <v>100</v>
      </c>
      <c r="X18" s="1791"/>
      <c r="Y18" s="3650"/>
      <c r="Z18" s="1792" t="str">
        <f>Q18</f>
        <v>基础设施水平</v>
      </c>
      <c r="AA18" s="1789">
        <f t="shared" ref="AA18" si="8">D18/F18</f>
        <v>1</v>
      </c>
      <c r="AB18" s="1789">
        <f t="shared" ref="AB18" si="9">D18/H18</f>
        <v>1</v>
      </c>
      <c r="AC18" s="1789">
        <f t="shared" ref="AC18" si="10">D18/J18</f>
        <v>1</v>
      </c>
    </row>
    <row r="19" spans="1:29" ht="15">
      <c r="A19" s="403"/>
      <c r="B19" s="632"/>
      <c r="C19" s="2578" t="s">
        <v>3087</v>
      </c>
      <c r="D19" s="449"/>
      <c r="E19" s="2578" t="s">
        <v>3087</v>
      </c>
      <c r="F19" s="452"/>
      <c r="G19" s="2578" t="s">
        <v>3087</v>
      </c>
      <c r="H19" s="447"/>
      <c r="I19" s="2578" t="s">
        <v>3087</v>
      </c>
      <c r="J19" s="447"/>
      <c r="K19" s="1364"/>
      <c r="L19" s="1122"/>
      <c r="M19" s="1113"/>
      <c r="N19" s="1113"/>
      <c r="O19" s="1113"/>
      <c r="P19" s="3650"/>
      <c r="Q19" s="1788"/>
      <c r="R19" s="770"/>
      <c r="S19" s="771"/>
      <c r="T19" s="770"/>
      <c r="U19" s="771"/>
      <c r="V19" s="770"/>
      <c r="W19" s="771"/>
      <c r="X19" s="1791"/>
      <c r="Y19" s="3650"/>
      <c r="Z19" s="1792"/>
      <c r="AA19" s="1789">
        <v>1</v>
      </c>
      <c r="AB19" s="1789">
        <v>1</v>
      </c>
      <c r="AC19" s="1789">
        <v>1</v>
      </c>
    </row>
    <row r="20" spans="1:29" ht="69">
      <c r="A20" s="403"/>
      <c r="B20" s="630" t="s">
        <v>2693</v>
      </c>
      <c r="C20" s="2577" t="str">
        <f>IF(B1="工业",估价对象房地状况!G7,估价对象房地状况!C9)</f>
        <v>区域自然环境：望湖公园、北小河公园；人文环境：青年政治学院；综合评价环境状况较好</v>
      </c>
      <c r="D20" s="454">
        <v>100</v>
      </c>
      <c r="E20" s="456"/>
      <c r="F20" s="457">
        <f>SUMIF(69:69,E21,70:70)-SUMIF(69:69,C21,70:70)+100</f>
        <v>100</v>
      </c>
      <c r="G20" s="458"/>
      <c r="H20" s="449">
        <f>SUMIF(69:69,G21,70:70)-SUMIF(69:69,C21,70:70)+100</f>
        <v>100</v>
      </c>
      <c r="I20" s="451"/>
      <c r="J20" s="449">
        <f>SUMIF(69:69,I21,70:70)-SUMIF(69:69,C21,70:70)+100</f>
        <v>100</v>
      </c>
      <c r="K20" s="613">
        <v>2</v>
      </c>
      <c r="L20" s="1122"/>
      <c r="M20" s="1113"/>
      <c r="N20" s="1113"/>
      <c r="O20" s="1113"/>
      <c r="P20" s="3650"/>
      <c r="Q20" s="1788" t="str">
        <f>B20</f>
        <v>自然及人文环境</v>
      </c>
      <c r="R20" s="770" t="s">
        <v>17</v>
      </c>
      <c r="S20" s="771">
        <f>F20</f>
        <v>100</v>
      </c>
      <c r="T20" s="770" t="s">
        <v>17</v>
      </c>
      <c r="U20" s="771">
        <f>H20</f>
        <v>100</v>
      </c>
      <c r="V20" s="770" t="s">
        <v>17</v>
      </c>
      <c r="W20" s="771">
        <f>J20</f>
        <v>100</v>
      </c>
      <c r="X20" s="1791"/>
      <c r="Y20" s="3650"/>
      <c r="Z20" s="1792" t="str">
        <f>Q20</f>
        <v>自然及人文环境</v>
      </c>
      <c r="AA20" s="1789">
        <f t="shared" si="3"/>
        <v>1</v>
      </c>
      <c r="AB20" s="1789">
        <f t="shared" si="4"/>
        <v>1</v>
      </c>
      <c r="AC20" s="1789">
        <f t="shared" si="5"/>
        <v>1</v>
      </c>
    </row>
    <row r="21" spans="1:29" ht="15">
      <c r="A21" s="403"/>
      <c r="B21" s="631"/>
      <c r="C21" s="446" t="s">
        <v>3048</v>
      </c>
      <c r="D21" s="447"/>
      <c r="E21" s="446" t="s">
        <v>3048</v>
      </c>
      <c r="F21" s="448"/>
      <c r="G21" s="446" t="s">
        <v>3048</v>
      </c>
      <c r="H21" s="447"/>
      <c r="I21" s="446" t="s">
        <v>3048</v>
      </c>
      <c r="J21" s="447"/>
      <c r="K21" s="614"/>
      <c r="L21" s="1122"/>
      <c r="M21" s="1113"/>
      <c r="N21" s="1113"/>
      <c r="O21" s="1113"/>
      <c r="P21" s="3650"/>
      <c r="Q21" s="1788"/>
      <c r="R21" s="770"/>
      <c r="S21" s="771"/>
      <c r="T21" s="770"/>
      <c r="U21" s="771"/>
      <c r="V21" s="770"/>
      <c r="W21" s="771"/>
      <c r="X21" s="1791"/>
      <c r="Y21" s="3650"/>
      <c r="Z21" s="1792"/>
      <c r="AA21" s="1789">
        <v>1</v>
      </c>
      <c r="AB21" s="1789">
        <v>1</v>
      </c>
      <c r="AC21" s="1789">
        <v>1</v>
      </c>
    </row>
    <row r="22" spans="1:29" ht="15">
      <c r="A22" s="403"/>
      <c r="B22" s="630" t="s">
        <v>2694</v>
      </c>
      <c r="C22" s="615" t="s">
        <v>3032</v>
      </c>
      <c r="D22" s="449">
        <v>100</v>
      </c>
      <c r="E22" s="615" t="s">
        <v>3032</v>
      </c>
      <c r="F22" s="460">
        <f>SUMIF(71:71,E22,72:72)-SUMIF(71:71,C22,72:72)+100</f>
        <v>100</v>
      </c>
      <c r="G22" s="615" t="s">
        <v>3032</v>
      </c>
      <c r="H22" s="434">
        <f>SUMIF(71:71,G22,72:72)-SUMIF(71:71,C22,72:72)+100</f>
        <v>100</v>
      </c>
      <c r="I22" s="615" t="s">
        <v>3032</v>
      </c>
      <c r="J22" s="434">
        <f>SUMIF(71:71,I22,72:72)-SUMIF(71:71,C22,72:72)+100</f>
        <v>100</v>
      </c>
      <c r="K22" s="611">
        <v>2</v>
      </c>
      <c r="L22" s="1122"/>
      <c r="M22" s="1113"/>
      <c r="N22" s="1113"/>
      <c r="O22" s="1113"/>
      <c r="P22" s="3650"/>
      <c r="Q22" s="1788" t="str">
        <f>B22</f>
        <v>楼层</v>
      </c>
      <c r="R22" s="770" t="s">
        <v>17</v>
      </c>
      <c r="S22" s="771">
        <f>F22</f>
        <v>100</v>
      </c>
      <c r="T22" s="770" t="s">
        <v>17</v>
      </c>
      <c r="U22" s="771">
        <f>H22</f>
        <v>100</v>
      </c>
      <c r="V22" s="770" t="s">
        <v>17</v>
      </c>
      <c r="W22" s="771">
        <f>J22</f>
        <v>100</v>
      </c>
      <c r="X22" s="1791"/>
      <c r="Y22" s="3650"/>
      <c r="Z22" s="1792" t="str">
        <f>Q22</f>
        <v>楼层</v>
      </c>
      <c r="AA22" s="1789">
        <f t="shared" si="3"/>
        <v>1</v>
      </c>
      <c r="AB22" s="1789">
        <f t="shared" si="4"/>
        <v>1</v>
      </c>
      <c r="AC22" s="178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2"/>
      <c r="M23" s="1113"/>
      <c r="N23" s="1113"/>
      <c r="O23" s="1113"/>
      <c r="P23" s="3650"/>
      <c r="Q23" s="1788">
        <f>B23</f>
        <v>111</v>
      </c>
      <c r="R23" s="770" t="s">
        <v>17</v>
      </c>
      <c r="S23" s="771">
        <f>F23</f>
        <v>100</v>
      </c>
      <c r="T23" s="770" t="s">
        <v>17</v>
      </c>
      <c r="U23" s="771">
        <f>H23</f>
        <v>100</v>
      </c>
      <c r="V23" s="770" t="s">
        <v>17</v>
      </c>
      <c r="W23" s="771">
        <f>J23</f>
        <v>100</v>
      </c>
      <c r="X23" s="1791"/>
      <c r="Y23" s="3650"/>
      <c r="Z23" s="1792">
        <f>Q23</f>
        <v>111</v>
      </c>
      <c r="AA23" s="1789">
        <f t="shared" si="3"/>
        <v>1</v>
      </c>
      <c r="AB23" s="1789">
        <f t="shared" si="4"/>
        <v>1</v>
      </c>
      <c r="AC23" s="178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2"/>
      <c r="M24" s="1113"/>
      <c r="N24" s="1113"/>
      <c r="O24" s="1113"/>
      <c r="P24" s="3650"/>
      <c r="Q24" s="1788">
        <f t="shared" ref="Q24:Q36" si="11">B24</f>
        <v>111</v>
      </c>
      <c r="R24" s="770" t="s">
        <v>17</v>
      </c>
      <c r="S24" s="771">
        <f>F24</f>
        <v>100</v>
      </c>
      <c r="T24" s="770" t="s">
        <v>17</v>
      </c>
      <c r="U24" s="771">
        <f>H24</f>
        <v>100</v>
      </c>
      <c r="V24" s="770" t="s">
        <v>17</v>
      </c>
      <c r="W24" s="771">
        <f>J24</f>
        <v>100</v>
      </c>
      <c r="X24" s="1791"/>
      <c r="Y24" s="3650"/>
      <c r="Z24" s="1792">
        <f>Q24</f>
        <v>111</v>
      </c>
      <c r="AA24" s="1789">
        <f t="shared" si="3"/>
        <v>1</v>
      </c>
      <c r="AB24" s="1789">
        <f t="shared" si="4"/>
        <v>1</v>
      </c>
      <c r="AC24" s="1789">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4"/>
      <c r="M25" s="1115"/>
      <c r="N25" s="1115"/>
      <c r="O25" s="1115"/>
      <c r="P25" s="3650"/>
      <c r="Q25" s="1773">
        <f t="shared" si="11"/>
        <v>111</v>
      </c>
      <c r="R25" s="766" t="s">
        <v>17</v>
      </c>
      <c r="S25" s="767">
        <f>F25</f>
        <v>100</v>
      </c>
      <c r="T25" s="766" t="s">
        <v>17</v>
      </c>
      <c r="U25" s="767">
        <f>H25</f>
        <v>100</v>
      </c>
      <c r="V25" s="766" t="s">
        <v>17</v>
      </c>
      <c r="W25" s="767">
        <f>J25</f>
        <v>100</v>
      </c>
      <c r="X25" s="768"/>
      <c r="Y25" s="3650"/>
      <c r="Z25" s="55">
        <f>Q25</f>
        <v>111</v>
      </c>
      <c r="AA25" s="1789">
        <f>D25/F25</f>
        <v>1</v>
      </c>
      <c r="AB25" s="1789">
        <f>D25/H25</f>
        <v>1</v>
      </c>
      <c r="AC25" s="1789">
        <f>D25/J25</f>
        <v>1</v>
      </c>
    </row>
    <row r="26" spans="1:29" ht="30">
      <c r="A26" s="651" t="s">
        <v>2546</v>
      </c>
      <c r="B26" s="70" t="s">
        <v>2695</v>
      </c>
      <c r="C26" s="2664" t="str">
        <f>B1</f>
        <v>车库</v>
      </c>
      <c r="D26" s="447">
        <v>100</v>
      </c>
      <c r="E26" s="446" t="s">
        <v>3173</v>
      </c>
      <c r="F26" s="448">
        <f>SUMIF(79:79,E26,80:80)-SUMIF(79:79,C26,80:80)+100</f>
        <v>100</v>
      </c>
      <c r="G26" s="446" t="s">
        <v>3173</v>
      </c>
      <c r="H26" s="447">
        <f>SUMIF(79:79,G26,80:80)-SUMIF(79:79,C26,80:80)+100</f>
        <v>100</v>
      </c>
      <c r="I26" s="446" t="s">
        <v>3173</v>
      </c>
      <c r="J26" s="447">
        <f>SUMIF(79:79,I26,80:80)-SUMIF(79:79,C26,80:80)+100</f>
        <v>100</v>
      </c>
      <c r="K26" s="611">
        <v>2</v>
      </c>
      <c r="L26" s="1122"/>
      <c r="M26" s="1113"/>
      <c r="N26" s="1113"/>
      <c r="O26" s="1113"/>
      <c r="P26" s="3727" t="s">
        <v>2548</v>
      </c>
      <c r="Q26" s="1788" t="str">
        <f t="shared" si="11"/>
        <v>配套类型</v>
      </c>
      <c r="R26" s="770" t="s">
        <v>17</v>
      </c>
      <c r="S26" s="771">
        <f t="shared" ref="S26:S36" si="12">F26</f>
        <v>100</v>
      </c>
      <c r="T26" s="770" t="s">
        <v>17</v>
      </c>
      <c r="U26" s="771">
        <f t="shared" ref="U26:U36" si="13">H26</f>
        <v>100</v>
      </c>
      <c r="V26" s="770" t="s">
        <v>17</v>
      </c>
      <c r="W26" s="771">
        <f t="shared" ref="W26:W36" si="14">J26</f>
        <v>100</v>
      </c>
      <c r="X26" s="1791"/>
      <c r="Y26" s="3654" t="s">
        <v>2548</v>
      </c>
      <c r="Z26" s="1792" t="str">
        <f t="shared" ref="Z26:Z36" si="15">Q26</f>
        <v>配套类型</v>
      </c>
      <c r="AA26" s="1789">
        <f t="shared" si="3"/>
        <v>1</v>
      </c>
      <c r="AB26" s="1789">
        <f t="shared" si="4"/>
        <v>1</v>
      </c>
      <c r="AC26" s="1789">
        <f t="shared" si="5"/>
        <v>1</v>
      </c>
    </row>
    <row r="27" spans="1:29" s="470" customFormat="1" ht="15">
      <c r="A27" s="652"/>
      <c r="B27" s="653" t="s">
        <v>2696</v>
      </c>
      <c r="C27" s="654"/>
      <c r="D27" s="136">
        <v>100</v>
      </c>
      <c r="E27" s="654"/>
      <c r="F27" s="460">
        <f>SUMIF(81:81,E27,82:82)-SUMIF(81:81,C27,82:82)+100</f>
        <v>100</v>
      </c>
      <c r="G27" s="654"/>
      <c r="H27" s="434">
        <f>SUMIF(81:81,G27,82:82)-SUMIF(81:81,C27,82:82)+100</f>
        <v>100</v>
      </c>
      <c r="I27" s="654"/>
      <c r="J27" s="434">
        <f>SUMIF(81:81,I27,82:82)-SUMIF(81:81,C27,82:82)+100</f>
        <v>100</v>
      </c>
      <c r="K27" s="612"/>
      <c r="L27" s="1120"/>
      <c r="M27" s="1123"/>
      <c r="N27" s="1123"/>
      <c r="O27" s="1123"/>
      <c r="P27" s="3654"/>
      <c r="Q27" s="772" t="str">
        <f t="shared" si="11"/>
        <v>项目停车位配比</v>
      </c>
      <c r="R27" s="773" t="s">
        <v>17</v>
      </c>
      <c r="S27" s="774">
        <f t="shared" si="12"/>
        <v>100</v>
      </c>
      <c r="T27" s="773" t="s">
        <v>17</v>
      </c>
      <c r="U27" s="774">
        <f t="shared" si="13"/>
        <v>100</v>
      </c>
      <c r="V27" s="773" t="s">
        <v>17</v>
      </c>
      <c r="W27" s="774">
        <f t="shared" si="14"/>
        <v>100</v>
      </c>
      <c r="X27" s="775"/>
      <c r="Y27" s="3654"/>
      <c r="Z27" s="776" t="str">
        <f t="shared" si="15"/>
        <v>项目停车位配比</v>
      </c>
      <c r="AA27" s="1789">
        <f t="shared" si="3"/>
        <v>1</v>
      </c>
      <c r="AB27" s="1789">
        <f t="shared" si="4"/>
        <v>1</v>
      </c>
      <c r="AC27" s="1789">
        <f t="shared" si="5"/>
        <v>1</v>
      </c>
    </row>
    <row r="28" spans="1:29" ht="15">
      <c r="A28" s="655"/>
      <c r="B28" s="653" t="s">
        <v>2697</v>
      </c>
      <c r="C28" s="459" t="s">
        <v>3133</v>
      </c>
      <c r="D28" s="434">
        <v>100</v>
      </c>
      <c r="E28" s="459" t="s">
        <v>3133</v>
      </c>
      <c r="F28" s="460">
        <f>SUMIF(83:83,E28,84:84)-SUMIF(83:83,C28,84:84)+100</f>
        <v>100</v>
      </c>
      <c r="G28" s="459" t="s">
        <v>3133</v>
      </c>
      <c r="H28" s="434">
        <f>SUMIF(83:83,G28,84:84)-SUMIF(83:83,C28,84:84)+100</f>
        <v>100</v>
      </c>
      <c r="I28" s="459" t="s">
        <v>3133</v>
      </c>
      <c r="J28" s="434">
        <f>SUMIF(83:83,I28,84:84)-SUMIF(83:83,C28,84:84)+100</f>
        <v>100</v>
      </c>
      <c r="K28" s="611">
        <v>2</v>
      </c>
      <c r="L28" s="1122"/>
      <c r="M28" s="1113"/>
      <c r="N28" s="1113"/>
      <c r="O28" s="1113"/>
      <c r="P28" s="3654"/>
      <c r="Q28" s="1788" t="str">
        <f t="shared" si="11"/>
        <v>公共部分装修</v>
      </c>
      <c r="R28" s="770" t="s">
        <v>17</v>
      </c>
      <c r="S28" s="771">
        <f t="shared" si="12"/>
        <v>100</v>
      </c>
      <c r="T28" s="770" t="s">
        <v>17</v>
      </c>
      <c r="U28" s="771">
        <f t="shared" si="13"/>
        <v>100</v>
      </c>
      <c r="V28" s="770" t="s">
        <v>17</v>
      </c>
      <c r="W28" s="771">
        <f t="shared" si="14"/>
        <v>100</v>
      </c>
      <c r="X28" s="1791"/>
      <c r="Y28" s="3654"/>
      <c r="Z28" s="1792" t="str">
        <f t="shared" si="15"/>
        <v>公共部分装修</v>
      </c>
      <c r="AA28" s="1789">
        <f t="shared" si="3"/>
        <v>1</v>
      </c>
      <c r="AB28" s="1789">
        <f t="shared" si="4"/>
        <v>1</v>
      </c>
      <c r="AC28" s="1789">
        <f t="shared" si="5"/>
        <v>1</v>
      </c>
    </row>
    <row r="29" spans="1:29" ht="15">
      <c r="A29" s="655"/>
      <c r="B29" s="653" t="s">
        <v>2698</v>
      </c>
      <c r="C29" s="3404">
        <f>'数据-取费表'!N10</f>
        <v>0.95</v>
      </c>
      <c r="D29" s="434">
        <v>100</v>
      </c>
      <c r="E29" s="473">
        <v>0.9</v>
      </c>
      <c r="F29" s="460">
        <f>LOOKUP(E29,86:86,87:87)-LOOKUP(C29,86:86,87:87)+100</f>
        <v>100</v>
      </c>
      <c r="G29" s="473">
        <v>0.9</v>
      </c>
      <c r="H29" s="460">
        <f>LOOKUP(G29,86:86,87:87)-LOOKUP(C29,86:86,87:87)+100</f>
        <v>100</v>
      </c>
      <c r="I29" s="473">
        <v>0.9</v>
      </c>
      <c r="J29" s="434">
        <f>LOOKUP(I29,86:86,87:87)-LOOKUP(C29,86:86,87:87)+100</f>
        <v>100</v>
      </c>
      <c r="K29" s="611">
        <v>1</v>
      </c>
      <c r="L29" s="1122"/>
      <c r="M29" s="1113"/>
      <c r="N29" s="1113"/>
      <c r="O29" s="1113"/>
      <c r="P29" s="3654"/>
      <c r="Q29" s="1788" t="str">
        <f t="shared" si="11"/>
        <v>成新率</v>
      </c>
      <c r="R29" s="770" t="s">
        <v>17</v>
      </c>
      <c r="S29" s="771">
        <f t="shared" si="12"/>
        <v>100</v>
      </c>
      <c r="T29" s="770" t="s">
        <v>17</v>
      </c>
      <c r="U29" s="771">
        <f t="shared" si="13"/>
        <v>100</v>
      </c>
      <c r="V29" s="770" t="s">
        <v>17</v>
      </c>
      <c r="W29" s="771">
        <f t="shared" si="14"/>
        <v>100</v>
      </c>
      <c r="X29" s="1791"/>
      <c r="Y29" s="3654"/>
      <c r="Z29" s="1792" t="str">
        <f t="shared" si="15"/>
        <v>成新率</v>
      </c>
      <c r="AA29" s="1789">
        <f t="shared" si="3"/>
        <v>1</v>
      </c>
      <c r="AB29" s="1789">
        <f t="shared" si="4"/>
        <v>1</v>
      </c>
      <c r="AC29" s="1789">
        <f t="shared" si="5"/>
        <v>1</v>
      </c>
    </row>
    <row r="30" spans="1:29" ht="15">
      <c r="A30" s="655"/>
      <c r="B30" s="653" t="s">
        <v>2699</v>
      </c>
      <c r="C30" s="656" t="s">
        <v>3120</v>
      </c>
      <c r="D30" s="434">
        <v>100</v>
      </c>
      <c r="E30" s="656" t="s">
        <v>3120</v>
      </c>
      <c r="F30" s="460">
        <f>SUMIF(88:88,E30,89:89)-SUMIF(88:88,C30,89:89)+100</f>
        <v>100</v>
      </c>
      <c r="G30" s="656" t="s">
        <v>3120</v>
      </c>
      <c r="H30" s="434">
        <f>SUMIF(88:88,E30,89:89)-SUMIF(88:88,C30,89:89)+100</f>
        <v>100</v>
      </c>
      <c r="I30" s="656" t="s">
        <v>3120</v>
      </c>
      <c r="J30" s="434">
        <f>SUMIF(88:88,E30,89:89)-SUMIF(88:88,C30,89:89)+100</f>
        <v>100</v>
      </c>
      <c r="K30" s="611">
        <v>2</v>
      </c>
      <c r="L30" s="1122"/>
      <c r="M30" s="1113"/>
      <c r="N30" s="1113"/>
      <c r="O30" s="1113"/>
      <c r="P30" s="3654"/>
      <c r="Q30" s="1788" t="str">
        <f t="shared" si="11"/>
        <v>物业等级</v>
      </c>
      <c r="R30" s="770" t="s">
        <v>17</v>
      </c>
      <c r="S30" s="771">
        <f t="shared" si="12"/>
        <v>100</v>
      </c>
      <c r="T30" s="770" t="s">
        <v>17</v>
      </c>
      <c r="U30" s="771">
        <f t="shared" si="13"/>
        <v>100</v>
      </c>
      <c r="V30" s="770" t="s">
        <v>17</v>
      </c>
      <c r="W30" s="771">
        <f t="shared" si="14"/>
        <v>100</v>
      </c>
      <c r="X30" s="1791"/>
      <c r="Y30" s="3654"/>
      <c r="Z30" s="1792" t="str">
        <f t="shared" si="15"/>
        <v>物业等级</v>
      </c>
      <c r="AA30" s="1789">
        <f t="shared" si="3"/>
        <v>1</v>
      </c>
      <c r="AB30" s="1789">
        <f t="shared" si="4"/>
        <v>1</v>
      </c>
      <c r="AC30" s="1789">
        <f t="shared" si="5"/>
        <v>1</v>
      </c>
    </row>
    <row r="31" spans="1:29" s="117" customFormat="1" ht="15">
      <c r="A31" s="657"/>
      <c r="B31" s="653" t="s">
        <v>2700</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4"/>
      <c r="M31" s="1115"/>
      <c r="N31" s="1115"/>
      <c r="O31" s="1115"/>
      <c r="P31" s="3654"/>
      <c r="Q31" s="1773" t="str">
        <f t="shared" si="11"/>
        <v>停车位面积</v>
      </c>
      <c r="R31" s="766" t="s">
        <v>17</v>
      </c>
      <c r="S31" s="767">
        <f t="shared" si="12"/>
        <v>100</v>
      </c>
      <c r="T31" s="766" t="s">
        <v>17</v>
      </c>
      <c r="U31" s="767">
        <f t="shared" si="13"/>
        <v>100</v>
      </c>
      <c r="V31" s="766" t="s">
        <v>17</v>
      </c>
      <c r="W31" s="767">
        <f t="shared" si="14"/>
        <v>100</v>
      </c>
      <c r="X31" s="768"/>
      <c r="Y31" s="3654"/>
      <c r="Z31" s="55" t="str">
        <f t="shared" si="15"/>
        <v>停车位面积</v>
      </c>
      <c r="AA31" s="769">
        <f t="shared" si="3"/>
        <v>1</v>
      </c>
      <c r="AB31" s="769">
        <f t="shared" si="4"/>
        <v>1</v>
      </c>
      <c r="AC31" s="769">
        <f t="shared" si="5"/>
        <v>1</v>
      </c>
    </row>
    <row r="32" spans="1:29" ht="15">
      <c r="A32" s="655"/>
      <c r="B32" s="653" t="s">
        <v>2701</v>
      </c>
      <c r="C32" s="459" t="s">
        <v>3374</v>
      </c>
      <c r="D32" s="434">
        <v>100</v>
      </c>
      <c r="E32" s="459" t="s">
        <v>3374</v>
      </c>
      <c r="F32" s="460">
        <f>SUMIF(93:93,E32,94:94)-SUMIF(93:93,C32,94:94)+100</f>
        <v>100</v>
      </c>
      <c r="G32" s="459" t="s">
        <v>3374</v>
      </c>
      <c r="H32" s="434">
        <f>SUMIF(93:93,G32,94:94)-SUMIF(93:93,C32,94:94)+100</f>
        <v>100</v>
      </c>
      <c r="I32" s="459" t="s">
        <v>3374</v>
      </c>
      <c r="J32" s="434">
        <f>SUMIF(93:93,I32,94:94)-SUMIF(93:93,C32,94:94)+100</f>
        <v>100</v>
      </c>
      <c r="K32" s="611">
        <v>2</v>
      </c>
      <c r="L32" s="1122"/>
      <c r="M32" s="1113"/>
      <c r="N32" s="1113"/>
      <c r="O32" s="1113"/>
      <c r="P32" s="3654" t="s">
        <v>2548</v>
      </c>
      <c r="Q32" s="1788" t="str">
        <f t="shared" si="11"/>
        <v>车位类型</v>
      </c>
      <c r="R32" s="770" t="s">
        <v>17</v>
      </c>
      <c r="S32" s="771">
        <f t="shared" si="12"/>
        <v>100</v>
      </c>
      <c r="T32" s="770" t="s">
        <v>17</v>
      </c>
      <c r="U32" s="771">
        <f t="shared" si="13"/>
        <v>100</v>
      </c>
      <c r="V32" s="770" t="s">
        <v>17</v>
      </c>
      <c r="W32" s="771">
        <f t="shared" si="14"/>
        <v>100</v>
      </c>
      <c r="X32" s="1791"/>
      <c r="Y32" s="3654" t="s">
        <v>2548</v>
      </c>
      <c r="Z32" s="1792" t="str">
        <f t="shared" si="15"/>
        <v>车位类型</v>
      </c>
      <c r="AA32" s="1789">
        <f t="shared" si="3"/>
        <v>1</v>
      </c>
      <c r="AB32" s="1789">
        <f t="shared" si="4"/>
        <v>1</v>
      </c>
      <c r="AC32" s="1789">
        <f t="shared" si="5"/>
        <v>1</v>
      </c>
    </row>
    <row r="33" spans="1:29" ht="15">
      <c r="A33" s="655"/>
      <c r="B33" s="653" t="s">
        <v>2702</v>
      </c>
      <c r="C33" s="459"/>
      <c r="D33" s="434">
        <v>100</v>
      </c>
      <c r="E33" s="459"/>
      <c r="F33" s="460">
        <f>SUMIF(95:95,E33,96:96)-SUMIF(95:95,C33,96:96)+100</f>
        <v>100</v>
      </c>
      <c r="G33" s="459"/>
      <c r="H33" s="434">
        <f>SUMIF(95:95,G33,96:96)-SUMIF(95:95,C33,96:96)+100</f>
        <v>100</v>
      </c>
      <c r="I33" s="459"/>
      <c r="J33" s="434">
        <f>SUMIF(95:95,I33,96:96)-SUMIF(95:95,C33,96:96)+100</f>
        <v>100</v>
      </c>
      <c r="K33" s="611"/>
      <c r="L33" s="1122"/>
      <c r="M33" s="1113"/>
      <c r="N33" s="1113"/>
      <c r="O33" s="1113"/>
      <c r="P33" s="3654"/>
      <c r="Q33" s="1788" t="str">
        <f t="shared" si="11"/>
        <v>是否直接入户</v>
      </c>
      <c r="R33" s="770" t="s">
        <v>17</v>
      </c>
      <c r="S33" s="771">
        <f t="shared" si="12"/>
        <v>100</v>
      </c>
      <c r="T33" s="770" t="s">
        <v>17</v>
      </c>
      <c r="U33" s="771">
        <f t="shared" si="13"/>
        <v>100</v>
      </c>
      <c r="V33" s="770" t="s">
        <v>17</v>
      </c>
      <c r="W33" s="771">
        <f t="shared" si="14"/>
        <v>100</v>
      </c>
      <c r="X33" s="1791"/>
      <c r="Y33" s="3654"/>
      <c r="Z33" s="1792" t="str">
        <f t="shared" si="15"/>
        <v>是否直接入户</v>
      </c>
      <c r="AA33" s="1789">
        <f t="shared" si="3"/>
        <v>1</v>
      </c>
      <c r="AB33" s="1789">
        <f t="shared" si="4"/>
        <v>1</v>
      </c>
      <c r="AC33" s="178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2"/>
      <c r="M34" s="1113"/>
      <c r="N34" s="1113"/>
      <c r="O34" s="1113"/>
      <c r="P34" s="3654"/>
      <c r="Q34" s="1788">
        <f t="shared" si="11"/>
        <v>111</v>
      </c>
      <c r="R34" s="770" t="s">
        <v>17</v>
      </c>
      <c r="S34" s="771">
        <f t="shared" si="12"/>
        <v>100</v>
      </c>
      <c r="T34" s="770" t="s">
        <v>17</v>
      </c>
      <c r="U34" s="771">
        <f t="shared" si="13"/>
        <v>100</v>
      </c>
      <c r="V34" s="770" t="s">
        <v>17</v>
      </c>
      <c r="W34" s="771">
        <f t="shared" si="14"/>
        <v>100</v>
      </c>
      <c r="X34" s="1791"/>
      <c r="Y34" s="3654"/>
      <c r="Z34" s="1792">
        <f t="shared" si="15"/>
        <v>111</v>
      </c>
      <c r="AA34" s="1789">
        <f t="shared" si="3"/>
        <v>1</v>
      </c>
      <c r="AB34" s="1789">
        <f t="shared" si="4"/>
        <v>1</v>
      </c>
      <c r="AC34" s="178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0"/>
      <c r="M35" s="1123"/>
      <c r="N35" s="1123"/>
      <c r="O35" s="1123"/>
      <c r="P35" s="3654"/>
      <c r="Q35" s="772">
        <f t="shared" si="11"/>
        <v>111</v>
      </c>
      <c r="R35" s="773" t="s">
        <v>17</v>
      </c>
      <c r="S35" s="774">
        <f t="shared" si="12"/>
        <v>100</v>
      </c>
      <c r="T35" s="773" t="s">
        <v>17</v>
      </c>
      <c r="U35" s="774">
        <f t="shared" si="13"/>
        <v>100</v>
      </c>
      <c r="V35" s="773" t="s">
        <v>17</v>
      </c>
      <c r="W35" s="774">
        <f t="shared" si="14"/>
        <v>100</v>
      </c>
      <c r="X35" s="775"/>
      <c r="Y35" s="3654"/>
      <c r="Z35" s="776">
        <f t="shared" si="15"/>
        <v>111</v>
      </c>
      <c r="AA35" s="1789">
        <f t="shared" si="3"/>
        <v>1</v>
      </c>
      <c r="AB35" s="1789">
        <f t="shared" si="4"/>
        <v>1</v>
      </c>
      <c r="AC35" s="1789">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2"/>
      <c r="M36" s="1113"/>
      <c r="N36" s="1113"/>
      <c r="O36" s="1113"/>
      <c r="P36" s="3654"/>
      <c r="Q36" s="1788">
        <f t="shared" si="11"/>
        <v>111</v>
      </c>
      <c r="R36" s="770" t="s">
        <v>17</v>
      </c>
      <c r="S36" s="771">
        <f t="shared" si="12"/>
        <v>100</v>
      </c>
      <c r="T36" s="770" t="s">
        <v>17</v>
      </c>
      <c r="U36" s="771">
        <f t="shared" si="13"/>
        <v>100</v>
      </c>
      <c r="V36" s="770" t="s">
        <v>17</v>
      </c>
      <c r="W36" s="771">
        <f t="shared" si="14"/>
        <v>100</v>
      </c>
      <c r="X36" s="1791"/>
      <c r="Y36" s="3654"/>
      <c r="Z36" s="1792">
        <f t="shared" si="15"/>
        <v>111</v>
      </c>
      <c r="AA36" s="1789">
        <f t="shared" si="3"/>
        <v>1</v>
      </c>
      <c r="AB36" s="1789">
        <f t="shared" si="4"/>
        <v>1</v>
      </c>
      <c r="AC36" s="1789">
        <f t="shared" si="5"/>
        <v>1</v>
      </c>
    </row>
    <row r="37" spans="1:29" ht="14.4">
      <c r="A37" s="478" t="s">
        <v>2703</v>
      </c>
      <c r="B37" s="2665" t="s">
        <v>3507</v>
      </c>
      <c r="C37" s="1387" t="s">
        <v>1</v>
      </c>
      <c r="D37" s="1388"/>
      <c r="E37" s="1389">
        <v>320000</v>
      </c>
      <c r="F37" s="1390"/>
      <c r="G37" s="1389">
        <v>320000</v>
      </c>
      <c r="H37" s="1392"/>
      <c r="I37" s="1389">
        <v>320000</v>
      </c>
      <c r="J37" s="1392"/>
      <c r="K37" s="618"/>
      <c r="L37" s="1125"/>
      <c r="M37" s="1126"/>
      <c r="N37" s="1113"/>
      <c r="O37" s="1126"/>
      <c r="P37" s="3642" t="str">
        <f>A37</f>
        <v>成交单价</v>
      </c>
      <c r="Q37" s="3642"/>
      <c r="R37" s="3643">
        <f>E37</f>
        <v>320000</v>
      </c>
      <c r="S37" s="3643"/>
      <c r="T37" s="3643">
        <f>G37</f>
        <v>320000</v>
      </c>
      <c r="U37" s="3643"/>
      <c r="V37" s="3643">
        <f>I37</f>
        <v>320000</v>
      </c>
      <c r="W37" s="3643"/>
      <c r="X37" s="755"/>
      <c r="Y37" s="777"/>
      <c r="Z37" s="755"/>
      <c r="AA37" s="755"/>
      <c r="AB37" s="755"/>
      <c r="AC37" s="755"/>
    </row>
    <row r="38" spans="1:29" ht="15" thickBot="1">
      <c r="A38" s="485" t="s">
        <v>2704</v>
      </c>
      <c r="B38" s="486" t="str">
        <f>B37</f>
        <v>元/车位</v>
      </c>
      <c r="C38" s="1393">
        <f>R39</f>
        <v>316832</v>
      </c>
      <c r="D38" s="1394"/>
      <c r="E38" s="1395">
        <f>R38</f>
        <v>316832</v>
      </c>
      <c r="F38" s="1395"/>
      <c r="G38" s="1393">
        <f>T38</f>
        <v>316832</v>
      </c>
      <c r="H38" s="1394"/>
      <c r="I38" s="1395">
        <f>V38</f>
        <v>316832</v>
      </c>
      <c r="J38" s="1394"/>
      <c r="K38" s="619"/>
      <c r="L38" s="1125"/>
      <c r="M38" s="1126"/>
      <c r="N38" s="1126"/>
      <c r="O38" s="1126"/>
      <c r="P38" s="3642" t="str">
        <f>A38</f>
        <v>比较价值（元/平方米）</v>
      </c>
      <c r="Q38" s="3642"/>
      <c r="R38" s="3643">
        <f>IF(F1="售价",ROUND(PRODUCT(R37,AA7:AA36),0),ROUND(PRODUCT(R37,AA7:AA36),1))</f>
        <v>316832</v>
      </c>
      <c r="S38" s="3643"/>
      <c r="T38" s="3643">
        <f>IF(F1="售价",ROUND(PRODUCT(T37,AB7:AB36),0),ROUND(PRODUCT(T37,AB7:AB36),1))</f>
        <v>316832</v>
      </c>
      <c r="U38" s="3643"/>
      <c r="V38" s="3643">
        <f>IF(F1="售价",ROUND(PRODUCT(V37,AC7:AC36),0),ROUND(PRODUCT(V37,AC7:AC36),1))</f>
        <v>316832</v>
      </c>
      <c r="W38" s="3643"/>
      <c r="X38" s="755"/>
      <c r="Y38" s="755"/>
      <c r="Z38" s="755"/>
      <c r="AA38" s="755"/>
      <c r="AB38" s="755"/>
      <c r="AC38" s="755"/>
    </row>
    <row r="39" spans="1:29" ht="15" thickBot="1">
      <c r="A39" s="491" t="s">
        <v>2705</v>
      </c>
      <c r="B39" s="492"/>
      <c r="C39" s="1397">
        <f>R39</f>
        <v>316832</v>
      </c>
      <c r="D39" s="1397"/>
      <c r="E39" s="1397"/>
      <c r="F39" s="1397"/>
      <c r="G39" s="1397"/>
      <c r="H39" s="1397"/>
      <c r="I39" s="1397"/>
      <c r="J39" s="1397"/>
      <c r="K39" s="620"/>
      <c r="L39" s="1125"/>
      <c r="M39" s="1126"/>
      <c r="N39" s="1126"/>
      <c r="O39" s="1126"/>
      <c r="P39" s="3644" t="str">
        <f>A39</f>
        <v>估价对象XX用房的比较价值（楼面单价，元/平方米）</v>
      </c>
      <c r="Q39" s="3645"/>
      <c r="R39" s="3646">
        <f>IF(F1="售价",ROUND(AVERAGE(R38:V38),0),ROUND(AVERAGE(R38:V38),1))</f>
        <v>316832</v>
      </c>
      <c r="S39" s="3646"/>
      <c r="T39" s="3646"/>
      <c r="U39" s="3646"/>
      <c r="V39" s="3646"/>
      <c r="W39" s="3646"/>
      <c r="X39" s="755"/>
      <c r="Y39" s="755"/>
      <c r="Z39" s="755"/>
      <c r="AA39" s="755"/>
      <c r="AB39" s="755"/>
      <c r="AC39" s="755"/>
    </row>
    <row r="40" spans="1:29">
      <c r="A40" s="1126"/>
      <c r="B40" s="1126"/>
      <c r="C40" s="1126"/>
      <c r="D40" s="1126"/>
      <c r="E40" s="1126"/>
      <c r="F40" s="1126"/>
      <c r="G40" s="1129"/>
      <c r="H40" s="1126"/>
      <c r="I40" s="1126"/>
      <c r="J40" s="1126"/>
      <c r="K40" s="1094"/>
      <c r="L40" s="1095"/>
      <c r="M40" s="1126"/>
      <c r="N40" s="1126"/>
      <c r="O40" s="1126"/>
      <c r="P40" s="1400"/>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094"/>
      <c r="L41" s="1095"/>
      <c r="M41" s="1126"/>
      <c r="N41" s="1126"/>
      <c r="O41" s="1126"/>
      <c r="P41" s="1400"/>
      <c r="Q41" s="1126"/>
      <c r="R41" s="1126"/>
      <c r="S41" s="1126"/>
      <c r="T41" s="1126"/>
      <c r="U41" s="1126"/>
      <c r="V41" s="1126"/>
      <c r="W41" s="1126"/>
      <c r="X41" s="1126"/>
      <c r="Y41" s="1126"/>
      <c r="Z41" s="1126"/>
      <c r="AA41" s="1126"/>
      <c r="AB41" s="1126"/>
      <c r="AC41" s="1126"/>
    </row>
    <row r="42" spans="1:29" ht="13.5" customHeight="1">
      <c r="A42" s="1126"/>
      <c r="B42" s="1126"/>
      <c r="C42" s="496" t="s">
        <v>2706</v>
      </c>
      <c r="D42" s="497"/>
      <c r="E42" s="498">
        <f>IF(E37&lt;E38,E38/E37-1,E37/E38-1)</f>
        <v>9.9989900010100108E-3</v>
      </c>
      <c r="F42" s="499" t="str">
        <f>IF(OR(E42&gt;=0.3,E42&lt;=-0.3),"超过30%","")</f>
        <v/>
      </c>
      <c r="G42" s="498">
        <f>IF(G37&lt;G38,G38/G37-1,G37/G38-1)</f>
        <v>9.9989900010100108E-3</v>
      </c>
      <c r="H42" s="499" t="str">
        <f>IF(OR(G42&gt;=0.3,G42&lt;=-0.3),"超过30%","")</f>
        <v/>
      </c>
      <c r="I42" s="498">
        <f>IF(I37&lt;I38,I38/I37-1,I37/I38-1)</f>
        <v>9.9989900010100108E-3</v>
      </c>
      <c r="J42" s="499" t="str">
        <f>IF(OR(I42&gt;=0.3,I42&lt;=-0.3),"超过30%","")</f>
        <v/>
      </c>
      <c r="K42" s="1094"/>
      <c r="L42" s="1095"/>
      <c r="M42" s="1126"/>
      <c r="N42" s="1126"/>
      <c r="O42" s="1126"/>
      <c r="P42" s="1400"/>
      <c r="Q42" s="1126"/>
      <c r="R42" s="1126"/>
      <c r="S42" s="1126"/>
      <c r="T42" s="1126"/>
      <c r="U42" s="1126"/>
      <c r="V42" s="1126"/>
      <c r="W42" s="1126"/>
      <c r="X42" s="1126"/>
      <c r="Y42" s="1126"/>
      <c r="Z42" s="1126"/>
      <c r="AA42" s="1126"/>
      <c r="AB42" s="1126"/>
      <c r="AC42" s="1126"/>
    </row>
    <row r="43" spans="1:29" ht="13.5" customHeight="1">
      <c r="A43" s="1126"/>
      <c r="B43" s="1126"/>
      <c r="C43" s="496" t="s">
        <v>2707</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094"/>
      <c r="L43" s="1095"/>
      <c r="M43" s="1126"/>
      <c r="N43" s="1126"/>
      <c r="O43" s="1126"/>
      <c r="P43" s="1400"/>
      <c r="Q43" s="1126"/>
      <c r="R43" s="1126"/>
      <c r="S43" s="1126"/>
      <c r="T43" s="1126"/>
      <c r="U43" s="1126"/>
      <c r="V43" s="1126"/>
      <c r="W43" s="1126"/>
      <c r="X43" s="1126"/>
      <c r="Y43" s="1126"/>
      <c r="Z43" s="1126"/>
      <c r="AA43" s="1126"/>
      <c r="AB43" s="1126"/>
      <c r="AC43" s="1126"/>
    </row>
    <row r="44" spans="1:29" s="501" customFormat="1" ht="13.5" customHeight="1">
      <c r="A44" s="1127"/>
      <c r="B44" s="1127"/>
      <c r="C44" s="496" t="s">
        <v>2708</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30"/>
      <c r="L44" s="1131"/>
      <c r="M44" s="1127"/>
      <c r="N44" s="1127"/>
      <c r="O44" s="1127"/>
      <c r="P44" s="1401"/>
      <c r="Q44" s="1127"/>
      <c r="R44" s="1127"/>
      <c r="S44" s="1127"/>
      <c r="T44" s="1127"/>
      <c r="U44" s="1127"/>
      <c r="V44" s="1127"/>
      <c r="W44" s="1127"/>
      <c r="X44" s="1127"/>
      <c r="Y44" s="1127"/>
      <c r="Z44" s="1127"/>
      <c r="AA44" s="1127"/>
      <c r="AB44" s="1127"/>
      <c r="AC44" s="1127"/>
    </row>
    <row r="45" spans="1:29" s="501" customFormat="1">
      <c r="A45" s="1127"/>
      <c r="B45" s="1128"/>
      <c r="C45" s="1132"/>
      <c r="D45" s="1127"/>
      <c r="E45" s="1127"/>
      <c r="F45" s="1127"/>
      <c r="G45" s="1127"/>
      <c r="H45" s="1127"/>
      <c r="I45" s="1127"/>
      <c r="J45" s="1127"/>
      <c r="K45" s="1130"/>
      <c r="L45" s="1131"/>
      <c r="M45" s="1127"/>
      <c r="N45" s="1127"/>
      <c r="O45" s="1127"/>
      <c r="P45" s="1401"/>
      <c r="Q45" s="1127"/>
      <c r="R45" s="1127"/>
      <c r="S45" s="1127"/>
      <c r="T45" s="1127"/>
      <c r="U45" s="1127"/>
      <c r="V45" s="1127"/>
      <c r="W45" s="1127"/>
      <c r="X45" s="1127"/>
      <c r="Y45" s="1127"/>
      <c r="Z45" s="1127"/>
      <c r="AA45" s="1127"/>
      <c r="AB45" s="1127"/>
      <c r="AC45" s="1127"/>
    </row>
    <row r="46" spans="1:29">
      <c r="A46" s="1126"/>
      <c r="B46" s="1128"/>
      <c r="C46" s="1132"/>
      <c r="D46" s="1126"/>
      <c r="E46" s="1126"/>
      <c r="F46" s="1126"/>
      <c r="G46" s="1126"/>
      <c r="H46" s="1126"/>
      <c r="I46" s="1126"/>
      <c r="J46" s="1126"/>
      <c r="K46" s="1094"/>
      <c r="L46" s="1095"/>
      <c r="M46" s="1126"/>
      <c r="N46" s="1126"/>
      <c r="O46" s="1126"/>
      <c r="P46" s="1400"/>
      <c r="Q46" s="1126"/>
      <c r="R46" s="1126"/>
      <c r="S46" s="1126"/>
      <c r="T46" s="1126"/>
      <c r="U46" s="1126"/>
      <c r="V46" s="1126"/>
      <c r="W46" s="1126"/>
      <c r="X46" s="1126"/>
      <c r="Y46" s="1126"/>
      <c r="Z46" s="1126"/>
      <c r="AA46" s="1126"/>
      <c r="AB46" s="1126"/>
      <c r="AC46" s="1126"/>
    </row>
    <row r="47" spans="1:29" ht="22.2" thickBot="1">
      <c r="A47" s="1404" t="s">
        <v>2709</v>
      </c>
      <c r="B47" s="1126"/>
      <c r="C47" s="1141"/>
      <c r="D47" s="1141"/>
      <c r="E47" s="1141"/>
      <c r="F47" s="1405"/>
      <c r="G47" s="1405"/>
      <c r="H47" s="1141"/>
      <c r="I47" s="1141"/>
      <c r="J47" s="1141"/>
      <c r="K47" s="1142"/>
      <c r="L47" s="1143"/>
      <c r="M47" s="1141"/>
      <c r="N47" s="1141"/>
      <c r="O47" s="1141"/>
      <c r="P47" s="1402"/>
      <c r="Q47" s="1403"/>
      <c r="R47" s="1126"/>
      <c r="S47" s="1126"/>
      <c r="T47" s="1126"/>
      <c r="U47" s="1126"/>
      <c r="V47" s="1126"/>
      <c r="W47" s="1126"/>
      <c r="X47" s="1126"/>
      <c r="Y47" s="1126"/>
      <c r="Z47" s="1126"/>
      <c r="AA47" s="1126"/>
      <c r="AB47" s="1126"/>
      <c r="AC47" s="1126"/>
    </row>
    <row r="48" spans="1:29" s="507" customFormat="1" ht="14.4">
      <c r="A48" s="504" t="s">
        <v>2710</v>
      </c>
      <c r="B48" s="505"/>
      <c r="C48" s="1553" t="str">
        <f>YEAR(C7)&amp;"-"&amp;MONTH(C7)</f>
        <v>2020-3</v>
      </c>
      <c r="D48" s="1554">
        <f>EDATE(C48,-1)</f>
        <v>43862</v>
      </c>
      <c r="E48" s="1554">
        <f t="shared" ref="E48:O48" si="16">EDATE(D48,-1)</f>
        <v>43831</v>
      </c>
      <c r="F48" s="1554">
        <f t="shared" si="16"/>
        <v>43800</v>
      </c>
      <c r="G48" s="1554">
        <f t="shared" si="16"/>
        <v>43770</v>
      </c>
      <c r="H48" s="1554">
        <f t="shared" si="16"/>
        <v>43739</v>
      </c>
      <c r="I48" s="1554">
        <f t="shared" si="16"/>
        <v>43709</v>
      </c>
      <c r="J48" s="1554">
        <f t="shared" si="16"/>
        <v>43678</v>
      </c>
      <c r="K48" s="1554">
        <f t="shared" si="16"/>
        <v>43647</v>
      </c>
      <c r="L48" s="1554">
        <f t="shared" si="16"/>
        <v>43617</v>
      </c>
      <c r="M48" s="1554">
        <f t="shared" si="16"/>
        <v>43586</v>
      </c>
      <c r="N48" s="1554">
        <f t="shared" si="16"/>
        <v>43556</v>
      </c>
      <c r="O48" s="1554">
        <f t="shared" si="16"/>
        <v>43525</v>
      </c>
      <c r="P48" s="1418"/>
      <c r="Q48" s="1419"/>
      <c r="R48" s="1419"/>
      <c r="S48" s="1419"/>
      <c r="T48" s="1419"/>
      <c r="U48" s="1419"/>
      <c r="V48" s="1419"/>
      <c r="W48" s="1419"/>
      <c r="X48" s="1419"/>
      <c r="Y48" s="1419"/>
      <c r="Z48" s="1419"/>
      <c r="AA48" s="1419"/>
      <c r="AB48" s="1419"/>
      <c r="AC48" s="1419"/>
    </row>
    <row r="49" spans="1:29" s="117" customFormat="1">
      <c r="A49" s="508"/>
      <c r="B49" s="509"/>
      <c r="C49" s="1546">
        <v>100</v>
      </c>
      <c r="D49" s="511">
        <f>C49-0.2</f>
        <v>99.8</v>
      </c>
      <c r="E49" s="511">
        <f t="shared" ref="E49:F49" si="17">D49-0.2</f>
        <v>99.6</v>
      </c>
      <c r="F49" s="511">
        <f t="shared" si="17"/>
        <v>99.399999999999991</v>
      </c>
      <c r="G49" s="511"/>
      <c r="H49" s="511"/>
      <c r="I49" s="511"/>
      <c r="J49" s="511"/>
      <c r="K49" s="511"/>
      <c r="L49" s="511"/>
      <c r="M49" s="512"/>
      <c r="N49" s="511"/>
      <c r="O49" s="512"/>
      <c r="P49" s="1408"/>
      <c r="Q49" s="1407"/>
      <c r="R49" s="1407"/>
      <c r="S49" s="1407"/>
      <c r="T49" s="1407"/>
      <c r="U49" s="1407"/>
      <c r="V49" s="1407"/>
      <c r="W49" s="1407"/>
      <c r="X49" s="1407"/>
      <c r="Y49" s="1407"/>
      <c r="Z49" s="1407"/>
      <c r="AA49" s="1407"/>
      <c r="AB49" s="1407"/>
      <c r="AC49" s="1407"/>
    </row>
    <row r="50" spans="1:29" s="117" customFormat="1" ht="15" thickBot="1">
      <c r="A50" s="514" t="s">
        <v>2568</v>
      </c>
      <c r="B50" s="515"/>
      <c r="C50" s="516"/>
      <c r="D50" s="517"/>
      <c r="E50" s="517"/>
      <c r="F50" s="517"/>
      <c r="G50" s="517"/>
      <c r="H50" s="517"/>
      <c r="I50" s="517"/>
      <c r="J50" s="517"/>
      <c r="K50" s="517"/>
      <c r="L50" s="517"/>
      <c r="M50" s="518"/>
      <c r="N50" s="517"/>
      <c r="O50" s="518"/>
      <c r="P50" s="1408"/>
      <c r="Q50" s="1403"/>
      <c r="R50" s="1407"/>
      <c r="S50" s="1407"/>
      <c r="T50" s="1407"/>
      <c r="U50" s="1407"/>
      <c r="V50" s="1407"/>
      <c r="W50" s="1407"/>
      <c r="X50" s="1407"/>
      <c r="Y50" s="1407"/>
      <c r="Z50" s="1407"/>
      <c r="AA50" s="1407"/>
      <c r="AB50" s="1407"/>
      <c r="AC50" s="1407"/>
    </row>
    <row r="51" spans="1:29" s="117" customFormat="1" ht="14.4">
      <c r="A51" s="520" t="s">
        <v>2533</v>
      </c>
      <c r="B51" s="509"/>
      <c r="C51" s="521" t="s">
        <v>2635</v>
      </c>
      <c r="D51" s="522"/>
      <c r="E51" s="522"/>
      <c r="F51" s="522"/>
      <c r="G51" s="522"/>
      <c r="H51" s="522"/>
      <c r="I51" s="522"/>
      <c r="J51" s="522"/>
      <c r="K51" s="522"/>
      <c r="L51" s="523"/>
      <c r="M51" s="524"/>
      <c r="N51" s="1133"/>
      <c r="O51" s="1133"/>
      <c r="P51" s="1406"/>
      <c r="Q51" s="1403"/>
      <c r="R51" s="1407"/>
      <c r="S51" s="1407"/>
      <c r="T51" s="1407"/>
      <c r="U51" s="1407"/>
      <c r="V51" s="1407"/>
      <c r="W51" s="1407"/>
      <c r="X51" s="1407"/>
      <c r="Y51" s="1407"/>
      <c r="Z51" s="1407"/>
      <c r="AA51" s="1407"/>
      <c r="AB51" s="1407"/>
      <c r="AC51" s="1407"/>
    </row>
    <row r="52" spans="1:29" s="117" customFormat="1" ht="14.4" thickBot="1">
      <c r="A52" s="520"/>
      <c r="B52" s="509"/>
      <c r="C52" s="638">
        <v>100</v>
      </c>
      <c r="D52" s="511"/>
      <c r="E52" s="511"/>
      <c r="F52" s="511"/>
      <c r="G52" s="511"/>
      <c r="H52" s="511"/>
      <c r="I52" s="511"/>
      <c r="J52" s="511"/>
      <c r="K52" s="511"/>
      <c r="L52" s="511"/>
      <c r="M52" s="513"/>
      <c r="N52" s="1133"/>
      <c r="O52" s="1133"/>
      <c r="P52" s="1408"/>
      <c r="Q52" s="1403"/>
      <c r="R52" s="1407"/>
      <c r="S52" s="1407"/>
      <c r="T52" s="1407"/>
      <c r="U52" s="1407"/>
      <c r="V52" s="1407"/>
      <c r="W52" s="1407"/>
      <c r="X52" s="1407"/>
      <c r="Y52" s="1407"/>
      <c r="Z52" s="1407"/>
      <c r="AA52" s="1407"/>
      <c r="AB52" s="1407"/>
      <c r="AC52" s="1407"/>
    </row>
    <row r="53" spans="1:29" ht="14.4">
      <c r="A53" s="526" t="s">
        <v>2571</v>
      </c>
      <c r="B53" s="527" t="s">
        <v>2537</v>
      </c>
      <c r="C53" s="528" t="str">
        <f>C9</f>
        <v>车库</v>
      </c>
      <c r="D53" s="529"/>
      <c r="E53" s="529"/>
      <c r="F53" s="529"/>
      <c r="G53" s="529"/>
      <c r="H53" s="529"/>
      <c r="I53" s="529"/>
      <c r="J53" s="529"/>
      <c r="K53" s="530"/>
      <c r="L53" s="531"/>
      <c r="M53" s="532"/>
      <c r="N53" s="1134"/>
      <c r="O53" s="1134"/>
      <c r="P53" s="1409"/>
      <c r="Q53" s="1403"/>
      <c r="R53" s="1126"/>
      <c r="S53" s="1126"/>
      <c r="T53" s="1126"/>
      <c r="U53" s="1126"/>
      <c r="V53" s="1126"/>
      <c r="W53" s="1126"/>
      <c r="X53" s="1126"/>
      <c r="Y53" s="1126"/>
      <c r="Z53" s="1126"/>
      <c r="AA53" s="1126"/>
      <c r="AB53" s="1126"/>
      <c r="AC53" s="1126"/>
    </row>
    <row r="54" spans="1:29" ht="14.4" thickBot="1">
      <c r="A54" s="533"/>
      <c r="B54" s="534"/>
      <c r="C54" s="535">
        <v>100</v>
      </c>
      <c r="D54" s="535"/>
      <c r="E54" s="535"/>
      <c r="F54" s="535"/>
      <c r="G54" s="535"/>
      <c r="H54" s="535"/>
      <c r="I54" s="535"/>
      <c r="J54" s="535"/>
      <c r="K54" s="535"/>
      <c r="L54" s="535"/>
      <c r="M54" s="536"/>
      <c r="N54" s="1135"/>
      <c r="O54" s="1135"/>
      <c r="P54" s="1409"/>
      <c r="Q54" s="1403"/>
      <c r="R54" s="1126"/>
      <c r="S54" s="1126"/>
      <c r="T54" s="1126"/>
      <c r="U54" s="1126"/>
      <c r="V54" s="1126"/>
      <c r="W54" s="1126"/>
      <c r="X54" s="1126"/>
      <c r="Y54" s="1126"/>
      <c r="Z54" s="1126"/>
      <c r="AA54" s="1126"/>
      <c r="AB54" s="1126"/>
      <c r="AC54" s="1126"/>
    </row>
    <row r="55" spans="1:29" ht="29.4" thickTop="1">
      <c r="A55" s="533"/>
      <c r="B55" s="537" t="s">
        <v>2540</v>
      </c>
      <c r="C55" s="538" t="s">
        <v>2572</v>
      </c>
      <c r="D55" s="538" t="s">
        <v>2573</v>
      </c>
      <c r="E55" s="538" t="s">
        <v>2574</v>
      </c>
      <c r="F55" s="538" t="s">
        <v>2575</v>
      </c>
      <c r="G55" s="538" t="s">
        <v>2576</v>
      </c>
      <c r="H55" s="538" t="s">
        <v>2577</v>
      </c>
      <c r="I55" s="538" t="s">
        <v>2578</v>
      </c>
      <c r="J55" s="538"/>
      <c r="K55" s="539"/>
      <c r="L55" s="540"/>
      <c r="M55" s="541"/>
      <c r="N55" s="1134"/>
      <c r="O55" s="1134"/>
      <c r="P55" s="1409"/>
      <c r="Q55" s="1403"/>
      <c r="R55" s="1126"/>
      <c r="S55" s="1126"/>
      <c r="T55" s="1126"/>
      <c r="U55" s="1126"/>
      <c r="V55" s="1126"/>
      <c r="W55" s="1126"/>
      <c r="X55" s="1126"/>
      <c r="Y55" s="1126"/>
      <c r="Z55" s="1126"/>
      <c r="AA55" s="1126"/>
      <c r="AB55" s="1126"/>
      <c r="AC55" s="1126"/>
    </row>
    <row r="56" spans="1:29" ht="14.4" thickBot="1">
      <c r="A56" s="533"/>
      <c r="B56" s="542"/>
      <c r="C56" s="543" t="s">
        <v>24</v>
      </c>
      <c r="D56" s="543" t="s">
        <v>25</v>
      </c>
      <c r="E56" s="543">
        <v>100</v>
      </c>
      <c r="F56" s="543">
        <f>E56-$K10</f>
        <v>99</v>
      </c>
      <c r="G56" s="543">
        <f>F56-$K10</f>
        <v>98</v>
      </c>
      <c r="H56" s="543">
        <f>G56-$K10</f>
        <v>97</v>
      </c>
      <c r="I56" s="543">
        <f>H56-$K10</f>
        <v>96</v>
      </c>
      <c r="J56" s="543"/>
      <c r="K56" s="543"/>
      <c r="L56" s="543"/>
      <c r="M56" s="544"/>
      <c r="N56" s="1135"/>
      <c r="O56" s="1135"/>
      <c r="P56" s="1409"/>
      <c r="Q56" s="1403"/>
      <c r="R56" s="1126"/>
      <c r="S56" s="1126"/>
      <c r="T56" s="1126"/>
      <c r="U56" s="1126"/>
      <c r="V56" s="1126"/>
      <c r="W56" s="1126"/>
      <c r="X56" s="1126"/>
      <c r="Y56" s="1126"/>
      <c r="Z56" s="1126"/>
      <c r="AA56" s="1126"/>
      <c r="AB56" s="1126"/>
      <c r="AC56" s="1126"/>
    </row>
    <row r="57" spans="1:29" ht="14.4" thickTop="1">
      <c r="A57" s="533"/>
      <c r="B57" s="659">
        <f>B11</f>
        <v>111</v>
      </c>
      <c r="C57" s="548"/>
      <c r="D57" s="548"/>
      <c r="E57" s="548"/>
      <c r="F57" s="548"/>
      <c r="G57" s="548"/>
      <c r="H57" s="548"/>
      <c r="I57" s="548"/>
      <c r="J57" s="548"/>
      <c r="K57" s="549"/>
      <c r="L57" s="550"/>
      <c r="M57" s="551"/>
      <c r="N57" s="1134"/>
      <c r="O57" s="1134"/>
      <c r="P57" s="1409"/>
      <c r="Q57" s="1403"/>
      <c r="R57" s="1126"/>
      <c r="S57" s="1126"/>
      <c r="T57" s="1126"/>
      <c r="U57" s="1126"/>
      <c r="V57" s="1126"/>
      <c r="W57" s="1126"/>
      <c r="X57" s="1126"/>
      <c r="Y57" s="1126"/>
      <c r="Z57" s="1126"/>
      <c r="AA57" s="1126"/>
      <c r="AB57" s="1126"/>
      <c r="AC57" s="1126"/>
    </row>
    <row r="58" spans="1:29" ht="14.4" thickBot="1">
      <c r="A58" s="533"/>
      <c r="B58" s="534"/>
      <c r="C58" s="559"/>
      <c r="D58" s="535"/>
      <c r="E58" s="535"/>
      <c r="F58" s="535"/>
      <c r="G58" s="535"/>
      <c r="H58" s="535"/>
      <c r="I58" s="535"/>
      <c r="J58" s="535"/>
      <c r="K58" s="535"/>
      <c r="L58" s="535"/>
      <c r="M58" s="536"/>
      <c r="N58" s="1135"/>
      <c r="O58" s="1135"/>
      <c r="P58" s="1409"/>
      <c r="Q58" s="1403"/>
      <c r="R58" s="1126"/>
      <c r="S58" s="1126"/>
      <c r="T58" s="1126"/>
      <c r="U58" s="1126"/>
      <c r="V58" s="1126"/>
      <c r="W58" s="1126"/>
      <c r="X58" s="1126"/>
      <c r="Y58" s="1126"/>
      <c r="Z58" s="1126"/>
      <c r="AA58" s="1126"/>
      <c r="AB58" s="1126"/>
      <c r="AC58" s="1126"/>
    </row>
    <row r="59" spans="1:29" s="470" customFormat="1" ht="14.4" thickTop="1">
      <c r="A59" s="552"/>
      <c r="B59" s="537">
        <f>B12</f>
        <v>111</v>
      </c>
      <c r="C59" s="548"/>
      <c r="D59" s="548"/>
      <c r="E59" s="548"/>
      <c r="F59" s="548"/>
      <c r="G59" s="553"/>
      <c r="H59" s="554"/>
      <c r="I59" s="554"/>
      <c r="J59" s="554"/>
      <c r="K59" s="554"/>
      <c r="L59" s="555"/>
      <c r="M59" s="556"/>
      <c r="N59" s="1136"/>
      <c r="O59" s="1136"/>
      <c r="P59" s="1410"/>
      <c r="Q59" s="1411"/>
      <c r="R59" s="1412"/>
      <c r="S59" s="1412"/>
      <c r="T59" s="1412"/>
      <c r="U59" s="1412"/>
      <c r="V59" s="1412"/>
      <c r="W59" s="1412"/>
      <c r="X59" s="1412"/>
      <c r="Y59" s="1412"/>
      <c r="Z59" s="1412"/>
      <c r="AA59" s="1412"/>
      <c r="AB59" s="1412"/>
      <c r="AC59" s="1412"/>
    </row>
    <row r="60" spans="1:29" s="470" customFormat="1" ht="14.4" thickBot="1">
      <c r="A60" s="552"/>
      <c r="B60" s="542"/>
      <c r="C60" s="559"/>
      <c r="D60" s="535"/>
      <c r="E60" s="535"/>
      <c r="F60" s="535"/>
      <c r="G60" s="535"/>
      <c r="H60" s="535"/>
      <c r="I60" s="535"/>
      <c r="J60" s="535"/>
      <c r="K60" s="535"/>
      <c r="L60" s="535"/>
      <c r="M60" s="536"/>
      <c r="N60" s="1135"/>
      <c r="O60" s="1135"/>
      <c r="P60" s="1410"/>
      <c r="Q60" s="1411"/>
      <c r="R60" s="1412"/>
      <c r="S60" s="1412"/>
      <c r="T60" s="1412"/>
      <c r="U60" s="1412"/>
      <c r="V60" s="1412"/>
      <c r="W60" s="1412"/>
      <c r="X60" s="1412"/>
      <c r="Y60" s="1412"/>
      <c r="Z60" s="1412"/>
      <c r="AA60" s="1412"/>
      <c r="AB60" s="1412"/>
      <c r="AC60" s="1412"/>
    </row>
    <row r="61" spans="1:29" s="470" customFormat="1" ht="14.4" thickTop="1">
      <c r="A61" s="552"/>
      <c r="B61" s="537">
        <f>B13</f>
        <v>111</v>
      </c>
      <c r="C61" s="553"/>
      <c r="D61" s="553"/>
      <c r="E61" s="553"/>
      <c r="F61" s="553"/>
      <c r="G61" s="553"/>
      <c r="H61" s="554"/>
      <c r="I61" s="554"/>
      <c r="J61" s="554"/>
      <c r="K61" s="554"/>
      <c r="L61" s="555"/>
      <c r="M61" s="556"/>
      <c r="N61" s="1136"/>
      <c r="O61" s="1136"/>
      <c r="P61" s="1413"/>
      <c r="Q61" s="1414"/>
      <c r="R61" s="1412"/>
      <c r="S61" s="1412"/>
      <c r="T61" s="1412"/>
      <c r="U61" s="1412"/>
      <c r="V61" s="1412"/>
      <c r="W61" s="1412"/>
      <c r="X61" s="1412"/>
      <c r="Y61" s="1412"/>
      <c r="Z61" s="1412"/>
      <c r="AA61" s="1412"/>
      <c r="AB61" s="1412"/>
      <c r="AC61" s="1412"/>
    </row>
    <row r="62" spans="1:29" s="470" customFormat="1" ht="14.4" thickBot="1">
      <c r="A62" s="552"/>
      <c r="B62" s="542"/>
      <c r="C62" s="559"/>
      <c r="D62" s="559"/>
      <c r="E62" s="559"/>
      <c r="F62" s="559"/>
      <c r="G62" s="559"/>
      <c r="H62" s="561"/>
      <c r="I62" s="561"/>
      <c r="J62" s="561"/>
      <c r="K62" s="561"/>
      <c r="L62" s="561"/>
      <c r="M62" s="562"/>
      <c r="N62" s="1136"/>
      <c r="O62" s="1136"/>
      <c r="P62" s="1410"/>
      <c r="Q62" s="1411"/>
      <c r="R62" s="1412"/>
      <c r="S62" s="1412"/>
      <c r="T62" s="1412"/>
      <c r="U62" s="1412"/>
      <c r="V62" s="1412"/>
      <c r="W62" s="1412"/>
      <c r="X62" s="1412"/>
      <c r="Y62" s="1412"/>
      <c r="Z62" s="1412"/>
      <c r="AA62" s="1412"/>
      <c r="AB62" s="1412"/>
      <c r="AC62" s="1412"/>
    </row>
    <row r="63" spans="1:29" ht="15" thickTop="1">
      <c r="A63" s="526" t="s">
        <v>2542</v>
      </c>
      <c r="B63" s="527" t="s">
        <v>2585</v>
      </c>
      <c r="C63" s="572" t="s">
        <v>2580</v>
      </c>
      <c r="D63" s="572" t="s">
        <v>2581</v>
      </c>
      <c r="E63" s="572" t="s">
        <v>2582</v>
      </c>
      <c r="F63" s="572" t="s">
        <v>2583</v>
      </c>
      <c r="G63" s="572" t="s">
        <v>2584</v>
      </c>
      <c r="H63" s="528"/>
      <c r="I63" s="528"/>
      <c r="J63" s="528"/>
      <c r="K63" s="573"/>
      <c r="L63" s="574"/>
      <c r="M63" s="575"/>
      <c r="N63" s="1134"/>
      <c r="O63" s="1134"/>
      <c r="P63" s="1415"/>
      <c r="Q63" s="1403"/>
      <c r="R63" s="1126"/>
      <c r="S63" s="1126"/>
      <c r="T63" s="1126"/>
      <c r="U63" s="1126"/>
      <c r="V63" s="1126"/>
      <c r="W63" s="1126"/>
      <c r="X63" s="1126"/>
      <c r="Y63" s="1126"/>
      <c r="Z63" s="1126"/>
      <c r="AA63" s="1126"/>
      <c r="AB63" s="1126"/>
      <c r="AC63" s="1126"/>
    </row>
    <row r="64" spans="1:29" ht="14.4" thickBot="1">
      <c r="A64" s="533"/>
      <c r="B64" s="542"/>
      <c r="C64" s="543">
        <v>100</v>
      </c>
      <c r="D64" s="543">
        <f>C64-$K14</f>
        <v>98</v>
      </c>
      <c r="E64" s="543">
        <f>D64-$K14</f>
        <v>96</v>
      </c>
      <c r="F64" s="543">
        <f>E64-$K14</f>
        <v>94</v>
      </c>
      <c r="G64" s="543">
        <f>F64-$K14</f>
        <v>92</v>
      </c>
      <c r="H64" s="543"/>
      <c r="I64" s="543"/>
      <c r="J64" s="543"/>
      <c r="K64" s="543"/>
      <c r="L64" s="543"/>
      <c r="M64" s="544"/>
      <c r="N64" s="1135"/>
      <c r="O64" s="1135"/>
      <c r="P64" s="1409"/>
      <c r="Q64" s="1403"/>
      <c r="R64" s="1126"/>
      <c r="S64" s="1126"/>
      <c r="T64" s="1126"/>
      <c r="U64" s="1126"/>
      <c r="V64" s="1126"/>
      <c r="W64" s="1126"/>
      <c r="X64" s="1126"/>
      <c r="Y64" s="1126"/>
      <c r="Z64" s="1126"/>
      <c r="AA64" s="1126"/>
      <c r="AB64" s="1126"/>
      <c r="AC64" s="1126"/>
    </row>
    <row r="65" spans="1:29" ht="15" thickTop="1">
      <c r="A65" s="533"/>
      <c r="B65" s="537" t="s">
        <v>2586</v>
      </c>
      <c r="C65" s="577" t="s">
        <v>2580</v>
      </c>
      <c r="D65" s="577" t="s">
        <v>2581</v>
      </c>
      <c r="E65" s="577" t="s">
        <v>2582</v>
      </c>
      <c r="F65" s="577" t="s">
        <v>2583</v>
      </c>
      <c r="G65" s="577" t="s">
        <v>2584</v>
      </c>
      <c r="H65" s="538"/>
      <c r="I65" s="538"/>
      <c r="J65" s="538"/>
      <c r="K65" s="539"/>
      <c r="L65" s="540"/>
      <c r="M65" s="541"/>
      <c r="N65" s="1134"/>
      <c r="O65" s="1134"/>
      <c r="P65" s="1409"/>
      <c r="Q65" s="1403"/>
      <c r="R65" s="1126"/>
      <c r="S65" s="1126"/>
      <c r="T65" s="1126"/>
      <c r="U65" s="1126"/>
      <c r="V65" s="1126"/>
      <c r="W65" s="1126"/>
      <c r="X65" s="1126"/>
      <c r="Y65" s="1126"/>
      <c r="Z65" s="1126"/>
      <c r="AA65" s="1126"/>
      <c r="AB65" s="1126"/>
      <c r="AC65" s="1126"/>
    </row>
    <row r="66" spans="1:29" ht="14.4" thickBot="1">
      <c r="A66" s="533"/>
      <c r="B66" s="542"/>
      <c r="C66" s="543">
        <v>100</v>
      </c>
      <c r="D66" s="543">
        <f>C66-$K16</f>
        <v>98</v>
      </c>
      <c r="E66" s="543">
        <f>D66-$K16</f>
        <v>96</v>
      </c>
      <c r="F66" s="543">
        <f>E66-$K16</f>
        <v>94</v>
      </c>
      <c r="G66" s="543">
        <f>F66-$K16</f>
        <v>92</v>
      </c>
      <c r="H66" s="543"/>
      <c r="I66" s="543"/>
      <c r="J66" s="543"/>
      <c r="K66" s="543"/>
      <c r="L66" s="543"/>
      <c r="M66" s="544"/>
      <c r="N66" s="1135"/>
      <c r="O66" s="1135"/>
      <c r="P66" s="1409"/>
      <c r="Q66" s="1403"/>
      <c r="R66" s="1126"/>
      <c r="S66" s="1126"/>
      <c r="T66" s="1126"/>
      <c r="U66" s="1126"/>
      <c r="V66" s="1126"/>
      <c r="W66" s="1126"/>
      <c r="X66" s="1126"/>
      <c r="Y66" s="1126"/>
      <c r="Z66" s="1126"/>
      <c r="AA66" s="1126"/>
      <c r="AB66" s="1126"/>
      <c r="AC66" s="1126"/>
    </row>
    <row r="67" spans="1:29" ht="15" thickTop="1">
      <c r="A67" s="533"/>
      <c r="B67" s="545" t="s">
        <v>2672</v>
      </c>
      <c r="C67" s="659" t="s">
        <v>2658</v>
      </c>
      <c r="D67" s="659" t="s">
        <v>2659</v>
      </c>
      <c r="E67" s="659" t="s">
        <v>2660</v>
      </c>
      <c r="F67" s="659" t="s">
        <v>2661</v>
      </c>
      <c r="G67" s="659" t="s">
        <v>2662</v>
      </c>
      <c r="H67" s="538"/>
      <c r="I67" s="538"/>
      <c r="J67" s="538"/>
      <c r="K67" s="538"/>
      <c r="L67" s="538"/>
      <c r="M67" s="1363"/>
      <c r="N67" s="1135"/>
      <c r="O67" s="1135"/>
      <c r="P67" s="1409"/>
      <c r="Q67" s="1403"/>
      <c r="R67" s="1126"/>
      <c r="S67" s="1126"/>
      <c r="T67" s="1126"/>
      <c r="U67" s="1126"/>
      <c r="V67" s="1126"/>
      <c r="W67" s="1126"/>
      <c r="X67" s="1126"/>
      <c r="Y67" s="1126"/>
      <c r="Z67" s="1126"/>
      <c r="AA67" s="1126"/>
      <c r="AB67" s="1126"/>
      <c r="AC67" s="1126"/>
    </row>
    <row r="68" spans="1:29" ht="14.4" thickBot="1">
      <c r="A68" s="533"/>
      <c r="B68" s="545"/>
      <c r="C68" s="543">
        <v>100</v>
      </c>
      <c r="D68" s="543">
        <f>C68-$K18</f>
        <v>99</v>
      </c>
      <c r="E68" s="543">
        <f>D68-$K18</f>
        <v>98</v>
      </c>
      <c r="F68" s="543">
        <f>E68-$K18</f>
        <v>97</v>
      </c>
      <c r="G68" s="543">
        <f>F68-$K18</f>
        <v>96</v>
      </c>
      <c r="H68" s="659"/>
      <c r="I68" s="659"/>
      <c r="J68" s="659"/>
      <c r="K68" s="659"/>
      <c r="L68" s="659"/>
      <c r="M68" s="449"/>
      <c r="N68" s="1135"/>
      <c r="O68" s="1135"/>
      <c r="P68" s="1409"/>
      <c r="Q68" s="1403"/>
      <c r="R68" s="1126"/>
      <c r="S68" s="1126"/>
      <c r="T68" s="1126"/>
      <c r="U68" s="1126"/>
      <c r="V68" s="1126"/>
      <c r="W68" s="1126"/>
      <c r="X68" s="1126"/>
      <c r="Y68" s="1126"/>
      <c r="Z68" s="1126"/>
      <c r="AA68" s="1126"/>
      <c r="AB68" s="1126"/>
      <c r="AC68" s="1126"/>
    </row>
    <row r="69" spans="1:29" ht="15" thickTop="1">
      <c r="A69" s="533"/>
      <c r="B69" s="537" t="s">
        <v>2592</v>
      </c>
      <c r="C69" s="577" t="s">
        <v>2580</v>
      </c>
      <c r="D69" s="577" t="s">
        <v>2581</v>
      </c>
      <c r="E69" s="577" t="s">
        <v>2582</v>
      </c>
      <c r="F69" s="577" t="s">
        <v>2583</v>
      </c>
      <c r="G69" s="577" t="s">
        <v>2584</v>
      </c>
      <c r="H69" s="538"/>
      <c r="I69" s="538"/>
      <c r="J69" s="538"/>
      <c r="K69" s="539"/>
      <c r="L69" s="540"/>
      <c r="M69" s="541"/>
      <c r="N69" s="1134"/>
      <c r="O69" s="1134"/>
      <c r="P69" s="1409"/>
      <c r="Q69" s="1403"/>
      <c r="R69" s="1126"/>
      <c r="S69" s="1126"/>
      <c r="T69" s="1126"/>
      <c r="U69" s="1126"/>
      <c r="V69" s="1126"/>
      <c r="W69" s="1126"/>
      <c r="X69" s="1126"/>
      <c r="Y69" s="1126"/>
      <c r="Z69" s="1126"/>
      <c r="AA69" s="1126"/>
      <c r="AB69" s="1126"/>
      <c r="AC69" s="1126"/>
    </row>
    <row r="70" spans="1:29" ht="14.4" thickBot="1">
      <c r="A70" s="533"/>
      <c r="B70" s="542"/>
      <c r="C70" s="543">
        <v>100</v>
      </c>
      <c r="D70" s="543">
        <f>C70-$K20</f>
        <v>98</v>
      </c>
      <c r="E70" s="543">
        <f>D70-$K20</f>
        <v>96</v>
      </c>
      <c r="F70" s="543">
        <f>E70-$K20</f>
        <v>94</v>
      </c>
      <c r="G70" s="543">
        <f>F70-$K20</f>
        <v>92</v>
      </c>
      <c r="H70" s="543"/>
      <c r="I70" s="543"/>
      <c r="J70" s="543"/>
      <c r="K70" s="543"/>
      <c r="L70" s="543"/>
      <c r="M70" s="544"/>
      <c r="N70" s="1135"/>
      <c r="O70" s="1135"/>
      <c r="P70" s="1409"/>
      <c r="Q70" s="1403"/>
      <c r="R70" s="1126"/>
      <c r="S70" s="1126"/>
      <c r="T70" s="1126"/>
      <c r="U70" s="1126"/>
      <c r="V70" s="1126"/>
      <c r="W70" s="1126"/>
      <c r="X70" s="1126"/>
      <c r="Y70" s="1126"/>
      <c r="Z70" s="1126"/>
      <c r="AA70" s="1126"/>
      <c r="AB70" s="1126"/>
      <c r="AC70" s="1126"/>
    </row>
    <row r="71" spans="1:29" ht="15" thickTop="1">
      <c r="A71" s="533"/>
      <c r="B71" s="537" t="s">
        <v>2711</v>
      </c>
      <c r="C71" s="2973" t="s">
        <v>3372</v>
      </c>
      <c r="D71" s="553"/>
      <c r="E71" s="553"/>
      <c r="F71" s="553"/>
      <c r="G71" s="553"/>
      <c r="H71" s="582"/>
      <c r="I71" s="582"/>
      <c r="J71" s="582"/>
      <c r="K71" s="583"/>
      <c r="L71" s="584"/>
      <c r="M71" s="585"/>
      <c r="N71" s="1134"/>
      <c r="O71" s="1134"/>
      <c r="P71" s="1409"/>
      <c r="Q71" s="1403"/>
      <c r="R71" s="1126"/>
      <c r="S71" s="1126"/>
      <c r="T71" s="1126"/>
      <c r="U71" s="1126"/>
      <c r="V71" s="1126"/>
      <c r="W71" s="1126"/>
      <c r="X71" s="1126"/>
      <c r="Y71" s="1126"/>
      <c r="Z71" s="1126"/>
      <c r="AA71" s="1126"/>
      <c r="AB71" s="1126"/>
      <c r="AC71" s="1126"/>
    </row>
    <row r="72" spans="1:29" ht="14.4" thickBot="1">
      <c r="A72" s="533"/>
      <c r="B72" s="542"/>
      <c r="C72" s="543">
        <v>100</v>
      </c>
      <c r="D72" s="543">
        <f>C72-$K22</f>
        <v>98</v>
      </c>
      <c r="E72" s="543">
        <f>D72-$K22</f>
        <v>96</v>
      </c>
      <c r="F72" s="543">
        <f>E72-$K22</f>
        <v>94</v>
      </c>
      <c r="G72" s="543">
        <f>F72-$K22</f>
        <v>92</v>
      </c>
      <c r="H72" s="543"/>
      <c r="I72" s="543"/>
      <c r="J72" s="543"/>
      <c r="K72" s="543"/>
      <c r="L72" s="543"/>
      <c r="M72" s="544"/>
      <c r="N72" s="1135"/>
      <c r="O72" s="1135"/>
      <c r="P72" s="1409"/>
      <c r="Q72" s="1403"/>
      <c r="R72" s="1126"/>
      <c r="S72" s="1126"/>
      <c r="T72" s="1126"/>
      <c r="U72" s="1126"/>
      <c r="V72" s="1126"/>
      <c r="W72" s="1126"/>
      <c r="X72" s="1126"/>
      <c r="Y72" s="1126"/>
      <c r="Z72" s="1126"/>
      <c r="AA72" s="1126"/>
      <c r="AB72" s="1126"/>
      <c r="AC72" s="1126"/>
    </row>
    <row r="73" spans="1:29" s="117" customFormat="1" ht="14.4" thickTop="1">
      <c r="A73" s="578"/>
      <c r="B73" s="537">
        <f>B23</f>
        <v>111</v>
      </c>
      <c r="C73" s="548"/>
      <c r="D73" s="548"/>
      <c r="E73" s="548"/>
      <c r="F73" s="548"/>
      <c r="G73" s="553"/>
      <c r="H73" s="553"/>
      <c r="I73" s="553"/>
      <c r="J73" s="553"/>
      <c r="K73" s="553"/>
      <c r="L73" s="579"/>
      <c r="M73" s="580"/>
      <c r="N73" s="1133"/>
      <c r="O73" s="1133"/>
      <c r="P73" s="1409"/>
      <c r="Q73" s="1403"/>
      <c r="R73" s="1407"/>
      <c r="S73" s="1407"/>
      <c r="T73" s="1407"/>
      <c r="U73" s="1407"/>
      <c r="V73" s="1407"/>
      <c r="W73" s="1407"/>
      <c r="X73" s="1407"/>
      <c r="Y73" s="1407"/>
      <c r="Z73" s="1407"/>
      <c r="AA73" s="1407"/>
      <c r="AB73" s="1407"/>
      <c r="AC73" s="1407"/>
    </row>
    <row r="74" spans="1:29" s="117" customFormat="1" ht="14.4" thickBot="1">
      <c r="A74" s="578"/>
      <c r="B74" s="542"/>
      <c r="C74" s="559"/>
      <c r="D74" s="535"/>
      <c r="E74" s="535"/>
      <c r="F74" s="535"/>
      <c r="G74" s="535"/>
      <c r="H74" s="535"/>
      <c r="I74" s="535"/>
      <c r="J74" s="535"/>
      <c r="K74" s="535"/>
      <c r="L74" s="535"/>
      <c r="M74" s="536"/>
      <c r="N74" s="1135"/>
      <c r="O74" s="1135"/>
      <c r="P74" s="1409"/>
      <c r="Q74" s="1403"/>
      <c r="R74" s="1407"/>
      <c r="S74" s="1407"/>
      <c r="T74" s="1407"/>
      <c r="U74" s="1407"/>
      <c r="V74" s="1407"/>
      <c r="W74" s="1407"/>
      <c r="X74" s="1407"/>
      <c r="Y74" s="1407"/>
      <c r="Z74" s="1407"/>
      <c r="AA74" s="1407"/>
      <c r="AB74" s="1407"/>
      <c r="AC74" s="1407"/>
    </row>
    <row r="75" spans="1:29" s="117" customFormat="1" ht="14.4" thickTop="1">
      <c r="A75" s="578"/>
      <c r="B75" s="537">
        <f>B24</f>
        <v>111</v>
      </c>
      <c r="C75" s="548"/>
      <c r="D75" s="548"/>
      <c r="E75" s="548"/>
      <c r="F75" s="548"/>
      <c r="G75" s="553"/>
      <c r="H75" s="553"/>
      <c r="I75" s="553"/>
      <c r="J75" s="553"/>
      <c r="K75" s="553"/>
      <c r="L75" s="553"/>
      <c r="M75" s="580"/>
      <c r="N75" s="1133"/>
      <c r="O75" s="1133"/>
      <c r="P75" s="1409"/>
      <c r="Q75" s="1403"/>
      <c r="R75" s="1407"/>
      <c r="S75" s="1407"/>
      <c r="T75" s="1407"/>
      <c r="U75" s="1407"/>
      <c r="V75" s="1407"/>
      <c r="W75" s="1407"/>
      <c r="X75" s="1407"/>
      <c r="Y75" s="1407"/>
      <c r="Z75" s="1407"/>
      <c r="AA75" s="1407"/>
      <c r="AB75" s="1407"/>
      <c r="AC75" s="1407"/>
    </row>
    <row r="76" spans="1:29" s="117" customFormat="1" ht="14.4" thickBot="1">
      <c r="A76" s="578"/>
      <c r="B76" s="542"/>
      <c r="C76" s="559"/>
      <c r="D76" s="535"/>
      <c r="E76" s="535"/>
      <c r="F76" s="535"/>
      <c r="G76" s="535"/>
      <c r="H76" s="535"/>
      <c r="I76" s="535"/>
      <c r="J76" s="535"/>
      <c r="K76" s="535"/>
      <c r="L76" s="535"/>
      <c r="M76" s="536"/>
      <c r="N76" s="1135"/>
      <c r="O76" s="1135"/>
      <c r="P76" s="1409"/>
      <c r="Q76" s="1403"/>
      <c r="R76" s="1407"/>
      <c r="S76" s="1407"/>
      <c r="T76" s="1407"/>
      <c r="U76" s="1407"/>
      <c r="V76" s="1407"/>
      <c r="W76" s="1407"/>
      <c r="X76" s="1407"/>
      <c r="Y76" s="1407"/>
      <c r="Z76" s="1407"/>
      <c r="AA76" s="1407"/>
      <c r="AB76" s="1407"/>
      <c r="AC76" s="1407"/>
    </row>
    <row r="77" spans="1:29" s="470" customFormat="1" ht="14.4" thickTop="1">
      <c r="A77" s="552"/>
      <c r="B77" s="537">
        <f>B25</f>
        <v>111</v>
      </c>
      <c r="C77" s="553"/>
      <c r="D77" s="553"/>
      <c r="E77" s="553"/>
      <c r="F77" s="553"/>
      <c r="G77" s="553"/>
      <c r="H77" s="554"/>
      <c r="I77" s="554"/>
      <c r="J77" s="554"/>
      <c r="K77" s="554"/>
      <c r="L77" s="555"/>
      <c r="M77" s="556"/>
      <c r="N77" s="1136"/>
      <c r="O77" s="1136"/>
      <c r="P77" s="1410"/>
      <c r="Q77" s="1411"/>
      <c r="R77" s="1412"/>
      <c r="S77" s="1412"/>
      <c r="T77" s="1412"/>
      <c r="U77" s="1412"/>
      <c r="V77" s="1412"/>
      <c r="W77" s="1412"/>
      <c r="X77" s="1412"/>
      <c r="Y77" s="1412"/>
      <c r="Z77" s="1412"/>
      <c r="AA77" s="1412"/>
      <c r="AB77" s="1412"/>
      <c r="AC77" s="1412"/>
    </row>
    <row r="78" spans="1:29" s="470" customFormat="1" ht="14.4" thickBot="1">
      <c r="A78" s="552"/>
      <c r="B78" s="542"/>
      <c r="C78" s="559"/>
      <c r="D78" s="559"/>
      <c r="E78" s="559"/>
      <c r="F78" s="559"/>
      <c r="G78" s="535"/>
      <c r="H78" s="535"/>
      <c r="I78" s="535"/>
      <c r="J78" s="535"/>
      <c r="K78" s="535"/>
      <c r="L78" s="535"/>
      <c r="M78" s="536"/>
      <c r="N78" s="1136"/>
      <c r="O78" s="1136"/>
      <c r="P78" s="1410"/>
      <c r="Q78" s="1411"/>
      <c r="R78" s="1412"/>
      <c r="S78" s="1412"/>
      <c r="T78" s="1412"/>
      <c r="U78" s="1412"/>
      <c r="V78" s="1412"/>
      <c r="W78" s="1412"/>
      <c r="X78" s="1412"/>
      <c r="Y78" s="1412"/>
      <c r="Z78" s="1412"/>
      <c r="AA78" s="1412"/>
      <c r="AB78" s="1412"/>
      <c r="AC78" s="1412"/>
    </row>
    <row r="79" spans="1:29" ht="29.4" thickTop="1">
      <c r="A79" s="526" t="s">
        <v>2546</v>
      </c>
      <c r="B79" s="527" t="s">
        <v>2712</v>
      </c>
      <c r="C79" s="528" t="str">
        <f>C26</f>
        <v>车库</v>
      </c>
      <c r="D79" s="529"/>
      <c r="E79" s="529"/>
      <c r="F79" s="529"/>
      <c r="G79" s="529"/>
      <c r="H79" s="529"/>
      <c r="I79" s="529"/>
      <c r="J79" s="529"/>
      <c r="K79" s="530"/>
      <c r="L79" s="531"/>
      <c r="M79" s="532"/>
      <c r="N79" s="1134"/>
      <c r="O79" s="1134"/>
      <c r="P79" s="1409"/>
      <c r="Q79" s="1403"/>
      <c r="R79" s="1126"/>
      <c r="S79" s="1126"/>
      <c r="T79" s="1126"/>
      <c r="U79" s="1126"/>
      <c r="V79" s="1126"/>
      <c r="W79" s="1126"/>
      <c r="X79" s="1126"/>
      <c r="Y79" s="1126"/>
      <c r="Z79" s="1126"/>
      <c r="AA79" s="1126"/>
      <c r="AB79" s="1126"/>
      <c r="AC79" s="1126"/>
    </row>
    <row r="80" spans="1:29" ht="14.4"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5"/>
      <c r="O80" s="1135"/>
      <c r="P80" s="1409"/>
      <c r="Q80" s="1403"/>
      <c r="R80" s="1126"/>
      <c r="S80" s="1126"/>
      <c r="T80" s="1126"/>
      <c r="U80" s="1126"/>
      <c r="V80" s="1126"/>
      <c r="W80" s="1126"/>
      <c r="X80" s="1126"/>
      <c r="Y80" s="1126"/>
      <c r="Z80" s="1126"/>
      <c r="AA80" s="1126"/>
      <c r="AB80" s="1126"/>
      <c r="AC80" s="1126"/>
    </row>
    <row r="81" spans="1:29" ht="15" thickTop="1">
      <c r="A81" s="533"/>
      <c r="B81" s="537" t="s">
        <v>2713</v>
      </c>
      <c r="C81" s="660"/>
      <c r="D81" s="660"/>
      <c r="E81" s="660"/>
      <c r="F81" s="660"/>
      <c r="G81" s="660"/>
      <c r="H81" s="660"/>
      <c r="I81" s="660"/>
      <c r="J81" s="660"/>
      <c r="K81" s="661"/>
      <c r="L81" s="662"/>
      <c r="M81" s="663"/>
      <c r="N81" s="1133"/>
      <c r="O81" s="1133"/>
      <c r="P81" s="1409"/>
      <c r="Q81" s="1403"/>
      <c r="R81" s="1126"/>
      <c r="S81" s="1126"/>
      <c r="T81" s="1126"/>
      <c r="U81" s="1126"/>
      <c r="V81" s="1126"/>
      <c r="W81" s="1126"/>
      <c r="X81" s="1126"/>
      <c r="Y81" s="1126"/>
      <c r="Z81" s="1126"/>
      <c r="AA81" s="1126"/>
      <c r="AB81" s="1126"/>
      <c r="AC81" s="1126"/>
    </row>
    <row r="82" spans="1:29" s="470" customFormat="1" ht="14.4" thickBot="1">
      <c r="A82" s="552"/>
      <c r="B82" s="542"/>
      <c r="C82" s="559"/>
      <c r="D82" s="535"/>
      <c r="E82" s="535"/>
      <c r="F82" s="535"/>
      <c r="G82" s="535"/>
      <c r="H82" s="535"/>
      <c r="I82" s="535"/>
      <c r="J82" s="535"/>
      <c r="K82" s="535"/>
      <c r="L82" s="535"/>
      <c r="M82" s="536"/>
      <c r="N82" s="1135"/>
      <c r="O82" s="1135"/>
      <c r="P82" s="1410"/>
      <c r="Q82" s="1411"/>
      <c r="R82" s="1412"/>
      <c r="S82" s="1412"/>
      <c r="T82" s="1412"/>
      <c r="U82" s="1412"/>
      <c r="V82" s="1412"/>
      <c r="W82" s="1412"/>
      <c r="X82" s="1412"/>
      <c r="Y82" s="1412"/>
      <c r="Z82" s="1412"/>
      <c r="AA82" s="1412"/>
      <c r="AB82" s="1412"/>
      <c r="AC82" s="1412"/>
    </row>
    <row r="83" spans="1:29" ht="15" thickTop="1">
      <c r="A83" s="598"/>
      <c r="B83" s="537" t="s">
        <v>2599</v>
      </c>
      <c r="C83" s="2966" t="s">
        <v>3113</v>
      </c>
      <c r="D83" s="2966" t="s">
        <v>3071</v>
      </c>
      <c r="E83" s="2966" t="s">
        <v>3072</v>
      </c>
      <c r="F83" s="2969" t="s">
        <v>3073</v>
      </c>
      <c r="G83" s="582"/>
      <c r="H83" s="582"/>
      <c r="I83" s="582"/>
      <c r="J83" s="582"/>
      <c r="K83" s="583"/>
      <c r="L83" s="584"/>
      <c r="M83" s="585"/>
      <c r="N83" s="1134"/>
      <c r="O83" s="1134"/>
      <c r="P83" s="1409"/>
      <c r="Q83" s="1403"/>
      <c r="R83" s="1126"/>
      <c r="S83" s="1126"/>
      <c r="T83" s="1126"/>
      <c r="U83" s="1126"/>
      <c r="V83" s="1126"/>
      <c r="W83" s="1126"/>
      <c r="X83" s="1126"/>
      <c r="Y83" s="1126"/>
      <c r="Z83" s="1126"/>
      <c r="AA83" s="1126"/>
      <c r="AB83" s="1126"/>
      <c r="AC83" s="1126"/>
    </row>
    <row r="84" spans="1:29" ht="14.4"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5"/>
      <c r="O84" s="1135"/>
      <c r="P84" s="1409"/>
      <c r="Q84" s="1403"/>
      <c r="R84" s="1126"/>
      <c r="S84" s="1126"/>
      <c r="T84" s="1126"/>
      <c r="U84" s="1126"/>
      <c r="V84" s="1126"/>
      <c r="W84" s="1126"/>
      <c r="X84" s="1126"/>
      <c r="Y84" s="1126"/>
      <c r="Z84" s="1126"/>
      <c r="AA84" s="1126"/>
      <c r="AB84" s="1126"/>
      <c r="AC84" s="1126"/>
    </row>
    <row r="85" spans="1:29" ht="15" thickTop="1">
      <c r="A85" s="598"/>
      <c r="B85" s="537" t="s">
        <v>2714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4"/>
      <c r="O85" s="1134"/>
      <c r="P85" s="1409"/>
      <c r="Q85" s="1403"/>
      <c r="R85" s="1126"/>
      <c r="S85" s="1126"/>
      <c r="T85" s="1126"/>
      <c r="U85" s="1126"/>
      <c r="V85" s="1126"/>
      <c r="W85" s="1126"/>
      <c r="X85" s="1126"/>
      <c r="Y85" s="1126"/>
      <c r="Z85" s="1126"/>
      <c r="AA85" s="1126"/>
      <c r="AB85" s="1126"/>
      <c r="AC85" s="1126"/>
    </row>
    <row r="86" spans="1:29">
      <c r="A86" s="598"/>
      <c r="B86" s="545"/>
      <c r="C86" s="602">
        <v>0.5</v>
      </c>
      <c r="D86" s="602">
        <v>0.6</v>
      </c>
      <c r="E86" s="602">
        <v>0.7</v>
      </c>
      <c r="F86" s="602">
        <v>0.8</v>
      </c>
      <c r="G86" s="602">
        <v>0.9</v>
      </c>
      <c r="H86" s="602">
        <v>1.0001</v>
      </c>
      <c r="I86" s="622"/>
      <c r="J86" s="622"/>
      <c r="K86" s="623"/>
      <c r="L86" s="624"/>
      <c r="M86" s="625"/>
      <c r="N86" s="1134"/>
      <c r="O86" s="1134"/>
      <c r="P86" s="1409"/>
      <c r="Q86" s="1403"/>
      <c r="R86" s="1126"/>
      <c r="S86" s="1126"/>
      <c r="T86" s="1126"/>
      <c r="U86" s="1126"/>
      <c r="V86" s="1126"/>
      <c r="W86" s="1126"/>
      <c r="X86" s="1126"/>
      <c r="Y86" s="1126"/>
      <c r="Z86" s="1126"/>
      <c r="AA86" s="1126"/>
      <c r="AB86" s="1126"/>
      <c r="AC86" s="1126"/>
    </row>
    <row r="87" spans="1:29" ht="14.4"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5"/>
      <c r="O87" s="1135"/>
      <c r="P87" s="1409"/>
      <c r="Q87" s="1403"/>
      <c r="R87" s="1126"/>
      <c r="S87" s="1126"/>
      <c r="T87" s="1126"/>
      <c r="U87" s="1126"/>
      <c r="V87" s="1126"/>
      <c r="W87" s="1126"/>
      <c r="X87" s="1126"/>
      <c r="Y87" s="1126"/>
      <c r="Z87" s="1126"/>
      <c r="AA87" s="1126"/>
      <c r="AB87" s="1126"/>
      <c r="AC87" s="1126"/>
    </row>
    <row r="88" spans="1:29" ht="15" thickTop="1">
      <c r="A88" s="598"/>
      <c r="B88" s="545" t="s">
        <v>2715</v>
      </c>
      <c r="C88" s="2975" t="s">
        <v>3373</v>
      </c>
      <c r="D88" s="529"/>
      <c r="E88" s="529"/>
      <c r="F88" s="529"/>
      <c r="G88" s="529"/>
      <c r="H88" s="529"/>
      <c r="I88" s="529"/>
      <c r="J88" s="529"/>
      <c r="K88" s="530"/>
      <c r="L88" s="531"/>
      <c r="M88" s="532"/>
      <c r="N88" s="1134"/>
      <c r="O88" s="1134"/>
      <c r="P88" s="1409"/>
      <c r="Q88" s="1403"/>
      <c r="R88" s="1126"/>
      <c r="S88" s="1126"/>
      <c r="T88" s="1126"/>
      <c r="U88" s="1126"/>
      <c r="V88" s="1126"/>
      <c r="W88" s="1126"/>
      <c r="X88" s="1126"/>
      <c r="Y88" s="1126"/>
      <c r="Z88" s="1126"/>
      <c r="AA88" s="1126"/>
      <c r="AB88" s="1126"/>
      <c r="AC88" s="1126"/>
    </row>
    <row r="89" spans="1:29" ht="14.4"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5"/>
      <c r="O89" s="1135"/>
      <c r="P89" s="1409"/>
      <c r="Q89" s="1403"/>
      <c r="R89" s="1126"/>
      <c r="S89" s="1126"/>
      <c r="T89" s="1126"/>
      <c r="U89" s="1126"/>
      <c r="V89" s="1126"/>
      <c r="W89" s="1126"/>
      <c r="X89" s="1126"/>
      <c r="Y89" s="1126"/>
      <c r="Z89" s="1126"/>
      <c r="AA89" s="1126"/>
      <c r="AB89" s="1126"/>
      <c r="AC89" s="1126"/>
    </row>
    <row r="90" spans="1:29" s="470" customFormat="1" ht="15" thickTop="1">
      <c r="A90" s="592"/>
      <c r="B90" s="537" t="s">
        <v>2716</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6"/>
      <c r="O90" s="1136"/>
      <c r="P90" s="1410"/>
      <c r="Q90" s="1411"/>
      <c r="R90" s="1412"/>
      <c r="S90" s="1412"/>
      <c r="T90" s="1412"/>
      <c r="U90" s="1412"/>
      <c r="V90" s="1412"/>
      <c r="W90" s="1412"/>
      <c r="X90" s="1412"/>
      <c r="Y90" s="1412"/>
      <c r="Z90" s="1412"/>
      <c r="AA90" s="1412"/>
      <c r="AB90" s="1412"/>
      <c r="AC90" s="1412"/>
    </row>
    <row r="91" spans="1:29" s="470" customFormat="1">
      <c r="A91" s="592"/>
      <c r="B91" s="545"/>
      <c r="C91" s="594">
        <v>0</v>
      </c>
      <c r="D91" s="594">
        <v>40</v>
      </c>
      <c r="E91" s="594"/>
      <c r="F91" s="594"/>
      <c r="G91" s="594"/>
      <c r="H91" s="594"/>
      <c r="I91" s="594"/>
      <c r="J91" s="595"/>
      <c r="K91" s="595"/>
      <c r="L91" s="596"/>
      <c r="M91" s="597"/>
      <c r="N91" s="1136"/>
      <c r="O91" s="1136"/>
      <c r="P91" s="1410"/>
      <c r="Q91" s="1411"/>
      <c r="R91" s="1412"/>
      <c r="S91" s="1412"/>
      <c r="T91" s="1412"/>
      <c r="U91" s="1412"/>
      <c r="V91" s="1412"/>
      <c r="W91" s="1412"/>
      <c r="X91" s="1412"/>
      <c r="Y91" s="1412"/>
      <c r="Z91" s="1412"/>
      <c r="AA91" s="1412"/>
      <c r="AB91" s="1412"/>
      <c r="AC91" s="1412"/>
    </row>
    <row r="92" spans="1:29" s="470" customFormat="1" ht="14.4" thickBot="1">
      <c r="A92" s="552"/>
      <c r="B92" s="542"/>
      <c r="C92" s="559"/>
      <c r="D92" s="535"/>
      <c r="E92" s="535"/>
      <c r="F92" s="535"/>
      <c r="G92" s="535"/>
      <c r="H92" s="535"/>
      <c r="I92" s="535"/>
      <c r="J92" s="535"/>
      <c r="K92" s="535"/>
      <c r="L92" s="535"/>
      <c r="M92" s="536"/>
      <c r="N92" s="1136"/>
      <c r="O92" s="1136"/>
      <c r="P92" s="1410"/>
      <c r="Q92" s="1411"/>
      <c r="R92" s="1412"/>
      <c r="S92" s="1412"/>
      <c r="T92" s="1412"/>
      <c r="U92" s="1412"/>
      <c r="V92" s="1412"/>
      <c r="W92" s="1412"/>
      <c r="X92" s="1412"/>
      <c r="Y92" s="1412"/>
      <c r="Z92" s="1412"/>
      <c r="AA92" s="1412"/>
      <c r="AB92" s="1412"/>
      <c r="AC92" s="1412"/>
    </row>
    <row r="93" spans="1:29" ht="15" thickTop="1">
      <c r="A93" s="598"/>
      <c r="B93" s="537" t="s">
        <v>2717</v>
      </c>
      <c r="C93" s="2973" t="s">
        <v>3375</v>
      </c>
      <c r="D93" s="553"/>
      <c r="E93" s="582"/>
      <c r="F93" s="582"/>
      <c r="G93" s="582"/>
      <c r="H93" s="582"/>
      <c r="I93" s="582"/>
      <c r="J93" s="582"/>
      <c r="K93" s="583"/>
      <c r="L93" s="584"/>
      <c r="M93" s="585"/>
      <c r="N93" s="1134"/>
      <c r="O93" s="1134"/>
      <c r="P93" s="1409"/>
      <c r="Q93" s="1403"/>
      <c r="R93" s="1126"/>
      <c r="S93" s="1126"/>
      <c r="T93" s="1126"/>
      <c r="U93" s="1126"/>
      <c r="V93" s="1126"/>
      <c r="W93" s="1126"/>
      <c r="X93" s="1126"/>
      <c r="Y93" s="1126"/>
      <c r="Z93" s="1126"/>
      <c r="AA93" s="1126"/>
      <c r="AB93" s="1126"/>
      <c r="AC93" s="1126"/>
    </row>
    <row r="94" spans="1:29" ht="14.4"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5"/>
      <c r="O94" s="1135"/>
      <c r="P94" s="1409"/>
      <c r="Q94" s="1403"/>
      <c r="R94" s="1126"/>
      <c r="S94" s="1126"/>
      <c r="T94" s="1126"/>
      <c r="U94" s="1126"/>
      <c r="V94" s="1126"/>
      <c r="W94" s="1126"/>
      <c r="X94" s="1126"/>
      <c r="Y94" s="1126"/>
      <c r="Z94" s="1126"/>
      <c r="AA94" s="1126"/>
      <c r="AB94" s="1126"/>
      <c r="AC94" s="1126"/>
    </row>
    <row r="95" spans="1:29" ht="15" thickTop="1">
      <c r="A95" s="598"/>
      <c r="B95" s="537" t="s">
        <v>2718</v>
      </c>
      <c r="C95" s="529"/>
      <c r="D95" s="529"/>
      <c r="E95" s="529"/>
      <c r="F95" s="529"/>
      <c r="G95" s="529"/>
      <c r="H95" s="529"/>
      <c r="I95" s="529"/>
      <c r="J95" s="529"/>
      <c r="K95" s="530"/>
      <c r="L95" s="531"/>
      <c r="M95" s="532"/>
      <c r="N95" s="1134"/>
      <c r="O95" s="1134"/>
      <c r="P95" s="1409"/>
      <c r="Q95" s="1403"/>
      <c r="R95" s="1126"/>
      <c r="S95" s="1126"/>
      <c r="T95" s="1126"/>
      <c r="U95" s="1126"/>
      <c r="V95" s="1126"/>
      <c r="W95" s="1126"/>
      <c r="X95" s="1126"/>
      <c r="Y95" s="1126"/>
      <c r="Z95" s="1126"/>
      <c r="AA95" s="1126"/>
      <c r="AB95" s="1126"/>
      <c r="AC95" s="1126"/>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35"/>
      <c r="O96" s="1135"/>
      <c r="P96" s="1409"/>
      <c r="Q96" s="1403"/>
      <c r="R96" s="1126"/>
      <c r="S96" s="1126"/>
      <c r="T96" s="1126"/>
      <c r="U96" s="1126"/>
      <c r="V96" s="1126"/>
      <c r="W96" s="1126"/>
      <c r="X96" s="1126"/>
      <c r="Y96" s="1126"/>
      <c r="Z96" s="1126"/>
      <c r="AA96" s="1126"/>
      <c r="AB96" s="1126"/>
      <c r="AC96" s="1126"/>
    </row>
    <row r="97" spans="1:29" ht="14.4" thickTop="1">
      <c r="A97" s="598"/>
      <c r="B97" s="635">
        <f>B34</f>
        <v>111</v>
      </c>
      <c r="C97" s="548"/>
      <c r="D97" s="548"/>
      <c r="E97" s="548"/>
      <c r="F97" s="548"/>
      <c r="G97" s="553"/>
      <c r="H97" s="554"/>
      <c r="I97" s="554"/>
      <c r="J97" s="554"/>
      <c r="K97" s="554"/>
      <c r="L97" s="555"/>
      <c r="M97" s="556"/>
      <c r="N97" s="1135"/>
      <c r="O97" s="1135"/>
      <c r="P97" s="1416"/>
      <c r="Q97" s="1417"/>
      <c r="R97" s="1126"/>
      <c r="S97" s="1126"/>
      <c r="T97" s="1126"/>
      <c r="U97" s="1126"/>
      <c r="V97" s="1126"/>
      <c r="W97" s="1126"/>
      <c r="X97" s="1126"/>
      <c r="Y97" s="1126"/>
      <c r="Z97" s="1126"/>
      <c r="AA97" s="1126"/>
      <c r="AB97" s="1126"/>
      <c r="AC97" s="1126"/>
    </row>
    <row r="98" spans="1:29" ht="14.4" thickBot="1">
      <c r="A98" s="533"/>
      <c r="B98" s="542"/>
      <c r="C98" s="559"/>
      <c r="D98" s="535"/>
      <c r="E98" s="535"/>
      <c r="F98" s="535"/>
      <c r="G98" s="559"/>
      <c r="H98" s="561"/>
      <c r="I98" s="561"/>
      <c r="J98" s="561"/>
      <c r="K98" s="561"/>
      <c r="L98" s="561"/>
      <c r="M98" s="562"/>
      <c r="N98" s="1135"/>
      <c r="O98" s="1135"/>
      <c r="P98" s="1409"/>
      <c r="Q98" s="1403"/>
      <c r="R98" s="1126"/>
      <c r="S98" s="1126"/>
      <c r="T98" s="1126"/>
      <c r="U98" s="1126"/>
      <c r="V98" s="1126"/>
      <c r="W98" s="1126"/>
      <c r="X98" s="1126"/>
      <c r="Y98" s="1126"/>
      <c r="Z98" s="1126"/>
      <c r="AA98" s="1126"/>
      <c r="AB98" s="1126"/>
      <c r="AC98" s="1126"/>
    </row>
    <row r="99" spans="1:29" s="470" customFormat="1" ht="14.4" thickTop="1">
      <c r="A99" s="592"/>
      <c r="B99" s="537">
        <f>B35</f>
        <v>111</v>
      </c>
      <c r="C99" s="548"/>
      <c r="D99" s="548"/>
      <c r="E99" s="548"/>
      <c r="F99" s="548"/>
      <c r="G99" s="553"/>
      <c r="H99" s="554"/>
      <c r="I99" s="554"/>
      <c r="J99" s="554"/>
      <c r="K99" s="554"/>
      <c r="L99" s="555"/>
      <c r="M99" s="556"/>
      <c r="N99" s="1136"/>
      <c r="O99" s="1136"/>
      <c r="P99" s="1410"/>
      <c r="Q99" s="1411"/>
      <c r="R99" s="1412"/>
      <c r="S99" s="1412"/>
      <c r="T99" s="1412"/>
      <c r="U99" s="1412"/>
      <c r="V99" s="1412"/>
      <c r="W99" s="1412"/>
      <c r="X99" s="1412"/>
      <c r="Y99" s="1412"/>
      <c r="Z99" s="1412"/>
      <c r="AA99" s="1412"/>
      <c r="AB99" s="1412"/>
      <c r="AC99" s="1412"/>
    </row>
    <row r="100" spans="1:29" s="470" customFormat="1" ht="14.4" thickBot="1">
      <c r="A100" s="552"/>
      <c r="B100" s="534"/>
      <c r="C100" s="559"/>
      <c r="D100" s="535"/>
      <c r="E100" s="535"/>
      <c r="F100" s="535"/>
      <c r="G100" s="559"/>
      <c r="H100" s="561"/>
      <c r="I100" s="561"/>
      <c r="J100" s="561"/>
      <c r="K100" s="561"/>
      <c r="L100" s="561"/>
      <c r="M100" s="562"/>
      <c r="N100" s="1136"/>
      <c r="O100" s="1136"/>
      <c r="P100" s="1410"/>
      <c r="Q100" s="1411"/>
      <c r="R100" s="1412"/>
      <c r="S100" s="1412"/>
      <c r="T100" s="1412"/>
      <c r="U100" s="1412"/>
      <c r="V100" s="1412"/>
      <c r="W100" s="1412"/>
      <c r="X100" s="1412"/>
      <c r="Y100" s="1412"/>
      <c r="Z100" s="1412"/>
      <c r="AA100" s="1412"/>
      <c r="AB100" s="1412"/>
      <c r="AC100" s="1412"/>
    </row>
    <row r="101" spans="1:29" ht="14.4" thickTop="1">
      <c r="A101" s="598"/>
      <c r="B101" s="537">
        <f>B36</f>
        <v>111</v>
      </c>
      <c r="C101" s="553"/>
      <c r="D101" s="553"/>
      <c r="E101" s="553"/>
      <c r="F101" s="553"/>
      <c r="G101" s="553"/>
      <c r="H101" s="554"/>
      <c r="I101" s="554"/>
      <c r="J101" s="554"/>
      <c r="K101" s="554"/>
      <c r="L101" s="555"/>
      <c r="M101" s="556"/>
      <c r="N101" s="1134"/>
      <c r="O101" s="1134"/>
      <c r="P101" s="1409"/>
      <c r="Q101" s="1403"/>
      <c r="R101" s="1126"/>
      <c r="S101" s="1126"/>
      <c r="T101" s="1126"/>
      <c r="U101" s="1126"/>
      <c r="V101" s="1126"/>
      <c r="W101" s="1126"/>
      <c r="X101" s="1126"/>
      <c r="Y101" s="1126"/>
      <c r="Z101" s="1126"/>
      <c r="AA101" s="1126"/>
      <c r="AB101" s="1126"/>
      <c r="AC101" s="1126"/>
    </row>
    <row r="102" spans="1:29" ht="14.4" thickBot="1">
      <c r="A102" s="533"/>
      <c r="B102" s="542"/>
      <c r="C102" s="559"/>
      <c r="D102" s="559"/>
      <c r="E102" s="559"/>
      <c r="F102" s="559"/>
      <c r="G102" s="559"/>
      <c r="H102" s="561"/>
      <c r="I102" s="561"/>
      <c r="J102" s="561"/>
      <c r="K102" s="561"/>
      <c r="L102" s="561"/>
      <c r="M102" s="562"/>
      <c r="N102" s="1135"/>
      <c r="O102" s="1135"/>
      <c r="P102" s="1409"/>
      <c r="Q102" s="1403"/>
      <c r="R102" s="1126"/>
      <c r="S102" s="1126"/>
      <c r="T102" s="1126"/>
      <c r="U102" s="1126"/>
      <c r="V102" s="1126"/>
      <c r="W102" s="1126"/>
      <c r="X102" s="1126"/>
      <c r="Y102" s="1126"/>
      <c r="Z102" s="1126"/>
      <c r="AA102" s="1126"/>
      <c r="AB102" s="1126"/>
      <c r="AC102" s="1126"/>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E17 I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41"/>
  <sheetViews>
    <sheetView zoomScale="89" zoomScaleNormal="89"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08" customFormat="1" ht="28.5" customHeight="1" thickBot="1">
      <c r="A1" s="1597" t="s">
        <v>2690</v>
      </c>
      <c r="B1" s="1598"/>
      <c r="C1" s="1599" t="s">
        <v>2513</v>
      </c>
      <c r="D1" s="1600"/>
      <c r="E1" s="1609"/>
      <c r="F1" s="2554"/>
      <c r="G1" s="1610" t="s">
        <v>2626</v>
      </c>
      <c r="H1" s="1609"/>
      <c r="I1" s="1609"/>
      <c r="J1" s="1609"/>
      <c r="K1" s="1611"/>
      <c r="L1" s="1612"/>
      <c r="M1" s="1613"/>
      <c r="N1" s="1613"/>
      <c r="O1" s="1613"/>
      <c r="P1" s="1599"/>
      <c r="Q1" s="1599"/>
      <c r="R1" s="1599"/>
      <c r="S1" s="1599"/>
      <c r="T1" s="1599"/>
      <c r="U1" s="1599"/>
      <c r="V1" s="1599"/>
      <c r="W1" s="1599"/>
      <c r="X1" s="1599"/>
      <c r="Y1" s="1599"/>
      <c r="Z1" s="1599"/>
      <c r="AA1" s="1599"/>
      <c r="AB1" s="1599"/>
      <c r="AC1" s="1607"/>
    </row>
    <row r="2" spans="1:29" s="397" customFormat="1" ht="28.5" customHeight="1" thickTop="1">
      <c r="A2" s="1596" t="s">
        <v>2310</v>
      </c>
      <c r="B2" s="1398" t="e">
        <f ca="1">IF(C2="——",ROUND(C37*D3/10000,0),ROUND(C37*D3/10000,0)-D2)</f>
        <v>#DIV/0!</v>
      </c>
      <c r="C2" s="2556"/>
      <c r="D2" s="1106" t="e">
        <f ca="1">SUMIF(INDIRECT("'"&amp;F2&amp;"'"&amp;"!A:A"),"承租人权益价值",INDIRECT("'"&amp;F2&amp;"'"&amp;"!c:c"))</f>
        <v>#REF!</v>
      </c>
      <c r="E2" s="2557" t="s">
        <v>2311</v>
      </c>
      <c r="F2" s="2558"/>
      <c r="G2" s="1107"/>
      <c r="H2" s="1107"/>
      <c r="I2" s="1107"/>
      <c r="J2" s="1107"/>
      <c r="K2" s="1109"/>
      <c r="L2" s="1110"/>
      <c r="M2" s="1111"/>
      <c r="N2" s="1111"/>
      <c r="O2" s="1111"/>
      <c r="P2" s="764"/>
      <c r="Q2" s="764"/>
      <c r="R2" s="764"/>
      <c r="S2" s="764"/>
      <c r="T2" s="764"/>
      <c r="U2" s="764"/>
      <c r="V2" s="764"/>
      <c r="W2" s="764"/>
      <c r="X2" s="764"/>
      <c r="Y2" s="764"/>
      <c r="Z2" s="764"/>
      <c r="AA2" s="764"/>
      <c r="AB2" s="764"/>
      <c r="AC2" s="765"/>
    </row>
    <row r="3" spans="1:29" s="397" customFormat="1" ht="28.5" customHeight="1" thickBot="1">
      <c r="A3" s="247" t="s">
        <v>2312</v>
      </c>
      <c r="B3" s="608" t="e">
        <f ca="1">IF(C2="——",C37,ROUND(B2*10000/D3,0))</f>
        <v>#DIV/0!</v>
      </c>
      <c r="C3" s="399" t="s">
        <v>2627</v>
      </c>
      <c r="D3" s="398">
        <f>SUMIF('数据-汇总表'!$C19:$C33,D1,'数据-汇总表'!$E19:$E33)</f>
        <v>0</v>
      </c>
      <c r="E3" s="1107"/>
      <c r="F3" s="1108"/>
      <c r="G3" s="1107"/>
      <c r="H3" s="1107"/>
      <c r="I3" s="1107"/>
      <c r="J3" s="1107"/>
      <c r="K3" s="1109"/>
      <c r="L3" s="1110"/>
      <c r="M3" s="1111"/>
      <c r="N3" s="1111"/>
      <c r="O3" s="1111"/>
      <c r="P3" s="764"/>
      <c r="Q3" s="764"/>
      <c r="R3" s="764"/>
      <c r="S3" s="764"/>
      <c r="T3" s="764"/>
      <c r="U3" s="764"/>
      <c r="V3" s="764"/>
      <c r="W3" s="764"/>
      <c r="X3" s="764"/>
      <c r="Y3" s="764"/>
      <c r="Z3" s="764"/>
      <c r="AA3" s="764"/>
      <c r="AB3" s="782"/>
      <c r="AC3" s="778"/>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665" t="s">
        <v>2634</v>
      </c>
      <c r="Q4" s="3666"/>
      <c r="R4" s="3671" t="s">
        <v>2630</v>
      </c>
      <c r="S4" s="3672"/>
      <c r="T4" s="3671" t="s">
        <v>2631</v>
      </c>
      <c r="U4" s="3672"/>
      <c r="V4" s="3656" t="s">
        <v>2632</v>
      </c>
      <c r="W4" s="3656"/>
      <c r="X4" s="1791"/>
      <c r="Y4" s="3671" t="s">
        <v>2634</v>
      </c>
      <c r="Z4" s="3672"/>
      <c r="AA4" s="3658" t="s">
        <v>2630</v>
      </c>
      <c r="AB4" s="3659" t="s">
        <v>2631</v>
      </c>
      <c r="AC4" s="3658" t="s">
        <v>2632</v>
      </c>
    </row>
    <row r="5" spans="1:29">
      <c r="A5" s="403"/>
      <c r="B5" s="404"/>
      <c r="C5" s="3723" t="s">
        <v>2525</v>
      </c>
      <c r="D5" s="3724"/>
      <c r="E5" s="3725" t="s">
        <v>2526</v>
      </c>
      <c r="F5" s="3726"/>
      <c r="G5" s="3723" t="s">
        <v>2527</v>
      </c>
      <c r="H5" s="3724"/>
      <c r="I5" s="3723" t="s">
        <v>2528</v>
      </c>
      <c r="J5" s="3724"/>
      <c r="K5" s="609"/>
      <c r="L5" s="1112"/>
      <c r="M5" s="1113"/>
      <c r="N5" s="1113"/>
      <c r="O5" s="1113"/>
      <c r="P5" s="3667"/>
      <c r="Q5" s="3668"/>
      <c r="R5" s="3673"/>
      <c r="S5" s="3674"/>
      <c r="T5" s="3673"/>
      <c r="U5" s="3674"/>
      <c r="V5" s="3656"/>
      <c r="W5" s="3656"/>
      <c r="X5" s="1791"/>
      <c r="Y5" s="3673"/>
      <c r="Z5" s="3674"/>
      <c r="AA5" s="3659"/>
      <c r="AB5" s="3659"/>
      <c r="AC5" s="3659"/>
    </row>
    <row r="6" spans="1:29" ht="15" thickBot="1">
      <c r="A6" s="405"/>
      <c r="B6" s="406"/>
      <c r="C6" s="3677" t="s">
        <v>2529</v>
      </c>
      <c r="D6" s="3678"/>
      <c r="E6" s="3685" t="s">
        <v>2529</v>
      </c>
      <c r="F6" s="3686"/>
      <c r="G6" s="3677" t="s">
        <v>2529</v>
      </c>
      <c r="H6" s="3678"/>
      <c r="I6" s="3677" t="s">
        <v>2529</v>
      </c>
      <c r="J6" s="3678"/>
      <c r="K6" s="609" t="s">
        <v>2530</v>
      </c>
      <c r="L6" s="1112"/>
      <c r="M6" s="1113"/>
      <c r="N6" s="1113"/>
      <c r="O6" s="1113"/>
      <c r="P6" s="3669"/>
      <c r="Q6" s="3670"/>
      <c r="R6" s="3673"/>
      <c r="S6" s="3674"/>
      <c r="T6" s="3675"/>
      <c r="U6" s="3676"/>
      <c r="V6" s="3656"/>
      <c r="W6" s="3656"/>
      <c r="X6" s="1791"/>
      <c r="Y6" s="3675"/>
      <c r="Z6" s="3676"/>
      <c r="AA6" s="3660"/>
      <c r="AB6" s="3660"/>
      <c r="AC6" s="3660"/>
    </row>
    <row r="7" spans="1:29" s="117" customFormat="1" ht="15" thickBot="1">
      <c r="A7" s="407" t="s">
        <v>2531</v>
      </c>
      <c r="B7" s="408"/>
      <c r="C7" s="409">
        <f>'数据-取费表'!B2</f>
        <v>43903</v>
      </c>
      <c r="D7" s="410">
        <v>100</v>
      </c>
      <c r="E7" s="411"/>
      <c r="F7" s="412">
        <f>SUMIF(46:46,YEAR(E7)&amp;"-"&amp;MONTH(E7),47:47)</f>
        <v>0</v>
      </c>
      <c r="G7" s="2666"/>
      <c r="H7" s="410">
        <f>SUMIF(46:46,YEAR(G7)&amp;"-"&amp;MONTH(G7),47:47)</f>
        <v>0</v>
      </c>
      <c r="I7" s="411"/>
      <c r="J7" s="410">
        <f>SUMIF(46:46,YEAR(I7)&amp;"-"&amp;MONTH(I7),47:47)</f>
        <v>0</v>
      </c>
      <c r="K7" s="610"/>
      <c r="L7" s="1114"/>
      <c r="M7" s="1115"/>
      <c r="N7" s="1115"/>
      <c r="O7" s="1115"/>
      <c r="P7" s="3681" t="s">
        <v>2532</v>
      </c>
      <c r="Q7" s="3683"/>
      <c r="R7" s="766" t="s">
        <v>17</v>
      </c>
      <c r="S7" s="767">
        <f t="shared" ref="S7:S14" si="0">F7</f>
        <v>0</v>
      </c>
      <c r="T7" s="766" t="s">
        <v>17</v>
      </c>
      <c r="U7" s="767">
        <f t="shared" ref="U7:U14" si="1">H7</f>
        <v>0</v>
      </c>
      <c r="V7" s="766" t="s">
        <v>17</v>
      </c>
      <c r="W7" s="767">
        <f t="shared" ref="W7:W14" si="2">J7</f>
        <v>0</v>
      </c>
      <c r="X7" s="768"/>
      <c r="Y7" s="3681" t="s">
        <v>2532</v>
      </c>
      <c r="Z7" s="3682"/>
      <c r="AA7" s="769" t="e">
        <f>D7/F7</f>
        <v>#DIV/0!</v>
      </c>
      <c r="AB7" s="769" t="e">
        <f>D7/H7</f>
        <v>#DIV/0!</v>
      </c>
      <c r="AC7" s="769" t="e">
        <f>D7/J7</f>
        <v>#DIV/0!</v>
      </c>
    </row>
    <row r="8" spans="1:29" s="117" customFormat="1" ht="15" thickBot="1">
      <c r="A8" s="407" t="s">
        <v>2533</v>
      </c>
      <c r="B8" s="408"/>
      <c r="C8" s="413" t="s">
        <v>2635</v>
      </c>
      <c r="D8" s="410">
        <v>100</v>
      </c>
      <c r="E8" s="413"/>
      <c r="F8" s="412">
        <f>SUMIF(49:49,E8,50:50)-SUMIF(49:49,C8,50:50)+100</f>
        <v>0</v>
      </c>
      <c r="G8" s="413"/>
      <c r="H8" s="410">
        <f>SUMIF(49:49,G8,50:50)-SUMIF(49:49,C8,50:50)+100</f>
        <v>0</v>
      </c>
      <c r="I8" s="413"/>
      <c r="J8" s="410">
        <f>SUMIF(49:49,I8,50:50)-SUMIF(49:49,C8,50:50)+100</f>
        <v>0</v>
      </c>
      <c r="K8" s="610"/>
      <c r="L8" s="1114"/>
      <c r="M8" s="1115"/>
      <c r="N8" s="1115"/>
      <c r="O8" s="1115"/>
      <c r="P8" s="3681" t="s">
        <v>2535</v>
      </c>
      <c r="Q8" s="3682"/>
      <c r="R8" s="766" t="s">
        <v>17</v>
      </c>
      <c r="S8" s="767">
        <f t="shared" si="0"/>
        <v>0</v>
      </c>
      <c r="T8" s="766" t="s">
        <v>17</v>
      </c>
      <c r="U8" s="767">
        <f t="shared" si="1"/>
        <v>0</v>
      </c>
      <c r="V8" s="766" t="s">
        <v>17</v>
      </c>
      <c r="W8" s="767">
        <f t="shared" si="2"/>
        <v>0</v>
      </c>
      <c r="X8" s="768"/>
      <c r="Y8" s="3681" t="s">
        <v>2535</v>
      </c>
      <c r="Z8" s="3682"/>
      <c r="AA8" s="769" t="e">
        <f t="shared" ref="AA8:AA34" si="3">D8/F8</f>
        <v>#DIV/0!</v>
      </c>
      <c r="AB8" s="769" t="e">
        <f t="shared" ref="AB8:AB34" si="4">D8/H8</f>
        <v>#DIV/0!</v>
      </c>
      <c r="AC8" s="769" t="e">
        <f t="shared" ref="AC8:AC34" si="5">D8/J8</f>
        <v>#DIV/0!</v>
      </c>
    </row>
    <row r="9" spans="1:29" s="117" customFormat="1" ht="14.4">
      <c r="A9" s="414" t="s">
        <v>2536</v>
      </c>
      <c r="B9" s="71" t="s">
        <v>2537</v>
      </c>
      <c r="C9" s="415"/>
      <c r="D9" s="135">
        <v>100</v>
      </c>
      <c r="E9" s="418"/>
      <c r="F9" s="417">
        <f>SUMIF(51:51,E9,52:52)-SUMIF(51:51,C9,52:52)+100</f>
        <v>100</v>
      </c>
      <c r="G9" s="418"/>
      <c r="H9" s="135">
        <f>SUMIF(51:51,G9,52:52)-SUMIF(51:51,C9,52:52)+100</f>
        <v>100</v>
      </c>
      <c r="I9" s="418"/>
      <c r="J9" s="135">
        <f>SUMIF(51:51,I9,52:52)-SUMIF(51:51,C9,52:52)+100</f>
        <v>100</v>
      </c>
      <c r="K9" s="610"/>
      <c r="L9" s="1114"/>
      <c r="M9" s="1115"/>
      <c r="N9" s="1115"/>
      <c r="O9" s="1116"/>
      <c r="P9" s="3642" t="s">
        <v>2538</v>
      </c>
      <c r="Q9" s="1773" t="str">
        <f t="shared" ref="Q9:Q14" si="6">B9</f>
        <v>用途</v>
      </c>
      <c r="R9" s="766" t="s">
        <v>17</v>
      </c>
      <c r="S9" s="767">
        <f t="shared" si="0"/>
        <v>100</v>
      </c>
      <c r="T9" s="766" t="s">
        <v>17</v>
      </c>
      <c r="U9" s="767">
        <f t="shared" si="1"/>
        <v>100</v>
      </c>
      <c r="V9" s="766" t="s">
        <v>17</v>
      </c>
      <c r="W9" s="767">
        <f t="shared" si="2"/>
        <v>100</v>
      </c>
      <c r="X9" s="768"/>
      <c r="Y9" s="3486" t="s">
        <v>2539</v>
      </c>
      <c r="Z9" s="55" t="str">
        <f t="shared" ref="Z9:Z14" si="7">Q9</f>
        <v>用途</v>
      </c>
      <c r="AA9" s="769">
        <f t="shared" si="3"/>
        <v>1</v>
      </c>
      <c r="AB9" s="769">
        <f t="shared" si="4"/>
        <v>1</v>
      </c>
      <c r="AC9" s="769">
        <f t="shared" si="5"/>
        <v>1</v>
      </c>
    </row>
    <row r="10" spans="1:29" s="426" customFormat="1" ht="28.8">
      <c r="A10" s="420"/>
      <c r="B10" s="421" t="s">
        <v>2540</v>
      </c>
      <c r="C10" s="422"/>
      <c r="D10" s="136">
        <v>100</v>
      </c>
      <c r="E10" s="422"/>
      <c r="F10" s="424">
        <f>SUMIF(53:53,E10,54:54)-SUMIF(53:53,C10,54:54)+100</f>
        <v>100</v>
      </c>
      <c r="G10" s="422"/>
      <c r="H10" s="136">
        <f>SUMIF(53:53,G10,54:54)-SUMIF(53:53,C10,54:54)+100</f>
        <v>100</v>
      </c>
      <c r="I10" s="422"/>
      <c r="J10" s="136">
        <f>SUMIF(53:53,I10,54:54)-SUMIF(53:53,C10,54:54)+100</f>
        <v>100</v>
      </c>
      <c r="K10" s="611"/>
      <c r="L10" s="1117"/>
      <c r="M10" s="1118"/>
      <c r="N10" s="1118"/>
      <c r="O10" s="1119"/>
      <c r="P10" s="3642"/>
      <c r="Q10" s="1773" t="str">
        <f t="shared" si="6"/>
        <v>土地使用年限（年）</v>
      </c>
      <c r="R10" s="766" t="s">
        <v>17</v>
      </c>
      <c r="S10" s="767">
        <f t="shared" si="0"/>
        <v>100</v>
      </c>
      <c r="T10" s="766" t="s">
        <v>17</v>
      </c>
      <c r="U10" s="767">
        <f t="shared" si="1"/>
        <v>100</v>
      </c>
      <c r="V10" s="766" t="s">
        <v>17</v>
      </c>
      <c r="W10" s="767">
        <f t="shared" si="2"/>
        <v>100</v>
      </c>
      <c r="X10" s="768"/>
      <c r="Y10" s="3486"/>
      <c r="Z10" s="55" t="str">
        <f t="shared" si="7"/>
        <v>土地使用年限（年）</v>
      </c>
      <c r="AA10" s="769">
        <f t="shared" si="3"/>
        <v>1</v>
      </c>
      <c r="AB10" s="769">
        <f t="shared" si="4"/>
        <v>1</v>
      </c>
      <c r="AC10" s="769">
        <f t="shared" si="5"/>
        <v>1</v>
      </c>
    </row>
    <row r="11" spans="1:29" ht="15">
      <c r="A11" s="427"/>
      <c r="B11" s="2570">
        <v>111</v>
      </c>
      <c r="C11" s="431"/>
      <c r="D11" s="136">
        <v>100</v>
      </c>
      <c r="E11" s="468"/>
      <c r="F11" s="424">
        <f>SUMIF(55:55,E11,56:56)-SUMIF(55:55,C11,56:56)+100</f>
        <v>100</v>
      </c>
      <c r="G11" s="468"/>
      <c r="H11" s="136">
        <f>SUMIF(55:55,G11,56:56)-SUMIF(55:55,C11,56:56)+100</f>
        <v>100</v>
      </c>
      <c r="I11" s="468"/>
      <c r="J11" s="136">
        <f>SUMIF(55:55,I11,56:56)-SUMIF(55:55,C11,56:56)+100</f>
        <v>100</v>
      </c>
      <c r="K11" s="612"/>
      <c r="L11" s="1120"/>
      <c r="M11" s="1113"/>
      <c r="N11" s="1113"/>
      <c r="O11" s="1121"/>
      <c r="P11" s="3642"/>
      <c r="Q11" s="1773">
        <f t="shared" si="6"/>
        <v>111</v>
      </c>
      <c r="R11" s="766" t="s">
        <v>17</v>
      </c>
      <c r="S11" s="767">
        <f t="shared" si="0"/>
        <v>100</v>
      </c>
      <c r="T11" s="766" t="s">
        <v>17</v>
      </c>
      <c r="U11" s="767">
        <f t="shared" si="1"/>
        <v>100</v>
      </c>
      <c r="V11" s="766" t="s">
        <v>17</v>
      </c>
      <c r="W11" s="767">
        <f t="shared" si="2"/>
        <v>100</v>
      </c>
      <c r="X11" s="768"/>
      <c r="Y11" s="3486"/>
      <c r="Z11" s="55">
        <f t="shared" si="7"/>
        <v>111</v>
      </c>
      <c r="AA11" s="769">
        <f t="shared" si="3"/>
        <v>1</v>
      </c>
      <c r="AB11" s="769">
        <f t="shared" si="4"/>
        <v>1</v>
      </c>
      <c r="AC11" s="769">
        <f t="shared" si="5"/>
        <v>1</v>
      </c>
    </row>
    <row r="12" spans="1:29" s="117" customFormat="1" ht="15">
      <c r="A12" s="430"/>
      <c r="B12" s="2570">
        <v>111</v>
      </c>
      <c r="C12" s="431"/>
      <c r="D12" s="432">
        <v>100</v>
      </c>
      <c r="E12" s="468"/>
      <c r="F12" s="424">
        <f>SUMIF(57:57,E12,58:58)-SUMIF(57:57,C12,58:58)+100</f>
        <v>100</v>
      </c>
      <c r="G12" s="468"/>
      <c r="H12" s="136">
        <f>SUMIF(57:57,G12,58:58)-SUMIF(57:57,C12,58:58)+100</f>
        <v>100</v>
      </c>
      <c r="I12" s="468"/>
      <c r="J12" s="136">
        <f>SUMIF(57:57,I12,58:58)-SUMIF(57:57,C12,58:58)+100</f>
        <v>100</v>
      </c>
      <c r="K12" s="612"/>
      <c r="L12" s="1114"/>
      <c r="M12" s="1115"/>
      <c r="N12" s="1115"/>
      <c r="O12" s="1116"/>
      <c r="P12" s="3642"/>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769">
        <f>D12/J12</f>
        <v>1</v>
      </c>
    </row>
    <row r="13" spans="1:29" ht="15.6" thickBot="1">
      <c r="A13" s="427"/>
      <c r="B13" s="2570">
        <v>111</v>
      </c>
      <c r="C13" s="433"/>
      <c r="D13" s="434">
        <v>100</v>
      </c>
      <c r="E13" s="468"/>
      <c r="F13" s="424">
        <f>SUMIF(59:59,E13,60:60)-SUMIF(59:59,C13,60:60)+100</f>
        <v>100</v>
      </c>
      <c r="G13" s="2667"/>
      <c r="H13" s="437">
        <f>SUMIF(59:59,G13,60:60)-SUMIF(59:59,C13,60:60)+100</f>
        <v>100</v>
      </c>
      <c r="I13" s="468"/>
      <c r="J13" s="434">
        <f>SUMIF(59:59,I13,60:60)-SUMIF(59:59,C13,60:60)+100</f>
        <v>100</v>
      </c>
      <c r="K13" s="612"/>
      <c r="L13" s="1122"/>
      <c r="M13" s="1113"/>
      <c r="N13" s="1113"/>
      <c r="O13" s="1121"/>
      <c r="P13" s="3642"/>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769">
        <f t="shared" si="5"/>
        <v>1</v>
      </c>
    </row>
    <row r="14" spans="1:29" ht="138">
      <c r="A14" s="439" t="s">
        <v>2542</v>
      </c>
      <c r="B14" s="69" t="s">
        <v>2692</v>
      </c>
      <c r="C14" s="2663"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2"/>
      <c r="M14" s="1113"/>
      <c r="N14" s="1113"/>
      <c r="O14" s="1121"/>
      <c r="P14" s="3649" t="s">
        <v>2543</v>
      </c>
      <c r="Q14" s="1788" t="str">
        <f t="shared" si="6"/>
        <v>交通便捷度</v>
      </c>
      <c r="R14" s="770" t="s">
        <v>17</v>
      </c>
      <c r="S14" s="771">
        <f t="shared" si="0"/>
        <v>100</v>
      </c>
      <c r="T14" s="770" t="s">
        <v>17</v>
      </c>
      <c r="U14" s="771">
        <f t="shared" si="1"/>
        <v>100</v>
      </c>
      <c r="V14" s="770" t="s">
        <v>17</v>
      </c>
      <c r="W14" s="771">
        <f t="shared" si="2"/>
        <v>100</v>
      </c>
      <c r="X14" s="1791"/>
      <c r="Y14" s="3649" t="s">
        <v>2543</v>
      </c>
      <c r="Z14" s="1792" t="str">
        <f t="shared" si="7"/>
        <v>交通便捷度</v>
      </c>
      <c r="AA14" s="1789">
        <f t="shared" si="3"/>
        <v>1</v>
      </c>
      <c r="AB14" s="1789">
        <f t="shared" si="4"/>
        <v>1</v>
      </c>
      <c r="AC14" s="1789">
        <f t="shared" si="5"/>
        <v>1</v>
      </c>
    </row>
    <row r="15" spans="1:29" ht="15">
      <c r="A15" s="427"/>
      <c r="B15" s="445"/>
      <c r="C15" s="446"/>
      <c r="D15" s="447"/>
      <c r="E15" s="446"/>
      <c r="F15" s="448"/>
      <c r="G15" s="446"/>
      <c r="H15" s="449"/>
      <c r="I15" s="446"/>
      <c r="J15" s="447"/>
      <c r="K15" s="614"/>
      <c r="L15" s="1122"/>
      <c r="M15" s="1113"/>
      <c r="N15" s="1113"/>
      <c r="O15" s="1121"/>
      <c r="P15" s="3650"/>
      <c r="Q15" s="1788"/>
      <c r="R15" s="770"/>
      <c r="S15" s="771"/>
      <c r="T15" s="770"/>
      <c r="U15" s="771"/>
      <c r="V15" s="770"/>
      <c r="W15" s="771"/>
      <c r="X15" s="1791"/>
      <c r="Y15" s="3650"/>
      <c r="Z15" s="1792"/>
      <c r="AA15" s="1789">
        <v>1</v>
      </c>
      <c r="AB15" s="1789">
        <v>1</v>
      </c>
      <c r="AC15" s="1789">
        <v>1</v>
      </c>
    </row>
    <row r="16" spans="1:29" ht="55.2">
      <c r="A16" s="427"/>
      <c r="B16" s="450" t="s">
        <v>2671</v>
      </c>
      <c r="C16" s="2577"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2"/>
      <c r="M16" s="1113"/>
      <c r="N16" s="1113"/>
      <c r="O16" s="1121"/>
      <c r="P16" s="3650"/>
      <c r="Q16" s="1788" t="str">
        <f>B16</f>
        <v>公共配套设施</v>
      </c>
      <c r="R16" s="770" t="s">
        <v>17</v>
      </c>
      <c r="S16" s="771">
        <f>F16</f>
        <v>100</v>
      </c>
      <c r="T16" s="770" t="s">
        <v>17</v>
      </c>
      <c r="U16" s="771">
        <f>H16</f>
        <v>100</v>
      </c>
      <c r="V16" s="770" t="s">
        <v>17</v>
      </c>
      <c r="W16" s="771">
        <f>J16</f>
        <v>100</v>
      </c>
      <c r="X16" s="1791"/>
      <c r="Y16" s="3650"/>
      <c r="Z16" s="1792" t="str">
        <f>Q16</f>
        <v>公共配套设施</v>
      </c>
      <c r="AA16" s="1789">
        <f t="shared" si="3"/>
        <v>1</v>
      </c>
      <c r="AB16" s="1789">
        <f t="shared" si="4"/>
        <v>1</v>
      </c>
      <c r="AC16" s="1789">
        <f t="shared" si="5"/>
        <v>1</v>
      </c>
    </row>
    <row r="17" spans="1:29" ht="15">
      <c r="A17" s="427"/>
      <c r="B17" s="455"/>
      <c r="C17" s="2578"/>
      <c r="D17" s="447"/>
      <c r="E17" s="446"/>
      <c r="F17" s="448"/>
      <c r="G17" s="446"/>
      <c r="H17" s="447"/>
      <c r="I17" s="446"/>
      <c r="J17" s="447"/>
      <c r="K17" s="614"/>
      <c r="L17" s="1122"/>
      <c r="M17" s="1113"/>
      <c r="N17" s="1113"/>
      <c r="O17" s="1121"/>
      <c r="P17" s="3650"/>
      <c r="Q17" s="1788"/>
      <c r="R17" s="770"/>
      <c r="S17" s="771"/>
      <c r="T17" s="770"/>
      <c r="U17" s="771"/>
      <c r="V17" s="770"/>
      <c r="W17" s="771"/>
      <c r="X17" s="1791"/>
      <c r="Y17" s="3650"/>
      <c r="Z17" s="1792"/>
      <c r="AA17" s="1789">
        <v>1</v>
      </c>
      <c r="AB17" s="1789">
        <v>1</v>
      </c>
      <c r="AC17" s="1789">
        <v>1</v>
      </c>
    </row>
    <row r="18" spans="1:29" ht="41.4">
      <c r="A18" s="427"/>
      <c r="B18" s="1365" t="s">
        <v>2672</v>
      </c>
      <c r="C18" s="2577"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2"/>
      <c r="M18" s="1113"/>
      <c r="N18" s="1113"/>
      <c r="O18" s="1121"/>
      <c r="P18" s="3650"/>
      <c r="Q18" s="1788" t="str">
        <f>B18</f>
        <v>基础设施水平</v>
      </c>
      <c r="R18" s="770" t="s">
        <v>17</v>
      </c>
      <c r="S18" s="771">
        <f>F18</f>
        <v>100</v>
      </c>
      <c r="T18" s="770" t="s">
        <v>17</v>
      </c>
      <c r="U18" s="771">
        <f>H18</f>
        <v>100</v>
      </c>
      <c r="V18" s="770" t="s">
        <v>17</v>
      </c>
      <c r="W18" s="771">
        <f>J18</f>
        <v>100</v>
      </c>
      <c r="X18" s="1791"/>
      <c r="Y18" s="3650"/>
      <c r="Z18" s="1792" t="str">
        <f>Q18</f>
        <v>基础设施水平</v>
      </c>
      <c r="AA18" s="1789">
        <f t="shared" ref="AA18" si="8">D18/F18</f>
        <v>1</v>
      </c>
      <c r="AB18" s="1789">
        <f t="shared" ref="AB18" si="9">D18/H18</f>
        <v>1</v>
      </c>
      <c r="AC18" s="1789">
        <f t="shared" ref="AC18" si="10">D18/J18</f>
        <v>1</v>
      </c>
    </row>
    <row r="19" spans="1:29" ht="15">
      <c r="A19" s="427"/>
      <c r="B19" s="1365"/>
      <c r="C19" s="2578"/>
      <c r="D19" s="449"/>
      <c r="E19" s="2578"/>
      <c r="F19" s="452"/>
      <c r="G19" s="2578"/>
      <c r="H19" s="447"/>
      <c r="I19" s="446"/>
      <c r="J19" s="447"/>
      <c r="K19" s="1364"/>
      <c r="L19" s="1122"/>
      <c r="M19" s="1113"/>
      <c r="N19" s="1113"/>
      <c r="O19" s="1121"/>
      <c r="P19" s="3650"/>
      <c r="Q19" s="1788"/>
      <c r="R19" s="770"/>
      <c r="S19" s="771"/>
      <c r="T19" s="770"/>
      <c r="U19" s="771"/>
      <c r="V19" s="770"/>
      <c r="W19" s="771"/>
      <c r="X19" s="1791"/>
      <c r="Y19" s="3650"/>
      <c r="Z19" s="1792"/>
      <c r="AA19" s="1789">
        <v>1</v>
      </c>
      <c r="AB19" s="1789">
        <v>1</v>
      </c>
      <c r="AC19" s="1789">
        <v>1</v>
      </c>
    </row>
    <row r="20" spans="1:29" ht="110.4">
      <c r="A20" s="427"/>
      <c r="B20" s="450" t="s">
        <v>2693</v>
      </c>
      <c r="C20" s="2577"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2"/>
      <c r="M20" s="1113"/>
      <c r="N20" s="1113"/>
      <c r="O20" s="1121"/>
      <c r="P20" s="3650"/>
      <c r="Q20" s="1788" t="str">
        <f>B20</f>
        <v>自然及人文环境</v>
      </c>
      <c r="R20" s="770" t="s">
        <v>17</v>
      </c>
      <c r="S20" s="771">
        <f>F20</f>
        <v>100</v>
      </c>
      <c r="T20" s="770" t="s">
        <v>17</v>
      </c>
      <c r="U20" s="771">
        <f>H20</f>
        <v>100</v>
      </c>
      <c r="V20" s="770" t="s">
        <v>17</v>
      </c>
      <c r="W20" s="771">
        <f>J20</f>
        <v>100</v>
      </c>
      <c r="X20" s="1791"/>
      <c r="Y20" s="3650"/>
      <c r="Z20" s="1792" t="str">
        <f>Q20</f>
        <v>自然及人文环境</v>
      </c>
      <c r="AA20" s="1789">
        <f t="shared" si="3"/>
        <v>1</v>
      </c>
      <c r="AB20" s="1789">
        <f t="shared" si="4"/>
        <v>1</v>
      </c>
      <c r="AC20" s="1789">
        <f t="shared" si="5"/>
        <v>1</v>
      </c>
    </row>
    <row r="21" spans="1:29" ht="15">
      <c r="A21" s="427"/>
      <c r="B21" s="455"/>
      <c r="C21" s="446"/>
      <c r="D21" s="447"/>
      <c r="E21" s="446"/>
      <c r="F21" s="448"/>
      <c r="G21" s="446"/>
      <c r="H21" s="447"/>
      <c r="I21" s="446"/>
      <c r="J21" s="447"/>
      <c r="K21" s="614"/>
      <c r="L21" s="1122"/>
      <c r="M21" s="1113"/>
      <c r="N21" s="1113"/>
      <c r="O21" s="1121"/>
      <c r="P21" s="3650"/>
      <c r="Q21" s="1788"/>
      <c r="R21" s="770"/>
      <c r="S21" s="771"/>
      <c r="T21" s="770"/>
      <c r="U21" s="771"/>
      <c r="V21" s="770"/>
      <c r="W21" s="771"/>
      <c r="X21" s="1791"/>
      <c r="Y21" s="3650"/>
      <c r="Z21" s="1792"/>
      <c r="AA21" s="1789">
        <v>1</v>
      </c>
      <c r="AB21" s="1789">
        <v>1</v>
      </c>
      <c r="AC21" s="1789">
        <v>1</v>
      </c>
    </row>
    <row r="22" spans="1:29" ht="15">
      <c r="A22" s="427"/>
      <c r="B22" s="450" t="s">
        <v>2694</v>
      </c>
      <c r="C22" s="615"/>
      <c r="D22" s="449">
        <v>100</v>
      </c>
      <c r="E22" s="615"/>
      <c r="F22" s="460">
        <f>SUMIF(69:69,E22,70:70)-SUMIF(69:69,C22,70:70)+100</f>
        <v>100</v>
      </c>
      <c r="G22" s="615"/>
      <c r="H22" s="434">
        <f>SUMIF(69:69,G22,70:70)-SUMIF(69:69,C22,70:70)+100</f>
        <v>100</v>
      </c>
      <c r="I22" s="615"/>
      <c r="J22" s="434">
        <f>SUMIF(69:69,I22,70:70)-SUMIF(69:69,C22,70:70)+100</f>
        <v>100</v>
      </c>
      <c r="K22" s="611"/>
      <c r="L22" s="1122"/>
      <c r="M22" s="1113"/>
      <c r="N22" s="1113"/>
      <c r="O22" s="1121"/>
      <c r="P22" s="3650"/>
      <c r="Q22" s="1788" t="str">
        <f>B22</f>
        <v>楼层</v>
      </c>
      <c r="R22" s="770" t="s">
        <v>17</v>
      </c>
      <c r="S22" s="771">
        <f>F22</f>
        <v>100</v>
      </c>
      <c r="T22" s="770" t="s">
        <v>17</v>
      </c>
      <c r="U22" s="771">
        <f>H22</f>
        <v>100</v>
      </c>
      <c r="V22" s="770" t="s">
        <v>17</v>
      </c>
      <c r="W22" s="771">
        <f>J22</f>
        <v>100</v>
      </c>
      <c r="X22" s="1791"/>
      <c r="Y22" s="3650"/>
      <c r="Z22" s="1792" t="str">
        <f>Q22</f>
        <v>楼层</v>
      </c>
      <c r="AA22" s="1789">
        <f t="shared" si="3"/>
        <v>1</v>
      </c>
      <c r="AB22" s="1789">
        <f t="shared" si="4"/>
        <v>1</v>
      </c>
      <c r="AC22" s="1789">
        <f t="shared" si="5"/>
        <v>1</v>
      </c>
    </row>
    <row r="23" spans="1:29" ht="15">
      <c r="A23" s="403"/>
      <c r="B23" s="2570">
        <v>111</v>
      </c>
      <c r="C23" s="431"/>
      <c r="D23" s="434">
        <v>100</v>
      </c>
      <c r="E23" s="433"/>
      <c r="F23" s="460">
        <f>SUMIF(71:71,E23,72:72)-SUMIF(71:71,C23,72:72)+100</f>
        <v>100</v>
      </c>
      <c r="G23" s="433"/>
      <c r="H23" s="434">
        <f>SUMIF(71:71,G23,72:72)-SUMIF(71:71,C23,72:72)+100</f>
        <v>100</v>
      </c>
      <c r="I23" s="433"/>
      <c r="J23" s="434">
        <f>SUMIF(71:71,I23,72:72)-SUMIF(71:71,C23,72:72)+100</f>
        <v>100</v>
      </c>
      <c r="K23" s="612"/>
      <c r="L23" s="1122"/>
      <c r="M23" s="1113"/>
      <c r="N23" s="1113"/>
      <c r="O23" s="1121"/>
      <c r="P23" s="3650"/>
      <c r="Q23" s="1788">
        <f>B23</f>
        <v>111</v>
      </c>
      <c r="R23" s="770" t="s">
        <v>17</v>
      </c>
      <c r="S23" s="771">
        <f>F23</f>
        <v>100</v>
      </c>
      <c r="T23" s="770" t="s">
        <v>17</v>
      </c>
      <c r="U23" s="771">
        <f>H23</f>
        <v>100</v>
      </c>
      <c r="V23" s="770" t="s">
        <v>17</v>
      </c>
      <c r="W23" s="771">
        <f>J23</f>
        <v>100</v>
      </c>
      <c r="X23" s="1791"/>
      <c r="Y23" s="3650"/>
      <c r="Z23" s="1792">
        <f>Q23</f>
        <v>111</v>
      </c>
      <c r="AA23" s="1789">
        <f t="shared" si="3"/>
        <v>1</v>
      </c>
      <c r="AB23" s="1789">
        <f t="shared" si="4"/>
        <v>1</v>
      </c>
      <c r="AC23" s="1789">
        <f t="shared" si="5"/>
        <v>1</v>
      </c>
    </row>
    <row r="24" spans="1:29" ht="15">
      <c r="A24" s="427"/>
      <c r="B24" s="2570">
        <v>111</v>
      </c>
      <c r="C24" s="431"/>
      <c r="D24" s="434">
        <v>100</v>
      </c>
      <c r="E24" s="433"/>
      <c r="F24" s="460">
        <f>SUMIF(73:73,E24,74:74)-SUMIF(73:73,C24,74:74)+100</f>
        <v>100</v>
      </c>
      <c r="G24" s="433"/>
      <c r="H24" s="434">
        <f>SUMIF(73:73,G24,74:74)-SUMIF(73:73,C24,74:74)+100</f>
        <v>100</v>
      </c>
      <c r="I24" s="433"/>
      <c r="J24" s="434">
        <f>SUMIF(73:73,I24,74:74)-SUMIF(73:73,C24,74:74)+100</f>
        <v>100</v>
      </c>
      <c r="K24" s="612"/>
      <c r="L24" s="1122"/>
      <c r="M24" s="1113"/>
      <c r="N24" s="1113"/>
      <c r="O24" s="1121"/>
      <c r="P24" s="3650"/>
      <c r="Q24" s="1788">
        <f t="shared" ref="Q24:Q34" si="11">B24</f>
        <v>111</v>
      </c>
      <c r="R24" s="770" t="s">
        <v>17</v>
      </c>
      <c r="S24" s="771">
        <f>F24</f>
        <v>100</v>
      </c>
      <c r="T24" s="770" t="s">
        <v>17</v>
      </c>
      <c r="U24" s="771">
        <f>H24</f>
        <v>100</v>
      </c>
      <c r="V24" s="770" t="s">
        <v>17</v>
      </c>
      <c r="W24" s="771">
        <f>J24</f>
        <v>100</v>
      </c>
      <c r="X24" s="1791"/>
      <c r="Y24" s="3650"/>
      <c r="Z24" s="1792">
        <f>Q24</f>
        <v>111</v>
      </c>
      <c r="AA24" s="1789">
        <f t="shared" si="3"/>
        <v>1</v>
      </c>
      <c r="AB24" s="1789">
        <f t="shared" si="4"/>
        <v>1</v>
      </c>
      <c r="AC24" s="1789">
        <f t="shared" si="5"/>
        <v>1</v>
      </c>
    </row>
    <row r="25" spans="1:29" s="117" customFormat="1" ht="15.6" thickBot="1">
      <c r="A25" s="430"/>
      <c r="B25" s="2570">
        <v>111</v>
      </c>
      <c r="C25" s="2668"/>
      <c r="D25" s="664">
        <v>100</v>
      </c>
      <c r="E25" s="2668"/>
      <c r="F25" s="665">
        <f>SUMIF(75:75,E25,76:76)-SUMIF(75:75,C25,76:76)+100</f>
        <v>100</v>
      </c>
      <c r="G25" s="2668"/>
      <c r="H25" s="664">
        <f>SUMIF(75:75,G25,76:76)-SUMIF(75:75,C25,76:76)+100</f>
        <v>100</v>
      </c>
      <c r="I25" s="2668"/>
      <c r="J25" s="664">
        <f>SUMIF(75:75,I25,76:76)-SUMIF(75:75,C25,76:76)+100</f>
        <v>100</v>
      </c>
      <c r="K25" s="612"/>
      <c r="L25" s="1114"/>
      <c r="M25" s="1115"/>
      <c r="N25" s="1115"/>
      <c r="O25" s="1116"/>
      <c r="P25" s="3650"/>
      <c r="Q25" s="1773">
        <f t="shared" si="11"/>
        <v>111</v>
      </c>
      <c r="R25" s="766" t="s">
        <v>17</v>
      </c>
      <c r="S25" s="767">
        <f>F25</f>
        <v>100</v>
      </c>
      <c r="T25" s="766" t="s">
        <v>17</v>
      </c>
      <c r="U25" s="767">
        <f>H25</f>
        <v>100</v>
      </c>
      <c r="V25" s="766" t="s">
        <v>17</v>
      </c>
      <c r="W25" s="767">
        <f>J25</f>
        <v>100</v>
      </c>
      <c r="X25" s="768"/>
      <c r="Y25" s="3650"/>
      <c r="Z25" s="55">
        <f>Q25</f>
        <v>111</v>
      </c>
      <c r="AA25" s="1789">
        <f>D25/F25</f>
        <v>1</v>
      </c>
      <c r="AB25" s="1789">
        <f>D25/H25</f>
        <v>1</v>
      </c>
      <c r="AC25" s="1789">
        <f>D25/J25</f>
        <v>1</v>
      </c>
    </row>
    <row r="26" spans="1:29" ht="30">
      <c r="A26" s="465" t="s">
        <v>2546</v>
      </c>
      <c r="B26" s="71" t="s">
        <v>2697</v>
      </c>
      <c r="C26" s="2649"/>
      <c r="D26" s="466">
        <v>100</v>
      </c>
      <c r="E26" s="2649"/>
      <c r="F26" s="666">
        <f>SUMIF(77:77,E26,78:78)-SUMIF(77:77,C26,78:78)+100</f>
        <v>100</v>
      </c>
      <c r="G26" s="2649"/>
      <c r="H26" s="466">
        <f>SUMIF(77:77,G26,78:78)-SUMIF(77:77,C26,78:78)+100</f>
        <v>100</v>
      </c>
      <c r="I26" s="2649"/>
      <c r="J26" s="466">
        <f>SUMIF(77:77,I26,78:78)-SUMIF(77:77,C26,78:78)+100</f>
        <v>100</v>
      </c>
      <c r="K26" s="611"/>
      <c r="L26" s="1122"/>
      <c r="M26" s="1113"/>
      <c r="N26" s="1113"/>
      <c r="O26" s="1121"/>
      <c r="P26" s="3727" t="s">
        <v>2548</v>
      </c>
      <c r="Q26" s="1788" t="str">
        <f t="shared" si="11"/>
        <v>公共部分装修</v>
      </c>
      <c r="R26" s="770" t="s">
        <v>17</v>
      </c>
      <c r="S26" s="771">
        <f t="shared" ref="S26:S34" si="12">F26</f>
        <v>100</v>
      </c>
      <c r="T26" s="770" t="s">
        <v>17</v>
      </c>
      <c r="U26" s="771">
        <f t="shared" ref="U26:U34" si="13">H26</f>
        <v>100</v>
      </c>
      <c r="V26" s="770" t="s">
        <v>17</v>
      </c>
      <c r="W26" s="771">
        <f t="shared" ref="W26:W34" si="14">J26</f>
        <v>100</v>
      </c>
      <c r="X26" s="1791"/>
      <c r="Y26" s="3654" t="s">
        <v>2548</v>
      </c>
      <c r="Z26" s="1792" t="str">
        <f t="shared" ref="Z26:Z34" si="15">Q26</f>
        <v>公共部分装修</v>
      </c>
      <c r="AA26" s="1789">
        <f t="shared" si="3"/>
        <v>1</v>
      </c>
      <c r="AB26" s="1789">
        <f t="shared" si="4"/>
        <v>1</v>
      </c>
      <c r="AC26" s="1789">
        <f t="shared" si="5"/>
        <v>1</v>
      </c>
    </row>
    <row r="27" spans="1:29" s="470" customFormat="1" ht="15">
      <c r="A27" s="467"/>
      <c r="B27" s="421" t="s">
        <v>2698</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0"/>
      <c r="M27" s="1123"/>
      <c r="N27" s="1123"/>
      <c r="O27" s="1124"/>
      <c r="P27" s="3654"/>
      <c r="Q27" s="772" t="str">
        <f t="shared" si="11"/>
        <v>成新率</v>
      </c>
      <c r="R27" s="773" t="s">
        <v>17</v>
      </c>
      <c r="S27" s="774" t="e">
        <f t="shared" si="12"/>
        <v>#N/A</v>
      </c>
      <c r="T27" s="773" t="s">
        <v>17</v>
      </c>
      <c r="U27" s="774" t="e">
        <f t="shared" si="13"/>
        <v>#N/A</v>
      </c>
      <c r="V27" s="773" t="s">
        <v>17</v>
      </c>
      <c r="W27" s="774" t="e">
        <f t="shared" si="14"/>
        <v>#N/A</v>
      </c>
      <c r="X27" s="775"/>
      <c r="Y27" s="3654"/>
      <c r="Z27" s="776" t="str">
        <f t="shared" si="15"/>
        <v>成新率</v>
      </c>
      <c r="AA27" s="1789" t="e">
        <f t="shared" si="3"/>
        <v>#N/A</v>
      </c>
      <c r="AB27" s="1789" t="e">
        <f t="shared" si="4"/>
        <v>#N/A</v>
      </c>
      <c r="AC27" s="1789" t="e">
        <f t="shared" si="5"/>
        <v>#N/A</v>
      </c>
    </row>
    <row r="28" spans="1:29" ht="15">
      <c r="A28" s="471"/>
      <c r="B28" s="421" t="s">
        <v>2699</v>
      </c>
      <c r="C28" s="459"/>
      <c r="D28" s="434">
        <v>100</v>
      </c>
      <c r="E28" s="459"/>
      <c r="F28" s="460">
        <f>SUMIF(82:82,E28,83:83)-SUMIF(82:82,C28,83:83)+100</f>
        <v>100</v>
      </c>
      <c r="G28" s="459"/>
      <c r="H28" s="434">
        <f>SUMIF(82:82,G28,83:83)-SUMIF(82:82,C28,83:83)+100</f>
        <v>100</v>
      </c>
      <c r="I28" s="459"/>
      <c r="J28" s="434">
        <f>SUMIF(82:82,I28,83:83)-SUMIF(82:82,C28,83:83)+100</f>
        <v>100</v>
      </c>
      <c r="K28" s="611"/>
      <c r="L28" s="1122"/>
      <c r="M28" s="1113"/>
      <c r="N28" s="1113"/>
      <c r="O28" s="1121"/>
      <c r="P28" s="3654"/>
      <c r="Q28" s="1788" t="str">
        <f t="shared" si="11"/>
        <v>物业等级</v>
      </c>
      <c r="R28" s="770" t="s">
        <v>17</v>
      </c>
      <c r="S28" s="771">
        <f t="shared" si="12"/>
        <v>100</v>
      </c>
      <c r="T28" s="770" t="s">
        <v>17</v>
      </c>
      <c r="U28" s="771">
        <f t="shared" si="13"/>
        <v>100</v>
      </c>
      <c r="V28" s="770" t="s">
        <v>17</v>
      </c>
      <c r="W28" s="771">
        <f t="shared" si="14"/>
        <v>100</v>
      </c>
      <c r="X28" s="1791"/>
      <c r="Y28" s="3654"/>
      <c r="Z28" s="1792" t="str">
        <f t="shared" si="15"/>
        <v>物业等级</v>
      </c>
      <c r="AA28" s="1789">
        <f t="shared" si="3"/>
        <v>1</v>
      </c>
      <c r="AB28" s="1789">
        <f t="shared" si="4"/>
        <v>1</v>
      </c>
      <c r="AC28" s="1789">
        <f t="shared" si="5"/>
        <v>1</v>
      </c>
    </row>
    <row r="29" spans="1:29" ht="15">
      <c r="A29" s="471"/>
      <c r="B29" s="421" t="s">
        <v>2719</v>
      </c>
      <c r="C29" s="656"/>
      <c r="D29" s="434">
        <v>100</v>
      </c>
      <c r="E29" s="656"/>
      <c r="F29" s="460">
        <f>SUMIF(84:84,E29,85:85)-SUMIF(84:84,C29,85:85)+100</f>
        <v>100</v>
      </c>
      <c r="G29" s="656"/>
      <c r="H29" s="434">
        <f>SUMIF(84:84,G29,85:85)-SUMIF(84:84,C29,85:85)+100</f>
        <v>100</v>
      </c>
      <c r="I29" s="656"/>
      <c r="J29" s="434">
        <f>SUMIF(84:84,I29,85:85)-SUMIF(84:84,C29,85:85)+100</f>
        <v>100</v>
      </c>
      <c r="K29" s="611"/>
      <c r="L29" s="1122"/>
      <c r="M29" s="1113"/>
      <c r="N29" s="1113"/>
      <c r="O29" s="1121"/>
      <c r="P29" s="3654"/>
      <c r="Q29" s="1788" t="str">
        <f t="shared" si="11"/>
        <v>有无电梯</v>
      </c>
      <c r="R29" s="770" t="s">
        <v>17</v>
      </c>
      <c r="S29" s="771">
        <f t="shared" si="12"/>
        <v>100</v>
      </c>
      <c r="T29" s="770" t="s">
        <v>17</v>
      </c>
      <c r="U29" s="771">
        <f t="shared" si="13"/>
        <v>100</v>
      </c>
      <c r="V29" s="770" t="s">
        <v>17</v>
      </c>
      <c r="W29" s="771">
        <f t="shared" si="14"/>
        <v>100</v>
      </c>
      <c r="X29" s="1791"/>
      <c r="Y29" s="3654"/>
      <c r="Z29" s="1792" t="str">
        <f t="shared" si="15"/>
        <v>有无电梯</v>
      </c>
      <c r="AA29" s="1789">
        <f t="shared" si="3"/>
        <v>1</v>
      </c>
      <c r="AB29" s="1789">
        <f t="shared" si="4"/>
        <v>1</v>
      </c>
      <c r="AC29" s="1789">
        <f t="shared" si="5"/>
        <v>1</v>
      </c>
    </row>
    <row r="30" spans="1:29" ht="15">
      <c r="A30" s="471"/>
      <c r="B30" s="421" t="s">
        <v>2720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2"/>
      <c r="M30" s="1113"/>
      <c r="N30" s="1113"/>
      <c r="O30" s="1121"/>
      <c r="P30" s="3654"/>
      <c r="Q30" s="1788" t="str">
        <f t="shared" si="11"/>
        <v>建筑面积</v>
      </c>
      <c r="R30" s="770" t="s">
        <v>17</v>
      </c>
      <c r="S30" s="771" t="e">
        <f t="shared" si="12"/>
        <v>#N/A</v>
      </c>
      <c r="T30" s="770" t="s">
        <v>17</v>
      </c>
      <c r="U30" s="771" t="e">
        <f t="shared" si="13"/>
        <v>#N/A</v>
      </c>
      <c r="V30" s="770" t="s">
        <v>17</v>
      </c>
      <c r="W30" s="771" t="e">
        <f t="shared" si="14"/>
        <v>#N/A</v>
      </c>
      <c r="X30" s="1791"/>
      <c r="Y30" s="3654"/>
      <c r="Z30" s="1792" t="str">
        <f t="shared" si="15"/>
        <v>建筑面积</v>
      </c>
      <c r="AA30" s="1789" t="e">
        <f t="shared" si="3"/>
        <v>#N/A</v>
      </c>
      <c r="AB30" s="1789" t="e">
        <f t="shared" si="4"/>
        <v>#N/A</v>
      </c>
      <c r="AC30" s="1789" t="e">
        <f t="shared" si="5"/>
        <v>#N/A</v>
      </c>
    </row>
    <row r="31" spans="1:29" s="117" customFormat="1" ht="15">
      <c r="A31" s="472"/>
      <c r="B31" s="421" t="s">
        <v>2721</v>
      </c>
      <c r="C31" s="656"/>
      <c r="D31" s="136">
        <v>100</v>
      </c>
      <c r="E31" s="656"/>
      <c r="F31" s="460">
        <f>SUMIF(89:89,E31,90:90)-SUMIF(89:89,C31,90:90)+100</f>
        <v>100</v>
      </c>
      <c r="G31" s="656"/>
      <c r="H31" s="434">
        <f>SUMIF(89:89,G31,90:90)-SUMIF(89:89,C31,90:90)+100</f>
        <v>100</v>
      </c>
      <c r="I31" s="656"/>
      <c r="J31" s="434">
        <f>SUMIF(89:89,I31,90:90)-SUMIF(89:89,C31,90:90)+100</f>
        <v>100</v>
      </c>
      <c r="K31" s="611"/>
      <c r="L31" s="1114"/>
      <c r="M31" s="1115"/>
      <c r="N31" s="1115"/>
      <c r="O31" s="1116"/>
      <c r="P31" s="3654"/>
      <c r="Q31" s="1773" t="str">
        <f t="shared" si="11"/>
        <v>是否封闭</v>
      </c>
      <c r="R31" s="766" t="s">
        <v>17</v>
      </c>
      <c r="S31" s="767">
        <f t="shared" si="12"/>
        <v>100</v>
      </c>
      <c r="T31" s="766" t="s">
        <v>17</v>
      </c>
      <c r="U31" s="767">
        <f t="shared" si="13"/>
        <v>100</v>
      </c>
      <c r="V31" s="766" t="s">
        <v>17</v>
      </c>
      <c r="W31" s="767">
        <f t="shared" si="14"/>
        <v>100</v>
      </c>
      <c r="X31" s="768"/>
      <c r="Y31" s="3654"/>
      <c r="Z31" s="55" t="str">
        <f t="shared" si="15"/>
        <v>是否封闭</v>
      </c>
      <c r="AA31" s="769">
        <f t="shared" si="3"/>
        <v>1</v>
      </c>
      <c r="AB31" s="769">
        <f t="shared" si="4"/>
        <v>1</v>
      </c>
      <c r="AC31" s="769">
        <f t="shared" si="5"/>
        <v>1</v>
      </c>
    </row>
    <row r="32" spans="1:29" ht="15">
      <c r="A32" s="471"/>
      <c r="B32" s="2570">
        <v>111</v>
      </c>
      <c r="C32" s="431"/>
      <c r="D32" s="434">
        <v>100</v>
      </c>
      <c r="E32" s="468"/>
      <c r="F32" s="460">
        <f>SUMIF(91:91,E32,92:92)-SUMIF(91:91,C32,92:92)+100</f>
        <v>100</v>
      </c>
      <c r="G32" s="468"/>
      <c r="H32" s="434">
        <f>SUMIF(91:91,G32,92:92)-SUMIF(91:91,C32,92:92)+100</f>
        <v>100</v>
      </c>
      <c r="I32" s="468"/>
      <c r="J32" s="434">
        <f>SUMIF(91:91,I32,92:92)-SUMIF(91:91,C32,92:92)+100</f>
        <v>100</v>
      </c>
      <c r="K32" s="612"/>
      <c r="L32" s="1122"/>
      <c r="M32" s="1113"/>
      <c r="N32" s="1113"/>
      <c r="O32" s="1121"/>
      <c r="P32" s="3654" t="s">
        <v>2548</v>
      </c>
      <c r="Q32" s="1788">
        <f t="shared" si="11"/>
        <v>111</v>
      </c>
      <c r="R32" s="770" t="s">
        <v>17</v>
      </c>
      <c r="S32" s="771">
        <f t="shared" si="12"/>
        <v>100</v>
      </c>
      <c r="T32" s="770" t="s">
        <v>17</v>
      </c>
      <c r="U32" s="771">
        <f t="shared" si="13"/>
        <v>100</v>
      </c>
      <c r="V32" s="770" t="s">
        <v>17</v>
      </c>
      <c r="W32" s="771">
        <f t="shared" si="14"/>
        <v>100</v>
      </c>
      <c r="X32" s="1791"/>
      <c r="Y32" s="3654" t="s">
        <v>2548</v>
      </c>
      <c r="Z32" s="1792">
        <f t="shared" si="15"/>
        <v>111</v>
      </c>
      <c r="AA32" s="1789">
        <f t="shared" si="3"/>
        <v>1</v>
      </c>
      <c r="AB32" s="1789">
        <f t="shared" si="4"/>
        <v>1</v>
      </c>
      <c r="AC32" s="1789">
        <f t="shared" si="5"/>
        <v>1</v>
      </c>
    </row>
    <row r="33" spans="1:29" ht="15">
      <c r="A33" s="471"/>
      <c r="B33" s="2570">
        <v>111</v>
      </c>
      <c r="C33" s="431"/>
      <c r="D33" s="434">
        <v>100</v>
      </c>
      <c r="E33" s="468"/>
      <c r="F33" s="460">
        <f>SUMIF(93:93,E33,94:94)-SUMIF(93:93,C33,94:94)+100</f>
        <v>100</v>
      </c>
      <c r="G33" s="468"/>
      <c r="H33" s="434">
        <f>SUMIF(93:93,G33,94:94)-SUMIF(93:93,C33,94:94)+100</f>
        <v>100</v>
      </c>
      <c r="I33" s="468"/>
      <c r="J33" s="434">
        <f>SUMIF(93:93,I33,94:94)-SUMIF(93:93,C33,94:94)+100</f>
        <v>100</v>
      </c>
      <c r="K33" s="612"/>
      <c r="L33" s="1122"/>
      <c r="M33" s="1113"/>
      <c r="N33" s="1113"/>
      <c r="O33" s="1121"/>
      <c r="P33" s="3654"/>
      <c r="Q33" s="1788">
        <f t="shared" si="11"/>
        <v>111</v>
      </c>
      <c r="R33" s="770" t="s">
        <v>17</v>
      </c>
      <c r="S33" s="771">
        <f t="shared" si="12"/>
        <v>100</v>
      </c>
      <c r="T33" s="770" t="s">
        <v>17</v>
      </c>
      <c r="U33" s="771">
        <f t="shared" si="13"/>
        <v>100</v>
      </c>
      <c r="V33" s="770" t="s">
        <v>17</v>
      </c>
      <c r="W33" s="771">
        <f t="shared" si="14"/>
        <v>100</v>
      </c>
      <c r="X33" s="1791"/>
      <c r="Y33" s="3654"/>
      <c r="Z33" s="1792">
        <f t="shared" si="15"/>
        <v>111</v>
      </c>
      <c r="AA33" s="1789">
        <f t="shared" si="3"/>
        <v>1</v>
      </c>
      <c r="AB33" s="1789">
        <f t="shared" si="4"/>
        <v>1</v>
      </c>
      <c r="AC33" s="1789">
        <f t="shared" si="5"/>
        <v>1</v>
      </c>
    </row>
    <row r="34" spans="1:29" ht="15.6" thickBot="1">
      <c r="A34" s="477"/>
      <c r="B34" s="2572">
        <v>111</v>
      </c>
      <c r="C34" s="436"/>
      <c r="D34" s="437">
        <v>100</v>
      </c>
      <c r="E34" s="2667"/>
      <c r="F34" s="438">
        <f>SUMIF(95:95,E34,96:96)-SUMIF(95:95,C34,96:96)+100</f>
        <v>100</v>
      </c>
      <c r="G34" s="2667"/>
      <c r="H34" s="437">
        <f>SUMIF(95:95,G34,96:96)-SUMIF(95:95,C34,96:96)+100</f>
        <v>100</v>
      </c>
      <c r="I34" s="2667"/>
      <c r="J34" s="437">
        <f>SUMIF(95:95,I34,96:96)-SUMIF(95:95,C34,96:96)+100</f>
        <v>100</v>
      </c>
      <c r="K34" s="612"/>
      <c r="L34" s="1122"/>
      <c r="M34" s="1113"/>
      <c r="N34" s="1113"/>
      <c r="O34" s="1121"/>
      <c r="P34" s="3654"/>
      <c r="Q34" s="1788">
        <f t="shared" si="11"/>
        <v>111</v>
      </c>
      <c r="R34" s="770" t="s">
        <v>17</v>
      </c>
      <c r="S34" s="771">
        <f t="shared" si="12"/>
        <v>100</v>
      </c>
      <c r="T34" s="770" t="s">
        <v>17</v>
      </c>
      <c r="U34" s="771">
        <f t="shared" si="13"/>
        <v>100</v>
      </c>
      <c r="V34" s="770" t="s">
        <v>17</v>
      </c>
      <c r="W34" s="771">
        <f t="shared" si="14"/>
        <v>100</v>
      </c>
      <c r="X34" s="1791"/>
      <c r="Y34" s="3654"/>
      <c r="Z34" s="1792">
        <f t="shared" si="15"/>
        <v>111</v>
      </c>
      <c r="AA34" s="1789">
        <f t="shared" si="3"/>
        <v>1</v>
      </c>
      <c r="AB34" s="1789">
        <f t="shared" si="4"/>
        <v>1</v>
      </c>
      <c r="AC34" s="1789">
        <f t="shared" si="5"/>
        <v>1</v>
      </c>
    </row>
    <row r="35" spans="1:29" ht="14.4">
      <c r="A35" s="478" t="s">
        <v>2560</v>
      </c>
      <c r="B35" s="479"/>
      <c r="C35" s="1387" t="s">
        <v>1</v>
      </c>
      <c r="D35" s="1388"/>
      <c r="E35" s="1389"/>
      <c r="F35" s="1390"/>
      <c r="G35" s="1391"/>
      <c r="H35" s="1392"/>
      <c r="I35" s="1389"/>
      <c r="J35" s="1392"/>
      <c r="K35" s="779"/>
      <c r="L35" s="1125"/>
      <c r="M35" s="1126"/>
      <c r="N35" s="1113"/>
      <c r="O35" s="1126"/>
      <c r="P35" s="3642" t="str">
        <f>A35</f>
        <v>成交单价（元/平方米）</v>
      </c>
      <c r="Q35" s="3642"/>
      <c r="R35" s="3643">
        <f>E35</f>
        <v>0</v>
      </c>
      <c r="S35" s="3643"/>
      <c r="T35" s="3643">
        <f>G35</f>
        <v>0</v>
      </c>
      <c r="U35" s="3643"/>
      <c r="V35" s="3643">
        <f>I35</f>
        <v>0</v>
      </c>
      <c r="W35" s="3643"/>
      <c r="X35" s="755"/>
      <c r="Y35" s="777"/>
      <c r="Z35" s="755"/>
      <c r="AA35" s="755"/>
      <c r="AB35" s="755"/>
      <c r="AC35" s="755"/>
    </row>
    <row r="36" spans="1:29" ht="15" thickBot="1">
      <c r="A36" s="485" t="s">
        <v>2652</v>
      </c>
      <c r="B36" s="486"/>
      <c r="C36" s="1393" t="e">
        <f>R37</f>
        <v>#DIV/0!</v>
      </c>
      <c r="D36" s="1394"/>
      <c r="E36" s="1395" t="e">
        <f>R36</f>
        <v>#DIV/0!</v>
      </c>
      <c r="F36" s="1395"/>
      <c r="G36" s="1393" t="e">
        <f>T36</f>
        <v>#DIV/0!</v>
      </c>
      <c r="H36" s="1394"/>
      <c r="I36" s="1395" t="e">
        <f>V36</f>
        <v>#DIV/0!</v>
      </c>
      <c r="J36" s="1394"/>
      <c r="K36" s="780"/>
      <c r="L36" s="1125"/>
      <c r="M36" s="1126"/>
      <c r="N36" s="1113"/>
      <c r="O36" s="1126"/>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755"/>
      <c r="Y36" s="755"/>
      <c r="Z36" s="755"/>
      <c r="AA36" s="755"/>
      <c r="AB36" s="755"/>
      <c r="AC36" s="755"/>
    </row>
    <row r="37" spans="1:29" ht="15" thickBot="1">
      <c r="A37" s="491" t="s">
        <v>2653</v>
      </c>
      <c r="B37" s="492"/>
      <c r="C37" s="1397" t="e">
        <f>R37</f>
        <v>#DIV/0!</v>
      </c>
      <c r="D37" s="1397"/>
      <c r="E37" s="1397"/>
      <c r="F37" s="1397"/>
      <c r="G37" s="1397"/>
      <c r="H37" s="1397"/>
      <c r="I37" s="1397"/>
      <c r="J37" s="1397"/>
      <c r="K37" s="781"/>
      <c r="L37" s="1125"/>
      <c r="M37" s="1126"/>
      <c r="N37" s="1126"/>
      <c r="O37" s="1126"/>
      <c r="P37" s="3644" t="str">
        <f>A37</f>
        <v>估价对象XX用房的比较价值（楼面单价，元/平方米）</v>
      </c>
      <c r="Q37" s="3645"/>
      <c r="R37" s="3646" t="e">
        <f>IF(F1="售价",ROUND(AVERAGE(R36:V36),0),ROUND(AVERAGE(R36:V36),1))</f>
        <v>#DIV/0!</v>
      </c>
      <c r="S37" s="3646"/>
      <c r="T37" s="3646"/>
      <c r="U37" s="3646"/>
      <c r="V37" s="3646"/>
      <c r="W37" s="3646"/>
      <c r="X37" s="755"/>
      <c r="Y37" s="755"/>
      <c r="Z37" s="755"/>
      <c r="AA37" s="755"/>
      <c r="AB37" s="755"/>
      <c r="AC37" s="755"/>
    </row>
    <row r="38" spans="1:29">
      <c r="A38" s="1126"/>
      <c r="B38" s="1126"/>
      <c r="C38" s="1126"/>
      <c r="D38" s="1126"/>
      <c r="E38" s="1126"/>
      <c r="F38" s="1126"/>
      <c r="G38" s="1129"/>
      <c r="H38" s="1126"/>
      <c r="I38" s="1126"/>
      <c r="J38" s="1126"/>
      <c r="K38" s="1094"/>
      <c r="L38" s="1095"/>
      <c r="M38" s="1126"/>
      <c r="N38" s="1126"/>
      <c r="O38" s="1126"/>
    </row>
    <row r="39" spans="1:29">
      <c r="A39" s="1126"/>
      <c r="B39" s="1126"/>
      <c r="C39" s="1126"/>
      <c r="D39" s="1126"/>
      <c r="E39" s="1126"/>
      <c r="F39" s="1126"/>
      <c r="G39" s="1126"/>
      <c r="H39" s="1126"/>
      <c r="I39" s="1126"/>
      <c r="J39" s="1126"/>
      <c r="K39" s="1094"/>
      <c r="L39" s="1095"/>
      <c r="M39" s="1126"/>
      <c r="N39" s="1126"/>
      <c r="O39" s="1126"/>
    </row>
    <row r="40" spans="1:29" ht="13.5" customHeight="1">
      <c r="A40" s="1126"/>
      <c r="B40" s="1126"/>
      <c r="C40" s="496" t="s">
        <v>2654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4"/>
      <c r="L40" s="1095"/>
      <c r="M40" s="1126"/>
      <c r="N40" s="1126"/>
      <c r="O40" s="1126"/>
    </row>
    <row r="41" spans="1:29" ht="13.5" customHeight="1">
      <c r="A41" s="1126"/>
      <c r="B41" s="1126"/>
      <c r="C41" s="496" t="s">
        <v>2655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4"/>
      <c r="L41" s="1095"/>
      <c r="M41" s="1126"/>
      <c r="N41" s="1126"/>
      <c r="O41" s="1126"/>
    </row>
    <row r="42" spans="1:29" s="501" customFormat="1" ht="13.5" customHeight="1">
      <c r="A42" s="1127"/>
      <c r="B42" s="1127"/>
      <c r="C42" s="496" t="s">
        <v>2656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0"/>
      <c r="L42" s="1131"/>
      <c r="M42" s="1127"/>
      <c r="N42" s="1127"/>
      <c r="O42" s="1127"/>
    </row>
    <row r="43" spans="1:29" s="501" customFormat="1">
      <c r="A43" s="1127"/>
      <c r="B43" s="1128"/>
      <c r="C43" s="1132"/>
      <c r="D43" s="1127"/>
      <c r="E43" s="1127"/>
      <c r="F43" s="1127"/>
      <c r="G43" s="1127"/>
      <c r="H43" s="1127"/>
      <c r="I43" s="1127"/>
      <c r="J43" s="1127"/>
      <c r="K43" s="1130"/>
      <c r="L43" s="1131"/>
      <c r="M43" s="1127"/>
      <c r="N43" s="1127"/>
      <c r="O43" s="1127"/>
    </row>
    <row r="44" spans="1:29">
      <c r="A44" s="1126"/>
      <c r="B44" s="1128"/>
      <c r="C44" s="1132"/>
      <c r="D44" s="1126"/>
      <c r="E44" s="1126"/>
      <c r="F44" s="1126"/>
      <c r="G44" s="1126"/>
      <c r="H44" s="1126"/>
      <c r="I44" s="1126"/>
      <c r="J44" s="1126"/>
      <c r="K44" s="1094"/>
      <c r="L44" s="1095"/>
      <c r="M44" s="1126"/>
      <c r="N44" s="1126"/>
      <c r="O44" s="1126"/>
    </row>
    <row r="45" spans="1:29" ht="22.2" thickBot="1">
      <c r="A45" s="759" t="s">
        <v>2657</v>
      </c>
      <c r="B45" s="755"/>
      <c r="C45" s="760"/>
      <c r="D45" s="760"/>
      <c r="E45" s="760"/>
      <c r="F45" s="761"/>
      <c r="G45" s="761"/>
      <c r="H45" s="760"/>
      <c r="I45" s="760"/>
      <c r="J45" s="760"/>
      <c r="K45" s="762"/>
      <c r="L45" s="763"/>
      <c r="M45" s="760"/>
      <c r="N45" s="760"/>
      <c r="O45" s="760"/>
      <c r="P45" s="502"/>
      <c r="Q45" s="503"/>
    </row>
    <row r="46" spans="1:29" s="507" customFormat="1" ht="14.4">
      <c r="A46" s="504" t="s">
        <v>2531</v>
      </c>
      <c r="B46" s="505"/>
      <c r="C46" s="1553" t="str">
        <f>YEAR(C7)&amp;"-"&amp;MONTH(C7)</f>
        <v>2020-3</v>
      </c>
      <c r="D46" s="1554">
        <f>EDATE(C46,-1)</f>
        <v>43862</v>
      </c>
      <c r="E46" s="1554">
        <f t="shared" ref="E46:O46" si="16">EDATE(D46,-1)</f>
        <v>43831</v>
      </c>
      <c r="F46" s="1554">
        <f t="shared" si="16"/>
        <v>43800</v>
      </c>
      <c r="G46" s="1554">
        <f t="shared" si="16"/>
        <v>43770</v>
      </c>
      <c r="H46" s="1554">
        <f t="shared" si="16"/>
        <v>43739</v>
      </c>
      <c r="I46" s="1554">
        <f t="shared" si="16"/>
        <v>43709</v>
      </c>
      <c r="J46" s="1554">
        <f t="shared" si="16"/>
        <v>43678</v>
      </c>
      <c r="K46" s="1554">
        <f t="shared" si="16"/>
        <v>43647</v>
      </c>
      <c r="L46" s="1554">
        <f t="shared" si="16"/>
        <v>43617</v>
      </c>
      <c r="M46" s="1554">
        <f t="shared" si="16"/>
        <v>43586</v>
      </c>
      <c r="N46" s="1554">
        <f t="shared" si="16"/>
        <v>43556</v>
      </c>
      <c r="O46" s="1554">
        <f t="shared" si="16"/>
        <v>43525</v>
      </c>
      <c r="P46" s="506"/>
    </row>
    <row r="47" spans="1:29" s="117" customFormat="1">
      <c r="A47" s="508"/>
      <c r="B47" s="509"/>
      <c r="C47" s="1552">
        <v>100</v>
      </c>
      <c r="D47" s="511"/>
      <c r="E47" s="511"/>
      <c r="F47" s="511"/>
      <c r="G47" s="511"/>
      <c r="H47" s="511"/>
      <c r="I47" s="511"/>
      <c r="J47" s="511"/>
      <c r="K47" s="511"/>
      <c r="L47" s="511"/>
      <c r="M47" s="512"/>
      <c r="N47" s="511"/>
      <c r="O47" s="513"/>
      <c r="P47" s="503"/>
    </row>
    <row r="48" spans="1:29" s="117" customFormat="1" ht="15" thickBot="1">
      <c r="A48" s="514" t="s">
        <v>2568</v>
      </c>
      <c r="B48" s="515"/>
      <c r="C48" s="516"/>
      <c r="D48" s="517"/>
      <c r="E48" s="517"/>
      <c r="F48" s="517"/>
      <c r="G48" s="517"/>
      <c r="H48" s="517"/>
      <c r="I48" s="517"/>
      <c r="J48" s="517"/>
      <c r="K48" s="517"/>
      <c r="L48" s="517"/>
      <c r="M48" s="518"/>
      <c r="N48" s="517"/>
      <c r="O48" s="519"/>
      <c r="P48" s="503"/>
      <c r="Q48" s="503"/>
    </row>
    <row r="49" spans="1:17" s="117" customFormat="1" ht="14.4">
      <c r="A49" s="520" t="s">
        <v>2533</v>
      </c>
      <c r="B49" s="509"/>
      <c r="C49" s="521" t="s">
        <v>2635</v>
      </c>
      <c r="D49" s="522"/>
      <c r="E49" s="522"/>
      <c r="F49" s="522"/>
      <c r="G49" s="522"/>
      <c r="H49" s="522"/>
      <c r="I49" s="522"/>
      <c r="J49" s="522"/>
      <c r="K49" s="522"/>
      <c r="L49" s="523"/>
      <c r="M49" s="524"/>
      <c r="N49" s="1133"/>
      <c r="O49" s="1133"/>
      <c r="P49" s="525"/>
      <c r="Q49" s="503"/>
    </row>
    <row r="50" spans="1:17" s="117" customFormat="1" ht="14.4" thickBot="1">
      <c r="A50" s="520"/>
      <c r="B50" s="509"/>
      <c r="C50" s="638">
        <v>100</v>
      </c>
      <c r="D50" s="511"/>
      <c r="E50" s="511"/>
      <c r="F50" s="511"/>
      <c r="G50" s="511"/>
      <c r="H50" s="511"/>
      <c r="I50" s="511"/>
      <c r="J50" s="511"/>
      <c r="K50" s="511"/>
      <c r="L50" s="511"/>
      <c r="M50" s="513"/>
      <c r="N50" s="1133"/>
      <c r="O50" s="1133"/>
      <c r="P50" s="503"/>
      <c r="Q50" s="503"/>
    </row>
    <row r="51" spans="1:17" ht="14.4">
      <c r="A51" s="526" t="s">
        <v>2571</v>
      </c>
      <c r="B51" s="527" t="s">
        <v>2537</v>
      </c>
      <c r="C51" s="528">
        <f>C9</f>
        <v>0</v>
      </c>
      <c r="D51" s="529"/>
      <c r="E51" s="529"/>
      <c r="F51" s="529"/>
      <c r="G51" s="529"/>
      <c r="H51" s="529"/>
      <c r="I51" s="529"/>
      <c r="J51" s="529"/>
      <c r="K51" s="530"/>
      <c r="L51" s="531"/>
      <c r="M51" s="532"/>
      <c r="N51" s="1134"/>
      <c r="O51" s="1134"/>
      <c r="P51" s="45"/>
      <c r="Q51" s="503"/>
    </row>
    <row r="52" spans="1:17" ht="14.4" thickBot="1">
      <c r="A52" s="533"/>
      <c r="B52" s="534"/>
      <c r="C52" s="535">
        <v>100</v>
      </c>
      <c r="D52" s="535"/>
      <c r="E52" s="535"/>
      <c r="F52" s="535"/>
      <c r="G52" s="535"/>
      <c r="H52" s="535"/>
      <c r="I52" s="535"/>
      <c r="J52" s="535"/>
      <c r="K52" s="535"/>
      <c r="L52" s="535"/>
      <c r="M52" s="536"/>
      <c r="N52" s="1135"/>
      <c r="O52" s="1135"/>
      <c r="P52" s="45"/>
      <c r="Q52" s="503"/>
    </row>
    <row r="53" spans="1:17" ht="29.4" thickTop="1">
      <c r="A53" s="533"/>
      <c r="B53" s="537" t="s">
        <v>2540</v>
      </c>
      <c r="C53" s="538" t="s">
        <v>2572</v>
      </c>
      <c r="D53" s="538" t="s">
        <v>2573</v>
      </c>
      <c r="E53" s="538" t="s">
        <v>2574</v>
      </c>
      <c r="F53" s="538" t="s">
        <v>2575</v>
      </c>
      <c r="G53" s="538" t="s">
        <v>2576</v>
      </c>
      <c r="H53" s="538" t="s">
        <v>2577</v>
      </c>
      <c r="I53" s="538" t="s">
        <v>2578</v>
      </c>
      <c r="J53" s="538"/>
      <c r="K53" s="539"/>
      <c r="L53" s="540"/>
      <c r="M53" s="541"/>
      <c r="N53" s="1134"/>
      <c r="O53" s="1134"/>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35"/>
      <c r="O54" s="1135"/>
      <c r="P54" s="45"/>
      <c r="Q54" s="503"/>
    </row>
    <row r="55" spans="1:17" ht="14.4" thickTop="1">
      <c r="A55" s="533"/>
      <c r="B55" s="659">
        <f>B11</f>
        <v>111</v>
      </c>
      <c r="C55" s="548"/>
      <c r="D55" s="548"/>
      <c r="E55" s="548"/>
      <c r="F55" s="548"/>
      <c r="G55" s="548"/>
      <c r="H55" s="548"/>
      <c r="I55" s="548"/>
      <c r="J55" s="548"/>
      <c r="K55" s="549"/>
      <c r="L55" s="550"/>
      <c r="M55" s="551"/>
      <c r="N55" s="1134"/>
      <c r="O55" s="1134"/>
      <c r="P55" s="45"/>
      <c r="Q55" s="503"/>
    </row>
    <row r="56" spans="1:17" ht="14.4" thickBot="1">
      <c r="A56" s="533"/>
      <c r="B56" s="534"/>
      <c r="C56" s="559"/>
      <c r="D56" s="535"/>
      <c r="E56" s="535"/>
      <c r="F56" s="535"/>
      <c r="G56" s="535"/>
      <c r="H56" s="535"/>
      <c r="I56" s="535"/>
      <c r="J56" s="535"/>
      <c r="K56" s="535"/>
      <c r="L56" s="535"/>
      <c r="M56" s="536"/>
      <c r="N56" s="1135"/>
      <c r="O56" s="1135"/>
      <c r="P56" s="45"/>
      <c r="Q56" s="503"/>
    </row>
    <row r="57" spans="1:17" s="470" customFormat="1" ht="14.4" thickTop="1">
      <c r="A57" s="552"/>
      <c r="B57" s="537">
        <f>B12</f>
        <v>111</v>
      </c>
      <c r="C57" s="548"/>
      <c r="D57" s="548"/>
      <c r="E57" s="548"/>
      <c r="F57" s="548"/>
      <c r="G57" s="553"/>
      <c r="H57" s="554"/>
      <c r="I57" s="554"/>
      <c r="J57" s="554"/>
      <c r="K57" s="554"/>
      <c r="L57" s="555"/>
      <c r="M57" s="556"/>
      <c r="N57" s="1136"/>
      <c r="O57" s="1136"/>
      <c r="P57" s="557"/>
      <c r="Q57" s="558"/>
    </row>
    <row r="58" spans="1:17" s="470" customFormat="1" ht="14.4" thickBot="1">
      <c r="A58" s="552"/>
      <c r="B58" s="542"/>
      <c r="C58" s="559"/>
      <c r="D58" s="535"/>
      <c r="E58" s="535"/>
      <c r="F58" s="535"/>
      <c r="G58" s="535"/>
      <c r="H58" s="535"/>
      <c r="I58" s="535"/>
      <c r="J58" s="535"/>
      <c r="K58" s="535"/>
      <c r="L58" s="535"/>
      <c r="M58" s="536"/>
      <c r="N58" s="1135"/>
      <c r="O58" s="1135"/>
      <c r="P58" s="557"/>
      <c r="Q58" s="558"/>
    </row>
    <row r="59" spans="1:17" s="470" customFormat="1" ht="14.4" thickTop="1">
      <c r="A59" s="552"/>
      <c r="B59" s="537">
        <f>B13</f>
        <v>111</v>
      </c>
      <c r="C59" s="548"/>
      <c r="D59" s="548"/>
      <c r="E59" s="548"/>
      <c r="F59" s="548"/>
      <c r="G59" s="553"/>
      <c r="H59" s="554"/>
      <c r="I59" s="554"/>
      <c r="J59" s="554"/>
      <c r="K59" s="554"/>
      <c r="L59" s="555"/>
      <c r="M59" s="556"/>
      <c r="N59" s="1136"/>
      <c r="O59" s="1136"/>
      <c r="P59" s="469"/>
      <c r="Q59" s="560"/>
    </row>
    <row r="60" spans="1:17" s="470" customFormat="1" ht="14.4" thickBot="1">
      <c r="A60" s="552"/>
      <c r="B60" s="542"/>
      <c r="C60" s="559"/>
      <c r="D60" s="559"/>
      <c r="E60" s="559"/>
      <c r="F60" s="559"/>
      <c r="G60" s="559"/>
      <c r="H60" s="561"/>
      <c r="I60" s="561"/>
      <c r="J60" s="561"/>
      <c r="K60" s="561"/>
      <c r="L60" s="561"/>
      <c r="M60" s="562"/>
      <c r="N60" s="1136"/>
      <c r="O60" s="1136"/>
      <c r="P60" s="557"/>
      <c r="Q60" s="558"/>
    </row>
    <row r="61" spans="1:17" ht="15" thickTop="1">
      <c r="A61" s="526" t="s">
        <v>2542</v>
      </c>
      <c r="B61" s="527" t="s">
        <v>2585</v>
      </c>
      <c r="C61" s="572" t="s">
        <v>2580</v>
      </c>
      <c r="D61" s="572" t="s">
        <v>2581</v>
      </c>
      <c r="E61" s="572" t="s">
        <v>2582</v>
      </c>
      <c r="F61" s="572" t="s">
        <v>2583</v>
      </c>
      <c r="G61" s="572" t="s">
        <v>2584</v>
      </c>
      <c r="H61" s="528"/>
      <c r="I61" s="528"/>
      <c r="J61" s="528"/>
      <c r="K61" s="573"/>
      <c r="L61" s="574"/>
      <c r="M61" s="575"/>
      <c r="N61" s="1134"/>
      <c r="O61" s="1134"/>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35"/>
      <c r="O62" s="1135"/>
      <c r="P62" s="45"/>
      <c r="Q62" s="503"/>
    </row>
    <row r="63" spans="1:17" ht="29.4" thickTop="1">
      <c r="A63" s="533"/>
      <c r="B63" s="537" t="s">
        <v>2722</v>
      </c>
      <c r="C63" s="577" t="s">
        <v>2580</v>
      </c>
      <c r="D63" s="577" t="s">
        <v>2581</v>
      </c>
      <c r="E63" s="577" t="s">
        <v>2582</v>
      </c>
      <c r="F63" s="577" t="s">
        <v>2583</v>
      </c>
      <c r="G63" s="577" t="s">
        <v>2584</v>
      </c>
      <c r="H63" s="538"/>
      <c r="I63" s="538"/>
      <c r="J63" s="538"/>
      <c r="K63" s="539"/>
      <c r="L63" s="540"/>
      <c r="M63" s="541"/>
      <c r="N63" s="1134"/>
      <c r="O63" s="1134"/>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35"/>
      <c r="O64" s="1135"/>
      <c r="P64" s="45"/>
      <c r="Q64" s="503"/>
    </row>
    <row r="65" spans="1:17" ht="15" thickTop="1">
      <c r="A65" s="533"/>
      <c r="B65" s="545" t="s">
        <v>2672</v>
      </c>
      <c r="C65" s="659" t="s">
        <v>2658</v>
      </c>
      <c r="D65" s="659" t="s">
        <v>2659</v>
      </c>
      <c r="E65" s="659" t="s">
        <v>2660</v>
      </c>
      <c r="F65" s="659" t="s">
        <v>2661</v>
      </c>
      <c r="G65" s="659" t="s">
        <v>2662</v>
      </c>
      <c r="H65" s="538"/>
      <c r="I65" s="538"/>
      <c r="J65" s="538"/>
      <c r="K65" s="538"/>
      <c r="L65" s="538"/>
      <c r="M65" s="1363"/>
      <c r="N65" s="1135"/>
      <c r="O65" s="1135"/>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35"/>
      <c r="O66" s="1135"/>
      <c r="P66" s="45"/>
      <c r="Q66" s="503"/>
    </row>
    <row r="67" spans="1:17" ht="15" thickTop="1">
      <c r="A67" s="533"/>
      <c r="B67" s="537" t="s">
        <v>2592</v>
      </c>
      <c r="C67" s="577" t="s">
        <v>2580</v>
      </c>
      <c r="D67" s="577" t="s">
        <v>2581</v>
      </c>
      <c r="E67" s="577" t="s">
        <v>2582</v>
      </c>
      <c r="F67" s="577" t="s">
        <v>2583</v>
      </c>
      <c r="G67" s="577" t="s">
        <v>2584</v>
      </c>
      <c r="H67" s="538"/>
      <c r="I67" s="538"/>
      <c r="J67" s="538"/>
      <c r="K67" s="539"/>
      <c r="L67" s="540"/>
      <c r="M67" s="541"/>
      <c r="N67" s="1134"/>
      <c r="O67" s="1134"/>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35"/>
      <c r="O68" s="1135"/>
      <c r="P68" s="45"/>
      <c r="Q68" s="503"/>
    </row>
    <row r="69" spans="1:17" ht="15" thickTop="1">
      <c r="A69" s="533"/>
      <c r="B69" s="537" t="s">
        <v>2711</v>
      </c>
      <c r="C69" s="553"/>
      <c r="D69" s="553"/>
      <c r="E69" s="553"/>
      <c r="F69" s="553"/>
      <c r="G69" s="553"/>
      <c r="H69" s="582"/>
      <c r="I69" s="582"/>
      <c r="J69" s="582"/>
      <c r="K69" s="583"/>
      <c r="L69" s="584"/>
      <c r="M69" s="585"/>
      <c r="N69" s="1134"/>
      <c r="O69" s="1134"/>
      <c r="P69" s="45"/>
      <c r="Q69" s="503"/>
    </row>
    <row r="70" spans="1:17" ht="14.4" thickBot="1">
      <c r="A70" s="533"/>
      <c r="B70" s="542"/>
      <c r="C70" s="543">
        <v>100</v>
      </c>
      <c r="D70" s="543">
        <f>C70-$K22</f>
        <v>100</v>
      </c>
      <c r="E70" s="543"/>
      <c r="F70" s="543"/>
      <c r="G70" s="543"/>
      <c r="H70" s="543"/>
      <c r="I70" s="543"/>
      <c r="J70" s="543"/>
      <c r="K70" s="543"/>
      <c r="L70" s="543"/>
      <c r="M70" s="544"/>
      <c r="N70" s="1135"/>
      <c r="O70" s="1135"/>
      <c r="P70" s="45"/>
      <c r="Q70" s="503"/>
    </row>
    <row r="71" spans="1:17" s="117" customFormat="1" ht="14.4" thickTop="1">
      <c r="A71" s="578"/>
      <c r="B71" s="537">
        <f>B23</f>
        <v>111</v>
      </c>
      <c r="C71" s="548"/>
      <c r="D71" s="548"/>
      <c r="E71" s="548"/>
      <c r="F71" s="548"/>
      <c r="G71" s="553"/>
      <c r="H71" s="553"/>
      <c r="I71" s="553"/>
      <c r="J71" s="553"/>
      <c r="K71" s="553"/>
      <c r="L71" s="579"/>
      <c r="M71" s="580"/>
      <c r="N71" s="1133"/>
      <c r="O71" s="1133"/>
      <c r="P71" s="45"/>
      <c r="Q71" s="503"/>
    </row>
    <row r="72" spans="1:17" s="117" customFormat="1" ht="14.4" thickBot="1">
      <c r="A72" s="578"/>
      <c r="B72" s="542"/>
      <c r="C72" s="559"/>
      <c r="D72" s="535"/>
      <c r="E72" s="535"/>
      <c r="F72" s="535"/>
      <c r="G72" s="535"/>
      <c r="H72" s="535"/>
      <c r="I72" s="535"/>
      <c r="J72" s="535"/>
      <c r="K72" s="535"/>
      <c r="L72" s="535"/>
      <c r="M72" s="536"/>
      <c r="N72" s="1135"/>
      <c r="O72" s="1135"/>
      <c r="P72" s="45"/>
      <c r="Q72" s="503"/>
    </row>
    <row r="73" spans="1:17" s="117" customFormat="1" ht="14.4" thickTop="1">
      <c r="A73" s="578"/>
      <c r="B73" s="537">
        <f>B24</f>
        <v>111</v>
      </c>
      <c r="C73" s="548"/>
      <c r="D73" s="548"/>
      <c r="E73" s="548"/>
      <c r="F73" s="548"/>
      <c r="G73" s="553"/>
      <c r="H73" s="553"/>
      <c r="I73" s="553"/>
      <c r="J73" s="553"/>
      <c r="K73" s="553"/>
      <c r="L73" s="553"/>
      <c r="M73" s="580"/>
      <c r="N73" s="1133"/>
      <c r="O73" s="1133"/>
      <c r="P73" s="45"/>
      <c r="Q73" s="503"/>
    </row>
    <row r="74" spans="1:17" s="117" customFormat="1" ht="14.4" thickBot="1">
      <c r="A74" s="578"/>
      <c r="B74" s="542"/>
      <c r="C74" s="559"/>
      <c r="D74" s="535"/>
      <c r="E74" s="535"/>
      <c r="F74" s="535"/>
      <c r="G74" s="535"/>
      <c r="H74" s="535"/>
      <c r="I74" s="535"/>
      <c r="J74" s="535"/>
      <c r="K74" s="535"/>
      <c r="L74" s="535"/>
      <c r="M74" s="536"/>
      <c r="N74" s="1135"/>
      <c r="O74" s="1135"/>
      <c r="P74" s="45"/>
      <c r="Q74" s="503"/>
    </row>
    <row r="75" spans="1:17" s="470" customFormat="1" ht="14.4" thickTop="1">
      <c r="A75" s="552"/>
      <c r="B75" s="537">
        <f>B25</f>
        <v>111</v>
      </c>
      <c r="C75" s="548"/>
      <c r="D75" s="548"/>
      <c r="E75" s="548"/>
      <c r="F75" s="548"/>
      <c r="G75" s="553"/>
      <c r="H75" s="554"/>
      <c r="I75" s="554"/>
      <c r="J75" s="554"/>
      <c r="K75" s="554"/>
      <c r="L75" s="555"/>
      <c r="M75" s="556"/>
      <c r="N75" s="1136"/>
      <c r="O75" s="1136"/>
      <c r="P75" s="557"/>
      <c r="Q75" s="558"/>
    </row>
    <row r="76" spans="1:17" s="470" customFormat="1" ht="14.4" thickBot="1">
      <c r="A76" s="552"/>
      <c r="B76" s="542"/>
      <c r="C76" s="559"/>
      <c r="D76" s="559"/>
      <c r="E76" s="559"/>
      <c r="F76" s="559"/>
      <c r="G76" s="535"/>
      <c r="H76" s="535"/>
      <c r="I76" s="535"/>
      <c r="J76" s="535"/>
      <c r="K76" s="535"/>
      <c r="L76" s="535"/>
      <c r="M76" s="536"/>
      <c r="N76" s="1136"/>
      <c r="O76" s="1136"/>
      <c r="P76" s="557"/>
      <c r="Q76" s="558"/>
    </row>
    <row r="77" spans="1:17" ht="15" thickTop="1">
      <c r="A77" s="526" t="s">
        <v>2546</v>
      </c>
      <c r="B77" s="527" t="s">
        <v>2599</v>
      </c>
      <c r="C77" s="553"/>
      <c r="D77" s="553"/>
      <c r="E77" s="529"/>
      <c r="F77" s="529"/>
      <c r="G77" s="529"/>
      <c r="H77" s="529"/>
      <c r="I77" s="529"/>
      <c r="J77" s="529"/>
      <c r="K77" s="530"/>
      <c r="L77" s="531"/>
      <c r="M77" s="532"/>
      <c r="N77" s="1134"/>
      <c r="O77" s="1134"/>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5"/>
      <c r="O78" s="1135"/>
      <c r="P78" s="45"/>
      <c r="Q78" s="503"/>
    </row>
    <row r="79" spans="1:17" ht="15" thickTop="1">
      <c r="A79" s="533"/>
      <c r="B79" s="537" t="s">
        <v>2714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3"/>
      <c r="O79" s="1133"/>
      <c r="P79" s="45"/>
      <c r="Q79" s="503"/>
    </row>
    <row r="80" spans="1:17">
      <c r="A80" s="533"/>
      <c r="B80" s="545"/>
      <c r="C80" s="602">
        <v>0.5</v>
      </c>
      <c r="D80" s="602">
        <v>0.6</v>
      </c>
      <c r="E80" s="602">
        <v>0.7</v>
      </c>
      <c r="F80" s="602">
        <v>0.8</v>
      </c>
      <c r="G80" s="602">
        <v>0.9</v>
      </c>
      <c r="H80" s="602">
        <v>1.0001</v>
      </c>
      <c r="I80" s="659"/>
      <c r="J80" s="659"/>
      <c r="K80" s="667"/>
      <c r="L80" s="668"/>
      <c r="M80" s="669"/>
      <c r="N80" s="1133"/>
      <c r="O80" s="1133"/>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5"/>
      <c r="O81" s="1135"/>
      <c r="P81" s="557"/>
      <c r="Q81" s="558"/>
    </row>
    <row r="82" spans="1:17" ht="15" thickTop="1">
      <c r="A82" s="598"/>
      <c r="B82" s="545" t="s">
        <v>2715</v>
      </c>
      <c r="C82" s="553"/>
      <c r="D82" s="553"/>
      <c r="E82" s="582"/>
      <c r="F82" s="582"/>
      <c r="G82" s="582"/>
      <c r="H82" s="582"/>
      <c r="I82" s="582"/>
      <c r="J82" s="582"/>
      <c r="K82" s="583"/>
      <c r="L82" s="584"/>
      <c r="M82" s="585"/>
      <c r="N82" s="1134"/>
      <c r="O82" s="1134"/>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5"/>
      <c r="O83" s="1135"/>
      <c r="P83" s="45"/>
      <c r="Q83" s="503"/>
    </row>
    <row r="84" spans="1:17" ht="15" thickTop="1">
      <c r="A84" s="598"/>
      <c r="B84" s="537" t="s">
        <v>2723</v>
      </c>
      <c r="C84" s="553"/>
      <c r="D84" s="553"/>
      <c r="E84" s="553"/>
      <c r="F84" s="553"/>
      <c r="G84" s="553"/>
      <c r="H84" s="553"/>
      <c r="I84" s="582"/>
      <c r="J84" s="582"/>
      <c r="K84" s="583"/>
      <c r="L84" s="584"/>
      <c r="M84" s="585"/>
      <c r="N84" s="1134"/>
      <c r="O84" s="1134"/>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5"/>
      <c r="O85" s="1135"/>
      <c r="P85" s="45"/>
      <c r="Q85" s="503"/>
    </row>
    <row r="86" spans="1:17" ht="15" thickTop="1">
      <c r="A86" s="598"/>
      <c r="B86" s="545" t="s">
        <v>2724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4"/>
      <c r="O86" s="1134"/>
      <c r="P86" s="45"/>
      <c r="Q86" s="503"/>
    </row>
    <row r="87" spans="1:17">
      <c r="A87" s="598"/>
      <c r="B87" s="545"/>
      <c r="C87" s="594"/>
      <c r="D87" s="594"/>
      <c r="E87" s="594"/>
      <c r="F87" s="594"/>
      <c r="G87" s="594"/>
      <c r="H87" s="594"/>
      <c r="I87" s="594"/>
      <c r="J87" s="595"/>
      <c r="K87" s="595"/>
      <c r="L87" s="596"/>
      <c r="M87" s="597"/>
      <c r="N87" s="1134"/>
      <c r="O87" s="1134"/>
      <c r="P87" s="45"/>
      <c r="Q87" s="503"/>
    </row>
    <row r="88" spans="1:17" ht="14.4" thickBot="1">
      <c r="A88" s="533"/>
      <c r="B88" s="542"/>
      <c r="C88" s="559"/>
      <c r="D88" s="535"/>
      <c r="E88" s="535"/>
      <c r="F88" s="535"/>
      <c r="G88" s="535"/>
      <c r="H88" s="535"/>
      <c r="I88" s="535"/>
      <c r="J88" s="535"/>
      <c r="K88" s="535"/>
      <c r="L88" s="535"/>
      <c r="M88" s="535"/>
      <c r="N88" s="1135"/>
      <c r="O88" s="1135"/>
      <c r="P88" s="45"/>
      <c r="Q88" s="503"/>
    </row>
    <row r="89" spans="1:17" s="470" customFormat="1" ht="15" thickTop="1">
      <c r="A89" s="592"/>
      <c r="B89" s="537" t="s">
        <v>2725</v>
      </c>
      <c r="C89" s="553"/>
      <c r="D89" s="553"/>
      <c r="E89" s="553"/>
      <c r="F89" s="553"/>
      <c r="G89" s="553"/>
      <c r="H89" s="553"/>
      <c r="I89" s="553"/>
      <c r="J89" s="553"/>
      <c r="K89" s="553"/>
      <c r="L89" s="553"/>
      <c r="M89" s="580"/>
      <c r="N89" s="1136"/>
      <c r="O89" s="1136"/>
      <c r="P89" s="557"/>
      <c r="Q89" s="558"/>
    </row>
    <row r="90" spans="1:17" s="470" customFormat="1" ht="14.4" thickBot="1">
      <c r="A90" s="552"/>
      <c r="B90" s="542"/>
      <c r="C90" s="559"/>
      <c r="D90" s="535"/>
      <c r="E90" s="535"/>
      <c r="F90" s="535"/>
      <c r="G90" s="535"/>
      <c r="H90" s="535"/>
      <c r="I90" s="535"/>
      <c r="J90" s="535"/>
      <c r="K90" s="535"/>
      <c r="L90" s="535"/>
      <c r="M90" s="536"/>
      <c r="N90" s="1136"/>
      <c r="O90" s="1136"/>
      <c r="P90" s="557"/>
      <c r="Q90" s="558"/>
    </row>
    <row r="91" spans="1:17" ht="14.4" thickTop="1">
      <c r="A91" s="598"/>
      <c r="B91" s="537">
        <f>B32</f>
        <v>111</v>
      </c>
      <c r="C91" s="548"/>
      <c r="D91" s="548"/>
      <c r="E91" s="548"/>
      <c r="F91" s="548"/>
      <c r="G91" s="553"/>
      <c r="H91" s="554"/>
      <c r="I91" s="554"/>
      <c r="J91" s="554"/>
      <c r="K91" s="554"/>
      <c r="L91" s="555"/>
      <c r="M91" s="556"/>
      <c r="N91" s="1134"/>
      <c r="O91" s="1134"/>
      <c r="P91" s="45"/>
      <c r="Q91" s="503"/>
    </row>
    <row r="92" spans="1:17" ht="14.4" thickBot="1">
      <c r="A92" s="533"/>
      <c r="B92" s="542"/>
      <c r="C92" s="559"/>
      <c r="D92" s="535"/>
      <c r="E92" s="535"/>
      <c r="F92" s="535"/>
      <c r="G92" s="559"/>
      <c r="H92" s="561"/>
      <c r="I92" s="561"/>
      <c r="J92" s="561"/>
      <c r="K92" s="561"/>
      <c r="L92" s="561"/>
      <c r="M92" s="562"/>
      <c r="N92" s="1135"/>
      <c r="O92" s="1135"/>
      <c r="P92" s="45"/>
      <c r="Q92" s="503"/>
    </row>
    <row r="93" spans="1:17" ht="14.4" thickTop="1">
      <c r="A93" s="598"/>
      <c r="B93" s="537">
        <f>B33</f>
        <v>111</v>
      </c>
      <c r="C93" s="548"/>
      <c r="D93" s="548"/>
      <c r="E93" s="548"/>
      <c r="F93" s="548"/>
      <c r="G93" s="553"/>
      <c r="H93" s="554"/>
      <c r="I93" s="554"/>
      <c r="J93" s="554"/>
      <c r="K93" s="554"/>
      <c r="L93" s="555"/>
      <c r="M93" s="556"/>
      <c r="N93" s="1134"/>
      <c r="O93" s="1134"/>
      <c r="P93" s="45"/>
      <c r="Q93" s="503"/>
    </row>
    <row r="94" spans="1:17" ht="14.4" thickBot="1">
      <c r="A94" s="533"/>
      <c r="B94" s="542"/>
      <c r="C94" s="559"/>
      <c r="D94" s="535"/>
      <c r="E94" s="535"/>
      <c r="F94" s="535"/>
      <c r="G94" s="559"/>
      <c r="H94" s="561"/>
      <c r="I94" s="561"/>
      <c r="J94" s="561"/>
      <c r="K94" s="561"/>
      <c r="L94" s="561"/>
      <c r="M94" s="562"/>
      <c r="N94" s="1135"/>
      <c r="O94" s="1135"/>
      <c r="P94" s="45"/>
      <c r="Q94" s="503"/>
    </row>
    <row r="95" spans="1:17" ht="14.4" thickTop="1">
      <c r="A95" s="598"/>
      <c r="B95" s="635">
        <f>B34</f>
        <v>111</v>
      </c>
      <c r="C95" s="548"/>
      <c r="D95" s="548"/>
      <c r="E95" s="548"/>
      <c r="F95" s="548"/>
      <c r="G95" s="553"/>
      <c r="H95" s="554"/>
      <c r="I95" s="554"/>
      <c r="J95" s="554"/>
      <c r="K95" s="554"/>
      <c r="L95" s="555"/>
      <c r="M95" s="556"/>
      <c r="N95" s="1135"/>
      <c r="O95" s="1135"/>
      <c r="P95" s="636"/>
      <c r="Q95" s="637"/>
    </row>
    <row r="96" spans="1:17" ht="14.4" thickBot="1">
      <c r="A96" s="533"/>
      <c r="B96" s="542"/>
      <c r="C96" s="559"/>
      <c r="D96" s="559"/>
      <c r="E96" s="559"/>
      <c r="F96" s="559"/>
      <c r="G96" s="559"/>
      <c r="H96" s="561"/>
      <c r="I96" s="561"/>
      <c r="J96" s="561"/>
      <c r="K96" s="561"/>
      <c r="L96" s="561"/>
      <c r="M96" s="562"/>
      <c r="N96" s="1135"/>
      <c r="O96" s="1135"/>
      <c r="P96" s="45"/>
      <c r="Q96" s="503"/>
    </row>
    <row r="97" spans="1:20" ht="14.4" thickTop="1"/>
    <row r="98" spans="1:20">
      <c r="A98" s="1137"/>
      <c r="B98" s="1137"/>
      <c r="C98" s="1137"/>
      <c r="D98" s="1137"/>
      <c r="E98" s="1137"/>
      <c r="F98" s="1137"/>
      <c r="G98" s="1137"/>
      <c r="H98" s="1137"/>
      <c r="I98" s="1137"/>
      <c r="J98" s="1137"/>
      <c r="K98" s="1138"/>
      <c r="L98" s="1139"/>
      <c r="M98" s="1137"/>
      <c r="N98" s="1137"/>
      <c r="O98" s="1137"/>
      <c r="P98" s="1137"/>
      <c r="Q98" s="1137"/>
      <c r="R98" s="1137"/>
      <c r="S98" s="1137"/>
      <c r="T98" s="1137"/>
    </row>
    <row r="99" spans="1:20">
      <c r="A99" s="1137"/>
      <c r="B99" s="1137"/>
      <c r="C99" s="1137"/>
      <c r="D99" s="1137"/>
      <c r="E99" s="1137"/>
      <c r="F99" s="1137"/>
      <c r="G99" s="1137"/>
      <c r="H99" s="1137"/>
      <c r="I99" s="1137"/>
      <c r="J99" s="1137"/>
      <c r="K99" s="1138"/>
      <c r="L99" s="1139"/>
      <c r="M99" s="1137"/>
      <c r="N99" s="1137"/>
      <c r="O99" s="1137"/>
      <c r="P99" s="1137"/>
      <c r="Q99" s="1137"/>
      <c r="R99" s="1137"/>
      <c r="S99" s="1137"/>
      <c r="T99" s="1137"/>
    </row>
    <row r="100" spans="1:20">
      <c r="A100" s="1137"/>
      <c r="B100" s="1137"/>
      <c r="C100" s="1137"/>
      <c r="D100" s="1137"/>
      <c r="E100" s="1137"/>
      <c r="F100" s="1137"/>
      <c r="G100" s="1137"/>
      <c r="H100" s="1137"/>
      <c r="I100" s="1137"/>
      <c r="J100" s="1137"/>
      <c r="K100" s="1138"/>
      <c r="L100" s="1139"/>
      <c r="M100" s="1137"/>
      <c r="N100" s="1137"/>
      <c r="O100" s="1137"/>
      <c r="P100" s="1137"/>
      <c r="Q100" s="1137"/>
      <c r="R100" s="1137"/>
      <c r="S100" s="1137"/>
      <c r="T100" s="1137"/>
    </row>
    <row r="101" spans="1:20">
      <c r="A101" s="1137"/>
      <c r="B101" s="1137"/>
      <c r="C101" s="1137"/>
      <c r="D101" s="1137"/>
      <c r="E101" s="1137"/>
      <c r="F101" s="1137"/>
      <c r="G101" s="1137"/>
      <c r="H101" s="1137"/>
      <c r="I101" s="1137"/>
      <c r="J101" s="1137"/>
      <c r="K101" s="1138"/>
      <c r="L101" s="1139"/>
      <c r="M101" s="1137"/>
      <c r="N101" s="1137"/>
      <c r="O101" s="1137"/>
      <c r="P101" s="1137"/>
      <c r="Q101" s="1137"/>
      <c r="R101" s="1137"/>
      <c r="S101" s="1137"/>
      <c r="T101" s="1137"/>
    </row>
    <row r="102" spans="1:20">
      <c r="A102" s="1137"/>
      <c r="B102" s="1137"/>
      <c r="C102" s="1137"/>
      <c r="D102" s="1137"/>
      <c r="E102" s="1137"/>
      <c r="F102" s="1137"/>
      <c r="G102" s="1137"/>
      <c r="H102" s="1137"/>
      <c r="I102" s="1137"/>
      <c r="J102" s="1137"/>
      <c r="K102" s="1138"/>
      <c r="L102" s="1139"/>
      <c r="M102" s="1137"/>
      <c r="N102" s="1137"/>
      <c r="O102" s="1137"/>
      <c r="P102" s="1137"/>
      <c r="Q102" s="1137"/>
      <c r="R102" s="1137"/>
      <c r="S102" s="1137"/>
      <c r="T102" s="1137"/>
    </row>
    <row r="103" spans="1:20">
      <c r="A103" s="1137"/>
      <c r="B103" s="1137"/>
      <c r="C103" s="1137"/>
      <c r="D103" s="1137"/>
      <c r="E103" s="1137"/>
      <c r="F103" s="1137"/>
      <c r="G103" s="1137"/>
      <c r="H103" s="1137"/>
      <c r="I103" s="1137"/>
      <c r="J103" s="1137"/>
      <c r="K103" s="1138"/>
      <c r="L103" s="1139"/>
      <c r="M103" s="1137"/>
      <c r="N103" s="1137"/>
      <c r="O103" s="1137"/>
      <c r="P103" s="1137"/>
      <c r="Q103" s="1137"/>
      <c r="R103" s="1137"/>
      <c r="S103" s="1137"/>
      <c r="T103" s="1137"/>
    </row>
    <row r="104" spans="1:20">
      <c r="A104" s="1137"/>
      <c r="B104" s="1137"/>
      <c r="C104" s="1137"/>
      <c r="D104" s="1137"/>
      <c r="E104" s="1137"/>
      <c r="F104" s="1137"/>
      <c r="G104" s="1137"/>
      <c r="H104" s="1137"/>
      <c r="I104" s="1137"/>
      <c r="J104" s="1137"/>
      <c r="K104" s="1138"/>
      <c r="L104" s="1139"/>
      <c r="M104" s="1137"/>
      <c r="N104" s="1137"/>
      <c r="O104" s="1137"/>
      <c r="P104" s="1137"/>
      <c r="Q104" s="1137"/>
      <c r="R104" s="1137"/>
      <c r="S104" s="1137"/>
      <c r="T104" s="1137"/>
    </row>
    <row r="105" spans="1:20">
      <c r="A105" s="1137"/>
      <c r="B105" s="1137"/>
      <c r="C105" s="1137"/>
      <c r="D105" s="1137"/>
      <c r="E105" s="1137"/>
      <c r="F105" s="1137"/>
      <c r="G105" s="1137"/>
      <c r="H105" s="1137"/>
      <c r="I105" s="1137"/>
      <c r="J105" s="1137"/>
      <c r="K105" s="1138"/>
      <c r="L105" s="1139"/>
      <c r="M105" s="1137"/>
      <c r="N105" s="1137"/>
      <c r="O105" s="1137"/>
      <c r="P105" s="1137"/>
      <c r="Q105" s="1137"/>
      <c r="R105" s="1137"/>
      <c r="S105" s="1137"/>
      <c r="T105" s="1137"/>
    </row>
    <row r="106" spans="1:20">
      <c r="A106" s="1137"/>
      <c r="B106" s="1137"/>
      <c r="C106" s="1137"/>
      <c r="D106" s="1137"/>
      <c r="E106" s="1137"/>
      <c r="F106" s="1137"/>
      <c r="G106" s="1137"/>
      <c r="H106" s="1137"/>
      <c r="I106" s="1137"/>
      <c r="J106" s="1137"/>
      <c r="K106" s="1138"/>
      <c r="L106" s="1139"/>
      <c r="M106" s="1137"/>
      <c r="N106" s="1137"/>
      <c r="O106" s="1137"/>
      <c r="P106" s="1137"/>
      <c r="Q106" s="1137"/>
      <c r="R106" s="1137"/>
      <c r="S106" s="1137"/>
      <c r="T106" s="1137"/>
    </row>
    <row r="107" spans="1:20">
      <c r="A107" s="1137"/>
      <c r="B107" s="1137"/>
      <c r="C107" s="1137"/>
      <c r="D107" s="1137"/>
      <c r="E107" s="1137"/>
      <c r="F107" s="1137"/>
      <c r="G107" s="1137"/>
      <c r="H107" s="1137"/>
      <c r="I107" s="1137"/>
      <c r="J107" s="1137"/>
      <c r="K107" s="1138"/>
      <c r="L107" s="1139"/>
      <c r="M107" s="1137"/>
      <c r="N107" s="1137"/>
      <c r="O107" s="1137"/>
      <c r="P107" s="1137"/>
      <c r="Q107" s="1137"/>
      <c r="R107" s="1137"/>
      <c r="S107" s="1137"/>
      <c r="T107" s="1137"/>
    </row>
    <row r="108" spans="1:20">
      <c r="A108" s="1137"/>
      <c r="B108" s="1137"/>
      <c r="C108" s="1137"/>
      <c r="D108" s="1137"/>
      <c r="E108" s="1137"/>
      <c r="F108" s="1137"/>
      <c r="G108" s="1137"/>
      <c r="H108" s="1137"/>
      <c r="I108" s="1137"/>
      <c r="J108" s="1137"/>
      <c r="K108" s="1138"/>
      <c r="L108" s="1139"/>
      <c r="M108" s="1137"/>
      <c r="N108" s="1137"/>
      <c r="O108" s="1137"/>
      <c r="P108" s="1137"/>
      <c r="Q108" s="1137"/>
      <c r="R108" s="1137"/>
      <c r="S108" s="1137"/>
      <c r="T108" s="1137"/>
    </row>
    <row r="109" spans="1:20">
      <c r="A109" s="1137"/>
      <c r="B109" s="1137"/>
      <c r="C109" s="1137"/>
      <c r="D109" s="1137"/>
      <c r="E109" s="1137"/>
      <c r="F109" s="1137"/>
      <c r="G109" s="1137"/>
      <c r="H109" s="1137"/>
      <c r="I109" s="1137"/>
      <c r="J109" s="1137"/>
      <c r="K109" s="1138"/>
      <c r="L109" s="1139"/>
      <c r="M109" s="1137"/>
      <c r="N109" s="1137"/>
      <c r="O109" s="1137"/>
      <c r="P109" s="1137"/>
      <c r="Q109" s="1137"/>
      <c r="R109" s="1137"/>
      <c r="S109" s="1137"/>
      <c r="T109" s="1137"/>
    </row>
    <row r="110" spans="1:20">
      <c r="A110" s="1137"/>
      <c r="B110" s="1137"/>
      <c r="C110" s="1137"/>
      <c r="D110" s="1137"/>
      <c r="E110" s="1137"/>
      <c r="F110" s="1137"/>
      <c r="G110" s="1137"/>
      <c r="H110" s="1137"/>
      <c r="I110" s="1137"/>
      <c r="J110" s="1137"/>
      <c r="K110" s="1138"/>
      <c r="L110" s="1139"/>
      <c r="M110" s="1137"/>
      <c r="N110" s="1137"/>
      <c r="O110" s="1137"/>
      <c r="P110" s="1137"/>
      <c r="Q110" s="1137"/>
      <c r="R110" s="1137"/>
      <c r="S110" s="1137"/>
      <c r="T110" s="1137"/>
    </row>
    <row r="111" spans="1:20">
      <c r="A111" s="1137"/>
      <c r="B111" s="1137"/>
      <c r="C111" s="1137"/>
      <c r="D111" s="1137"/>
      <c r="E111" s="1137"/>
      <c r="F111" s="1137"/>
      <c r="G111" s="1137"/>
      <c r="H111" s="1137"/>
      <c r="I111" s="1137"/>
      <c r="J111" s="1137"/>
      <c r="K111" s="1138"/>
      <c r="L111" s="1139"/>
      <c r="M111" s="1137"/>
      <c r="N111" s="1137"/>
      <c r="O111" s="1137"/>
      <c r="P111" s="1137"/>
      <c r="Q111" s="1137"/>
      <c r="R111" s="1137"/>
      <c r="S111" s="1137"/>
      <c r="T111" s="1137"/>
    </row>
    <row r="112" spans="1:20">
      <c r="A112" s="1137"/>
      <c r="B112" s="1137"/>
      <c r="C112" s="1137"/>
      <c r="D112" s="1137"/>
      <c r="E112" s="1137"/>
      <c r="F112" s="1137"/>
      <c r="G112" s="1137"/>
      <c r="H112" s="1137"/>
      <c r="I112" s="1137"/>
      <c r="J112" s="1137"/>
      <c r="K112" s="1138"/>
      <c r="L112" s="1139"/>
      <c r="M112" s="1137"/>
      <c r="N112" s="1137"/>
      <c r="O112" s="1137"/>
      <c r="P112" s="1137"/>
      <c r="Q112" s="1137"/>
      <c r="R112" s="1137"/>
      <c r="S112" s="1137"/>
      <c r="T112" s="1137"/>
    </row>
    <row r="113" spans="1:20">
      <c r="A113" s="1137"/>
      <c r="B113" s="1137"/>
      <c r="C113" s="1137"/>
      <c r="D113" s="1137"/>
      <c r="E113" s="1137"/>
      <c r="F113" s="1137"/>
      <c r="G113" s="1137"/>
      <c r="H113" s="1137"/>
      <c r="I113" s="1137"/>
      <c r="J113" s="1137"/>
      <c r="K113" s="1138"/>
      <c r="L113" s="1139"/>
      <c r="M113" s="1137"/>
      <c r="N113" s="1137"/>
      <c r="O113" s="1137"/>
      <c r="P113" s="1137"/>
      <c r="Q113" s="1137"/>
      <c r="R113" s="1137"/>
      <c r="S113" s="1137"/>
      <c r="T113" s="1137"/>
    </row>
    <row r="114" spans="1:20">
      <c r="A114" s="1137"/>
      <c r="B114" s="1137"/>
      <c r="C114" s="1137"/>
      <c r="D114" s="1137"/>
      <c r="E114" s="1137"/>
      <c r="F114" s="1137"/>
      <c r="G114" s="1137"/>
      <c r="H114" s="1137"/>
      <c r="I114" s="1137"/>
      <c r="J114" s="1137"/>
      <c r="K114" s="1138"/>
      <c r="L114" s="1139"/>
      <c r="M114" s="1137"/>
      <c r="N114" s="1137"/>
      <c r="O114" s="1137"/>
      <c r="P114" s="1137"/>
      <c r="Q114" s="1137"/>
      <c r="R114" s="1137"/>
      <c r="S114" s="1137"/>
      <c r="T114" s="1137"/>
    </row>
    <row r="115" spans="1:20">
      <c r="A115" s="1137"/>
      <c r="B115" s="1137"/>
      <c r="C115" s="1137"/>
      <c r="D115" s="1137"/>
      <c r="E115" s="1137"/>
      <c r="F115" s="1137"/>
      <c r="G115" s="1137"/>
      <c r="H115" s="1137"/>
      <c r="I115" s="1137"/>
      <c r="J115" s="1137"/>
      <c r="K115" s="1138"/>
      <c r="L115" s="1139"/>
      <c r="M115" s="1137"/>
      <c r="N115" s="1137"/>
      <c r="O115" s="1137"/>
      <c r="P115" s="1137"/>
      <c r="Q115" s="1137"/>
      <c r="R115" s="1137"/>
      <c r="S115" s="1137"/>
      <c r="T115" s="1137"/>
    </row>
    <row r="116" spans="1:20">
      <c r="A116" s="1137"/>
      <c r="B116" s="1137"/>
      <c r="C116" s="1137"/>
      <c r="D116" s="1137"/>
      <c r="E116" s="1137"/>
      <c r="F116" s="1137"/>
      <c r="G116" s="1137"/>
      <c r="H116" s="1137"/>
      <c r="I116" s="1137"/>
      <c r="J116" s="1137"/>
      <c r="K116" s="1138"/>
      <c r="L116" s="1139"/>
      <c r="M116" s="1137"/>
      <c r="N116" s="1137"/>
      <c r="O116" s="1137"/>
      <c r="P116" s="1137"/>
      <c r="Q116" s="1137"/>
      <c r="R116" s="1137"/>
      <c r="S116" s="1137"/>
      <c r="T116" s="1137"/>
    </row>
    <row r="117" spans="1:20">
      <c r="A117" s="1137"/>
      <c r="B117" s="1137"/>
      <c r="C117" s="1137"/>
      <c r="D117" s="1137"/>
      <c r="E117" s="1137"/>
      <c r="F117" s="1137"/>
      <c r="G117" s="1137"/>
      <c r="H117" s="1137"/>
      <c r="I117" s="1137"/>
      <c r="J117" s="1137"/>
      <c r="K117" s="1138"/>
      <c r="L117" s="1139"/>
      <c r="M117" s="1137"/>
      <c r="N117" s="1137"/>
      <c r="O117" s="1137"/>
      <c r="P117" s="1137"/>
      <c r="Q117" s="1137"/>
      <c r="R117" s="1137"/>
      <c r="S117" s="1137"/>
      <c r="T117" s="1137"/>
    </row>
    <row r="118" spans="1:20">
      <c r="A118" s="1137"/>
      <c r="B118" s="1137"/>
      <c r="C118" s="1137"/>
      <c r="D118" s="1137"/>
      <c r="E118" s="1137"/>
      <c r="F118" s="1137"/>
      <c r="G118" s="1137"/>
      <c r="H118" s="1137"/>
      <c r="I118" s="1137"/>
      <c r="J118" s="1137"/>
      <c r="K118" s="1138"/>
      <c r="L118" s="1139"/>
      <c r="M118" s="1137"/>
      <c r="N118" s="1137"/>
      <c r="O118" s="1137"/>
      <c r="P118" s="1137"/>
      <c r="Q118" s="1137"/>
      <c r="R118" s="1137"/>
      <c r="S118" s="1137"/>
      <c r="T118" s="1137"/>
    </row>
    <row r="119" spans="1:20">
      <c r="A119" s="1137"/>
      <c r="B119" s="1137"/>
      <c r="C119" s="1137"/>
      <c r="D119" s="1137"/>
      <c r="E119" s="1137"/>
      <c r="F119" s="1137"/>
      <c r="G119" s="1137"/>
      <c r="H119" s="1137"/>
      <c r="I119" s="1137"/>
      <c r="J119" s="1137"/>
      <c r="K119" s="1138"/>
      <c r="L119" s="1139"/>
      <c r="M119" s="1137"/>
      <c r="N119" s="1137"/>
      <c r="O119" s="1137"/>
      <c r="P119" s="1137"/>
      <c r="Q119" s="1137"/>
      <c r="R119" s="1137"/>
      <c r="S119" s="1137"/>
      <c r="T119" s="1137"/>
    </row>
    <row r="120" spans="1:20">
      <c r="A120" s="1137"/>
      <c r="B120" s="1137"/>
      <c r="C120" s="1137"/>
      <c r="D120" s="1137"/>
      <c r="E120" s="1137"/>
      <c r="F120" s="1137"/>
      <c r="G120" s="1137"/>
      <c r="H120" s="1137"/>
      <c r="I120" s="1137"/>
      <c r="J120" s="1137"/>
      <c r="K120" s="1138"/>
      <c r="L120" s="1139"/>
      <c r="M120" s="1137"/>
      <c r="N120" s="1137"/>
      <c r="O120" s="1137"/>
      <c r="P120" s="1137"/>
      <c r="Q120" s="1137"/>
      <c r="R120" s="1137"/>
      <c r="S120" s="1137"/>
      <c r="T120" s="1137"/>
    </row>
    <row r="121" spans="1:20">
      <c r="A121" s="1137"/>
      <c r="B121" s="1137"/>
      <c r="C121" s="1137"/>
      <c r="D121" s="1137"/>
      <c r="E121" s="1137"/>
      <c r="F121" s="1137"/>
      <c r="G121" s="1137"/>
      <c r="H121" s="1137"/>
      <c r="I121" s="1137"/>
      <c r="J121" s="1137"/>
      <c r="K121" s="1138"/>
      <c r="L121" s="1139"/>
      <c r="M121" s="1137"/>
      <c r="N121" s="1137"/>
      <c r="O121" s="1137"/>
      <c r="P121" s="1137"/>
      <c r="Q121" s="1137"/>
      <c r="R121" s="1137"/>
      <c r="S121" s="1137"/>
      <c r="T121" s="1137"/>
    </row>
    <row r="122" spans="1:20">
      <c r="A122" s="1137"/>
      <c r="B122" s="1137"/>
      <c r="C122" s="1137"/>
      <c r="D122" s="1137"/>
      <c r="E122" s="1137"/>
      <c r="F122" s="1137"/>
      <c r="G122" s="1137"/>
      <c r="H122" s="1137"/>
      <c r="I122" s="1137"/>
      <c r="J122" s="1137"/>
      <c r="K122" s="1138"/>
      <c r="L122" s="1139"/>
      <c r="M122" s="1137"/>
      <c r="N122" s="1137"/>
      <c r="O122" s="1137"/>
      <c r="P122" s="1137"/>
      <c r="Q122" s="1137"/>
      <c r="R122" s="1137"/>
      <c r="S122" s="1137"/>
      <c r="T122" s="1137"/>
    </row>
    <row r="123" spans="1:20">
      <c r="A123" s="1137"/>
      <c r="B123" s="1137"/>
      <c r="C123" s="1137"/>
      <c r="D123" s="1137"/>
      <c r="E123" s="1137"/>
      <c r="F123" s="1137"/>
      <c r="G123" s="1137"/>
      <c r="H123" s="1137"/>
      <c r="I123" s="1137"/>
      <c r="J123" s="1137"/>
      <c r="K123" s="1138"/>
      <c r="L123" s="1139"/>
      <c r="M123" s="1137"/>
      <c r="N123" s="1137"/>
      <c r="O123" s="1137"/>
      <c r="P123" s="1137"/>
      <c r="Q123" s="1137"/>
      <c r="R123" s="1137"/>
      <c r="S123" s="1137"/>
      <c r="T123" s="1137"/>
    </row>
    <row r="124" spans="1:20">
      <c r="A124" s="1137"/>
      <c r="B124" s="1137"/>
      <c r="C124" s="1137"/>
      <c r="D124" s="1137"/>
      <c r="E124" s="1137"/>
      <c r="F124" s="1137"/>
      <c r="G124" s="1137"/>
      <c r="H124" s="1137"/>
      <c r="I124" s="1137"/>
      <c r="J124" s="1137"/>
      <c r="K124" s="1138"/>
      <c r="L124" s="1139"/>
      <c r="M124" s="1137"/>
      <c r="N124" s="1137"/>
      <c r="O124" s="1137"/>
      <c r="P124" s="1137"/>
      <c r="Q124" s="1137"/>
      <c r="R124" s="1137"/>
      <c r="S124" s="1137"/>
      <c r="T124" s="1137"/>
    </row>
    <row r="125" spans="1:20">
      <c r="A125" s="1137"/>
      <c r="B125" s="1137"/>
      <c r="C125" s="1137"/>
      <c r="D125" s="1137"/>
      <c r="E125" s="1137"/>
      <c r="F125" s="1137"/>
      <c r="G125" s="1137"/>
      <c r="H125" s="1137"/>
      <c r="I125" s="1137"/>
      <c r="J125" s="1137"/>
      <c r="K125" s="1138"/>
      <c r="L125" s="1139"/>
      <c r="M125" s="1137"/>
      <c r="N125" s="1137"/>
      <c r="O125" s="1137"/>
      <c r="P125" s="1137"/>
      <c r="Q125" s="1137"/>
      <c r="R125" s="1137"/>
      <c r="S125" s="1137"/>
      <c r="T125" s="1137"/>
    </row>
    <row r="126" spans="1:20">
      <c r="A126" s="1137"/>
      <c r="B126" s="1137"/>
      <c r="C126" s="1137"/>
      <c r="D126" s="1137"/>
      <c r="E126" s="1137"/>
      <c r="F126" s="1137"/>
      <c r="G126" s="1137"/>
      <c r="H126" s="1137"/>
      <c r="I126" s="1137"/>
      <c r="J126" s="1137"/>
      <c r="K126" s="1138"/>
      <c r="L126" s="1139"/>
      <c r="M126" s="1137"/>
      <c r="N126" s="1137"/>
      <c r="O126" s="1137"/>
      <c r="P126" s="1137"/>
      <c r="Q126" s="1137"/>
      <c r="R126" s="1137"/>
      <c r="S126" s="1137"/>
      <c r="T126" s="1137"/>
    </row>
    <row r="127" spans="1:20">
      <c r="A127" s="1137"/>
      <c r="B127" s="1137"/>
      <c r="C127" s="1137"/>
      <c r="D127" s="1137"/>
      <c r="E127" s="1137"/>
      <c r="F127" s="1137"/>
      <c r="G127" s="1137"/>
      <c r="H127" s="1137"/>
      <c r="I127" s="1137"/>
      <c r="J127" s="1137"/>
      <c r="K127" s="1138"/>
      <c r="L127" s="1139"/>
      <c r="M127" s="1137"/>
      <c r="N127" s="1137"/>
      <c r="O127" s="1137"/>
      <c r="P127" s="1137"/>
      <c r="Q127" s="1137"/>
      <c r="R127" s="1137"/>
      <c r="S127" s="1137"/>
      <c r="T127" s="1137"/>
    </row>
    <row r="128" spans="1:20">
      <c r="A128" s="1137"/>
      <c r="B128" s="1137"/>
      <c r="C128" s="1137"/>
      <c r="D128" s="1137"/>
      <c r="E128" s="1137"/>
      <c r="F128" s="1137"/>
      <c r="G128" s="1137"/>
      <c r="H128" s="1137"/>
      <c r="I128" s="1137"/>
      <c r="J128" s="1137"/>
      <c r="K128" s="1138"/>
      <c r="L128" s="1139"/>
      <c r="M128" s="1137"/>
      <c r="N128" s="1137"/>
      <c r="O128" s="1137"/>
      <c r="P128" s="1137"/>
      <c r="Q128" s="1137"/>
      <c r="R128" s="1137"/>
      <c r="S128" s="1137"/>
      <c r="T128" s="1137"/>
    </row>
    <row r="129" spans="1:20">
      <c r="A129" s="1137"/>
      <c r="B129" s="1137"/>
      <c r="C129" s="1137"/>
      <c r="D129" s="1137"/>
      <c r="E129" s="1137"/>
      <c r="F129" s="1137"/>
      <c r="G129" s="1137"/>
      <c r="H129" s="1137"/>
      <c r="I129" s="1137"/>
      <c r="J129" s="1137"/>
      <c r="K129" s="1138"/>
      <c r="L129" s="1139"/>
      <c r="M129" s="1137"/>
      <c r="N129" s="1137"/>
      <c r="O129" s="1137"/>
      <c r="P129" s="1137"/>
      <c r="Q129" s="1137"/>
      <c r="R129" s="1137"/>
      <c r="S129" s="1137"/>
      <c r="T129" s="1137"/>
    </row>
    <row r="130" spans="1:20">
      <c r="A130" s="1137"/>
      <c r="B130" s="1137"/>
      <c r="C130" s="1137"/>
      <c r="D130" s="1137"/>
      <c r="E130" s="1137"/>
      <c r="F130" s="1137"/>
      <c r="G130" s="1137"/>
      <c r="H130" s="1137"/>
      <c r="I130" s="1137"/>
      <c r="J130" s="1137"/>
      <c r="K130" s="1138"/>
      <c r="L130" s="1139"/>
      <c r="M130" s="1137"/>
      <c r="N130" s="1137"/>
      <c r="O130" s="1137"/>
      <c r="P130" s="1137"/>
      <c r="Q130" s="1137"/>
      <c r="R130" s="1137"/>
      <c r="S130" s="1137"/>
      <c r="T130" s="1137"/>
    </row>
    <row r="131" spans="1:20">
      <c r="A131" s="1137"/>
      <c r="B131" s="1137"/>
      <c r="C131" s="1137"/>
      <c r="D131" s="1137"/>
      <c r="E131" s="1137"/>
      <c r="F131" s="1137"/>
      <c r="G131" s="1137"/>
      <c r="H131" s="1137"/>
      <c r="I131" s="1137"/>
      <c r="J131" s="1137"/>
      <c r="K131" s="1138"/>
      <c r="L131" s="1139"/>
      <c r="M131" s="1137"/>
      <c r="N131" s="1137"/>
      <c r="O131" s="1137"/>
      <c r="P131" s="1137"/>
      <c r="Q131" s="1137"/>
      <c r="R131" s="1137"/>
      <c r="S131" s="1137"/>
      <c r="T131" s="1137"/>
    </row>
    <row r="132" spans="1:20">
      <c r="A132" s="1137"/>
      <c r="B132" s="1137"/>
      <c r="C132" s="1137"/>
      <c r="D132" s="1137"/>
      <c r="E132" s="1137"/>
      <c r="F132" s="1137"/>
      <c r="G132" s="1137"/>
      <c r="H132" s="1137"/>
      <c r="I132" s="1137"/>
      <c r="J132" s="1137"/>
      <c r="K132" s="1138"/>
      <c r="L132" s="1139"/>
      <c r="M132" s="1137"/>
      <c r="N132" s="1137"/>
      <c r="O132" s="1137"/>
      <c r="P132" s="1137"/>
      <c r="Q132" s="1137"/>
      <c r="R132" s="1137"/>
      <c r="S132" s="1137"/>
      <c r="T132" s="1137"/>
    </row>
    <row r="133" spans="1:20">
      <c r="A133" s="1137"/>
      <c r="B133" s="1137"/>
      <c r="C133" s="1137"/>
      <c r="D133" s="1137"/>
      <c r="E133" s="1137"/>
      <c r="F133" s="1137"/>
      <c r="G133" s="1137"/>
      <c r="H133" s="1137"/>
      <c r="I133" s="1137"/>
      <c r="J133" s="1137"/>
      <c r="K133" s="1138"/>
      <c r="L133" s="1139"/>
      <c r="M133" s="1137"/>
      <c r="N133" s="1137"/>
      <c r="O133" s="1137"/>
      <c r="P133" s="1137"/>
      <c r="Q133" s="1137"/>
      <c r="R133" s="1137"/>
      <c r="S133" s="1137"/>
      <c r="T133" s="1137"/>
    </row>
    <row r="134" spans="1:20">
      <c r="A134" s="1137"/>
      <c r="B134" s="1137"/>
      <c r="C134" s="1137"/>
      <c r="D134" s="1137"/>
      <c r="E134" s="1137"/>
      <c r="F134" s="1137"/>
      <c r="G134" s="1137"/>
      <c r="H134" s="1137"/>
      <c r="I134" s="1137"/>
      <c r="J134" s="1137"/>
      <c r="K134" s="1138"/>
      <c r="L134" s="1139"/>
      <c r="M134" s="1137"/>
      <c r="N134" s="1137"/>
      <c r="O134" s="1137"/>
      <c r="P134" s="1137"/>
      <c r="Q134" s="1137"/>
      <c r="R134" s="1137"/>
      <c r="S134" s="1137"/>
      <c r="T134" s="1137"/>
    </row>
    <row r="135" spans="1:20">
      <c r="A135" s="1137"/>
      <c r="B135" s="1137"/>
      <c r="C135" s="1137"/>
      <c r="D135" s="1137"/>
      <c r="E135" s="1137"/>
      <c r="F135" s="1137"/>
      <c r="G135" s="1137"/>
      <c r="H135" s="1137"/>
      <c r="I135" s="1137"/>
      <c r="J135" s="1137"/>
      <c r="K135" s="1138"/>
      <c r="L135" s="1139"/>
      <c r="M135" s="1137"/>
      <c r="N135" s="1137"/>
      <c r="O135" s="1137"/>
      <c r="P135" s="1137"/>
      <c r="Q135" s="1137"/>
      <c r="R135" s="1137"/>
      <c r="S135" s="1137"/>
      <c r="T135" s="1137"/>
    </row>
    <row r="136" spans="1:20">
      <c r="A136" s="1137"/>
      <c r="B136" s="1137"/>
      <c r="C136" s="1137"/>
      <c r="D136" s="1137"/>
      <c r="E136" s="1137"/>
      <c r="F136" s="1137"/>
      <c r="G136" s="1137"/>
      <c r="H136" s="1137"/>
      <c r="I136" s="1137"/>
      <c r="J136" s="1137"/>
      <c r="K136" s="1138"/>
      <c r="L136" s="1139"/>
      <c r="M136" s="1137"/>
      <c r="N136" s="1137"/>
      <c r="O136" s="1137"/>
      <c r="P136" s="1137"/>
      <c r="Q136" s="1137"/>
      <c r="R136" s="1137"/>
      <c r="S136" s="1137"/>
      <c r="T136" s="1137"/>
    </row>
    <row r="137" spans="1:20">
      <c r="A137" s="1137"/>
      <c r="B137" s="1137"/>
      <c r="C137" s="1137"/>
      <c r="D137" s="1137"/>
      <c r="E137" s="1137"/>
      <c r="F137" s="1137"/>
      <c r="G137" s="1137"/>
      <c r="H137" s="1137"/>
      <c r="I137" s="1137"/>
      <c r="J137" s="1137"/>
      <c r="K137" s="1138"/>
      <c r="L137" s="1139"/>
      <c r="M137" s="1137"/>
      <c r="N137" s="1137"/>
      <c r="O137" s="1137"/>
      <c r="P137" s="1137"/>
      <c r="Q137" s="1137"/>
      <c r="R137" s="1137"/>
      <c r="S137" s="1137"/>
      <c r="T137" s="1137"/>
    </row>
    <row r="138" spans="1:20">
      <c r="A138" s="1137"/>
      <c r="B138" s="1137"/>
      <c r="C138" s="1137"/>
      <c r="D138" s="1137"/>
      <c r="E138" s="1137"/>
      <c r="F138" s="1137"/>
      <c r="G138" s="1137"/>
      <c r="H138" s="1137"/>
      <c r="I138" s="1137"/>
      <c r="J138" s="1137"/>
      <c r="K138" s="1138"/>
      <c r="L138" s="1139"/>
      <c r="M138" s="1137"/>
      <c r="N138" s="1137"/>
      <c r="O138" s="1137"/>
      <c r="P138" s="1137"/>
      <c r="Q138" s="1137"/>
      <c r="R138" s="1137"/>
      <c r="S138" s="1137"/>
      <c r="T138" s="1137"/>
    </row>
    <row r="139" spans="1:20">
      <c r="A139" s="1137"/>
      <c r="B139" s="1137"/>
      <c r="C139" s="1137"/>
      <c r="D139" s="1137"/>
      <c r="E139" s="1137"/>
      <c r="F139" s="1137"/>
      <c r="G139" s="1137"/>
      <c r="H139" s="1137"/>
      <c r="I139" s="1137"/>
      <c r="J139" s="1137"/>
      <c r="K139" s="1138"/>
      <c r="L139" s="1139"/>
      <c r="M139" s="1137"/>
      <c r="N139" s="1137"/>
      <c r="O139" s="1137"/>
      <c r="P139" s="1137"/>
      <c r="Q139" s="1137"/>
      <c r="R139" s="1137"/>
      <c r="S139" s="1137"/>
      <c r="T139" s="1137"/>
    </row>
    <row r="140" spans="1:20">
      <c r="A140" s="1137"/>
      <c r="B140" s="1137"/>
      <c r="C140" s="1137"/>
      <c r="D140" s="1137"/>
      <c r="E140" s="1137"/>
      <c r="F140" s="1137"/>
      <c r="G140" s="1137"/>
      <c r="H140" s="1137"/>
      <c r="I140" s="1137"/>
      <c r="J140" s="1137"/>
      <c r="K140" s="1138"/>
      <c r="L140" s="1139"/>
      <c r="M140" s="1137"/>
      <c r="N140" s="1137"/>
      <c r="O140" s="1137"/>
      <c r="P140" s="1137"/>
      <c r="Q140" s="1137"/>
      <c r="R140" s="1137"/>
      <c r="S140" s="1137"/>
      <c r="T140" s="1137"/>
    </row>
    <row r="141" spans="1:20">
      <c r="A141" s="1137"/>
      <c r="B141" s="1137"/>
      <c r="C141" s="1137"/>
      <c r="D141" s="1137"/>
      <c r="E141" s="1137"/>
      <c r="F141" s="1137"/>
      <c r="G141" s="1137"/>
      <c r="H141" s="1137"/>
      <c r="I141" s="1137"/>
      <c r="J141" s="1137"/>
      <c r="K141" s="1138"/>
      <c r="L141" s="1139"/>
      <c r="M141" s="1137"/>
      <c r="N141" s="1137"/>
      <c r="O141" s="1137"/>
      <c r="P141" s="1137"/>
      <c r="Q141" s="1137"/>
      <c r="R141" s="1137"/>
      <c r="S141" s="1137"/>
      <c r="T141" s="1137"/>
    </row>
    <row r="142" spans="1:20">
      <c r="A142" s="1137"/>
      <c r="B142" s="1137"/>
      <c r="C142" s="1137"/>
      <c r="D142" s="1137"/>
      <c r="E142" s="1137"/>
      <c r="F142" s="1137"/>
      <c r="G142" s="1137"/>
      <c r="H142" s="1137"/>
      <c r="I142" s="1137"/>
      <c r="J142" s="1137"/>
      <c r="K142" s="1138"/>
      <c r="L142" s="1139"/>
      <c r="M142" s="1137"/>
      <c r="N142" s="1137"/>
      <c r="O142" s="1137"/>
      <c r="P142" s="1137"/>
      <c r="Q142" s="1137"/>
      <c r="R142" s="1137"/>
      <c r="S142" s="1137"/>
      <c r="T142" s="1137"/>
    </row>
    <row r="143" spans="1:20">
      <c r="A143" s="1137"/>
      <c r="B143" s="1137"/>
      <c r="C143" s="1137"/>
      <c r="D143" s="1137"/>
      <c r="E143" s="1137"/>
      <c r="F143" s="1137"/>
      <c r="G143" s="1137"/>
      <c r="H143" s="1137"/>
      <c r="I143" s="1137"/>
      <c r="J143" s="1137"/>
      <c r="K143" s="1138"/>
      <c r="L143" s="1139"/>
      <c r="M143" s="1137"/>
      <c r="N143" s="1137"/>
      <c r="O143" s="1137"/>
      <c r="P143" s="1137"/>
      <c r="Q143" s="1137"/>
      <c r="R143" s="1137"/>
      <c r="S143" s="1137"/>
      <c r="T143" s="1137"/>
    </row>
    <row r="144" spans="1:20">
      <c r="A144" s="1137"/>
      <c r="B144" s="1137"/>
      <c r="C144" s="1137"/>
      <c r="D144" s="1137"/>
      <c r="E144" s="1137"/>
      <c r="F144" s="1137"/>
      <c r="G144" s="1137"/>
      <c r="H144" s="1137"/>
      <c r="I144" s="1137"/>
      <c r="J144" s="1137"/>
      <c r="K144" s="1138"/>
      <c r="L144" s="1139"/>
      <c r="M144" s="1137"/>
      <c r="N144" s="1137"/>
      <c r="O144" s="1137"/>
      <c r="P144" s="1137"/>
      <c r="Q144" s="1137"/>
      <c r="R144" s="1137"/>
      <c r="S144" s="1137"/>
      <c r="T144" s="1137"/>
    </row>
    <row r="145" spans="1:20">
      <c r="A145" s="1137"/>
      <c r="B145" s="1137"/>
      <c r="C145" s="1137"/>
      <c r="D145" s="1137"/>
      <c r="E145" s="1137"/>
      <c r="F145" s="1137"/>
      <c r="G145" s="1137"/>
      <c r="H145" s="1137"/>
      <c r="I145" s="1137"/>
      <c r="J145" s="1137"/>
      <c r="K145" s="1138"/>
      <c r="L145" s="1139"/>
      <c r="M145" s="1137"/>
      <c r="N145" s="1137"/>
      <c r="O145" s="1137"/>
      <c r="P145" s="1137"/>
      <c r="Q145" s="1137"/>
      <c r="R145" s="1137"/>
      <c r="S145" s="1137"/>
      <c r="T145" s="1137"/>
    </row>
    <row r="146" spans="1:20">
      <c r="A146" s="1137"/>
      <c r="B146" s="1137"/>
      <c r="C146" s="1137"/>
      <c r="D146" s="1137"/>
      <c r="E146" s="1137"/>
      <c r="F146" s="1137"/>
      <c r="G146" s="1137"/>
      <c r="H146" s="1137"/>
      <c r="I146" s="1137"/>
      <c r="J146" s="1137"/>
      <c r="K146" s="1138"/>
      <c r="L146" s="1139"/>
      <c r="M146" s="1137"/>
      <c r="N146" s="1137"/>
      <c r="O146" s="1137"/>
      <c r="P146" s="1137"/>
      <c r="Q146" s="1137"/>
      <c r="R146" s="1137"/>
      <c r="S146" s="1137"/>
      <c r="T146" s="1137"/>
    </row>
    <row r="147" spans="1:20">
      <c r="A147" s="1137"/>
      <c r="B147" s="1137"/>
      <c r="C147" s="1137"/>
      <c r="D147" s="1137"/>
      <c r="E147" s="1137"/>
      <c r="F147" s="1137"/>
      <c r="G147" s="1137"/>
      <c r="H147" s="1137"/>
      <c r="I147" s="1137"/>
      <c r="J147" s="1137"/>
      <c r="K147" s="1138"/>
      <c r="L147" s="1139"/>
      <c r="M147" s="1137"/>
      <c r="N147" s="1137"/>
      <c r="O147" s="1137"/>
      <c r="P147" s="1137"/>
      <c r="Q147" s="1137"/>
      <c r="R147" s="1137"/>
      <c r="S147" s="1137"/>
      <c r="T147" s="1137"/>
    </row>
    <row r="148" spans="1:20">
      <c r="A148" s="1137"/>
      <c r="B148" s="1137"/>
      <c r="C148" s="1137"/>
      <c r="D148" s="1137"/>
      <c r="E148" s="1137"/>
      <c r="F148" s="1137"/>
      <c r="G148" s="1137"/>
      <c r="H148" s="1137"/>
      <c r="I148" s="1137"/>
      <c r="J148" s="1137"/>
      <c r="K148" s="1138"/>
      <c r="L148" s="1139"/>
      <c r="M148" s="1137"/>
      <c r="N148" s="1137"/>
      <c r="O148" s="1137"/>
      <c r="P148" s="1137"/>
      <c r="Q148" s="1137"/>
      <c r="R148" s="1137"/>
      <c r="S148" s="1137"/>
      <c r="T148" s="1137"/>
    </row>
    <row r="149" spans="1:20">
      <c r="A149" s="1137"/>
      <c r="B149" s="1137"/>
      <c r="C149" s="1137"/>
      <c r="D149" s="1137"/>
      <c r="E149" s="1137"/>
      <c r="F149" s="1137"/>
      <c r="G149" s="1137"/>
      <c r="H149" s="1137"/>
      <c r="I149" s="1137"/>
      <c r="J149" s="1137"/>
      <c r="K149" s="1138"/>
      <c r="L149" s="1139"/>
      <c r="M149" s="1137"/>
      <c r="N149" s="1137"/>
      <c r="O149" s="1137"/>
      <c r="P149" s="1137"/>
      <c r="Q149" s="1137"/>
      <c r="R149" s="1137"/>
      <c r="S149" s="1137"/>
      <c r="T149" s="1137"/>
    </row>
    <row r="150" spans="1:20">
      <c r="A150" s="1137"/>
      <c r="B150" s="1137"/>
      <c r="C150" s="1137"/>
      <c r="D150" s="1137"/>
      <c r="E150" s="1137"/>
      <c r="F150" s="1137"/>
      <c r="G150" s="1137"/>
      <c r="H150" s="1137"/>
      <c r="I150" s="1137"/>
      <c r="J150" s="1137"/>
      <c r="K150" s="1138"/>
      <c r="L150" s="1139"/>
      <c r="M150" s="1137"/>
      <c r="N150" s="1137"/>
      <c r="O150" s="1137"/>
      <c r="P150" s="1137"/>
      <c r="Q150" s="1137"/>
      <c r="R150" s="1137"/>
      <c r="S150" s="1137"/>
      <c r="T150" s="1137"/>
    </row>
    <row r="151" spans="1:20">
      <c r="A151" s="1137"/>
      <c r="B151" s="1137"/>
      <c r="C151" s="1137"/>
      <c r="D151" s="1137"/>
      <c r="E151" s="1137"/>
      <c r="F151" s="1137"/>
      <c r="G151" s="1137"/>
      <c r="H151" s="1137"/>
      <c r="I151" s="1137"/>
      <c r="J151" s="1137"/>
      <c r="K151" s="1138"/>
      <c r="L151" s="1139"/>
      <c r="M151" s="1137"/>
      <c r="N151" s="1137"/>
      <c r="O151" s="1137"/>
      <c r="P151" s="1137"/>
      <c r="Q151" s="1137"/>
      <c r="R151" s="1137"/>
      <c r="S151" s="1137"/>
      <c r="T151" s="1137"/>
    </row>
    <row r="152" spans="1:20">
      <c r="A152" s="1137"/>
      <c r="B152" s="1137"/>
      <c r="C152" s="1137"/>
      <c r="D152" s="1137"/>
      <c r="E152" s="1137"/>
      <c r="F152" s="1137"/>
      <c r="G152" s="1137"/>
      <c r="H152" s="1137"/>
      <c r="I152" s="1137"/>
      <c r="J152" s="1137"/>
      <c r="K152" s="1138"/>
      <c r="L152" s="1139"/>
      <c r="M152" s="1137"/>
      <c r="N152" s="1137"/>
      <c r="O152" s="1137"/>
      <c r="P152" s="1137"/>
      <c r="Q152" s="1137"/>
      <c r="R152" s="1137"/>
      <c r="S152" s="1137"/>
      <c r="T152" s="1137"/>
    </row>
    <row r="153" spans="1:20">
      <c r="A153" s="1137"/>
      <c r="B153" s="1137"/>
      <c r="C153" s="1137"/>
      <c r="D153" s="1137"/>
      <c r="E153" s="1137"/>
      <c r="F153" s="1137"/>
      <c r="G153" s="1137"/>
      <c r="H153" s="1137"/>
      <c r="I153" s="1137"/>
      <c r="J153" s="1137"/>
      <c r="K153" s="1138"/>
      <c r="L153" s="1139"/>
      <c r="M153" s="1137"/>
      <c r="N153" s="1137"/>
      <c r="O153" s="1137"/>
      <c r="P153" s="1137"/>
      <c r="Q153" s="1137"/>
      <c r="R153" s="1137"/>
      <c r="S153" s="1137"/>
      <c r="T153" s="1137"/>
    </row>
    <row r="154" spans="1:20">
      <c r="A154" s="1137"/>
      <c r="B154" s="1137"/>
      <c r="C154" s="1137"/>
      <c r="D154" s="1137"/>
      <c r="E154" s="1137"/>
      <c r="F154" s="1137"/>
      <c r="G154" s="1137"/>
      <c r="H154" s="1137"/>
      <c r="I154" s="1137"/>
      <c r="J154" s="1137"/>
      <c r="K154" s="1138"/>
      <c r="L154" s="1139"/>
      <c r="M154" s="1137"/>
      <c r="N154" s="1137"/>
      <c r="O154" s="1137"/>
      <c r="P154" s="1137"/>
      <c r="Q154" s="1137"/>
      <c r="R154" s="1137"/>
      <c r="S154" s="1137"/>
      <c r="T154" s="1137"/>
    </row>
    <row r="155" spans="1:20">
      <c r="A155" s="1137"/>
      <c r="B155" s="1137"/>
      <c r="C155" s="1137"/>
      <c r="D155" s="1137"/>
      <c r="E155" s="1137"/>
      <c r="F155" s="1137"/>
      <c r="G155" s="1137"/>
      <c r="H155" s="1137"/>
      <c r="I155" s="1137"/>
      <c r="J155" s="1137"/>
      <c r="K155" s="1138"/>
      <c r="L155" s="1139"/>
      <c r="M155" s="1137"/>
      <c r="N155" s="1137"/>
      <c r="O155" s="1137"/>
      <c r="P155" s="1137"/>
      <c r="Q155" s="1137"/>
      <c r="R155" s="1137"/>
      <c r="S155" s="1137"/>
      <c r="T155" s="1137"/>
    </row>
    <row r="156" spans="1:20">
      <c r="A156" s="1137"/>
      <c r="B156" s="1137"/>
      <c r="C156" s="1137"/>
      <c r="D156" s="1137"/>
      <c r="E156" s="1137"/>
      <c r="F156" s="1137"/>
      <c r="G156" s="1137"/>
      <c r="H156" s="1137"/>
      <c r="I156" s="1137"/>
      <c r="J156" s="1137"/>
      <c r="K156" s="1138"/>
      <c r="L156" s="1139"/>
      <c r="M156" s="1137"/>
      <c r="N156" s="1137"/>
      <c r="O156" s="1137"/>
      <c r="P156" s="1137"/>
      <c r="Q156" s="1137"/>
      <c r="R156" s="1137"/>
      <c r="S156" s="1137"/>
      <c r="T156" s="1137"/>
    </row>
    <row r="157" spans="1:20">
      <c r="A157" s="1137"/>
      <c r="B157" s="1137"/>
      <c r="C157" s="1137"/>
      <c r="D157" s="1137"/>
      <c r="E157" s="1137"/>
      <c r="F157" s="1137"/>
      <c r="G157" s="1137"/>
      <c r="H157" s="1137"/>
      <c r="I157" s="1137"/>
      <c r="J157" s="1137"/>
      <c r="K157" s="1138"/>
      <c r="L157" s="1139"/>
      <c r="M157" s="1137"/>
      <c r="N157" s="1137"/>
      <c r="O157" s="1137"/>
      <c r="P157" s="1137"/>
      <c r="Q157" s="1137"/>
      <c r="R157" s="1137"/>
      <c r="S157" s="1137"/>
      <c r="T157" s="1137"/>
    </row>
    <row r="158" spans="1:20">
      <c r="A158" s="1137"/>
      <c r="B158" s="1137"/>
      <c r="C158" s="1137"/>
      <c r="D158" s="1137"/>
      <c r="E158" s="1137"/>
      <c r="F158" s="1137"/>
      <c r="G158" s="1137"/>
      <c r="H158" s="1137"/>
      <c r="I158" s="1137"/>
      <c r="J158" s="1137"/>
      <c r="K158" s="1138"/>
      <c r="L158" s="1139"/>
      <c r="M158" s="1137"/>
      <c r="N158" s="1137"/>
      <c r="O158" s="1137"/>
      <c r="P158" s="1137"/>
      <c r="Q158" s="1137"/>
      <c r="R158" s="1137"/>
      <c r="S158" s="1137"/>
      <c r="T158" s="1137"/>
    </row>
    <row r="159" spans="1:20">
      <c r="A159" s="1137"/>
      <c r="B159" s="1137"/>
      <c r="C159" s="1137"/>
      <c r="D159" s="1137"/>
      <c r="E159" s="1137"/>
      <c r="F159" s="1137"/>
      <c r="G159" s="1137"/>
      <c r="H159" s="1137"/>
      <c r="I159" s="1137"/>
      <c r="J159" s="1137"/>
      <c r="K159" s="1138"/>
      <c r="L159" s="1139"/>
      <c r="M159" s="1137"/>
      <c r="N159" s="1137"/>
      <c r="O159" s="1137"/>
      <c r="P159" s="1137"/>
      <c r="Q159" s="1137"/>
      <c r="R159" s="1137"/>
      <c r="S159" s="1137"/>
      <c r="T159" s="1137"/>
    </row>
    <row r="160" spans="1:20">
      <c r="A160" s="1137"/>
      <c r="B160" s="1137"/>
      <c r="C160" s="1137"/>
      <c r="D160" s="1137"/>
      <c r="E160" s="1137"/>
      <c r="F160" s="1137"/>
      <c r="G160" s="1137"/>
      <c r="H160" s="1137"/>
      <c r="I160" s="1137"/>
      <c r="J160" s="1137"/>
      <c r="K160" s="1138"/>
      <c r="L160" s="1139"/>
      <c r="M160" s="1137"/>
      <c r="N160" s="1137"/>
      <c r="O160" s="1137"/>
      <c r="P160" s="1137"/>
      <c r="Q160" s="1137"/>
      <c r="R160" s="1137"/>
      <c r="S160" s="1137"/>
      <c r="T160" s="1137"/>
    </row>
    <row r="161" spans="1:20">
      <c r="A161" s="1137"/>
      <c r="B161" s="1137"/>
      <c r="C161" s="1137"/>
      <c r="D161" s="1137"/>
      <c r="E161" s="1137"/>
      <c r="F161" s="1137"/>
      <c r="G161" s="1137"/>
      <c r="H161" s="1137"/>
      <c r="I161" s="1137"/>
      <c r="J161" s="1137"/>
      <c r="K161" s="1138"/>
      <c r="L161" s="1139"/>
      <c r="M161" s="1137"/>
      <c r="N161" s="1137"/>
      <c r="O161" s="1137"/>
      <c r="P161" s="1137"/>
      <c r="Q161" s="1137"/>
      <c r="R161" s="1137"/>
      <c r="S161" s="1137"/>
      <c r="T161" s="1137"/>
    </row>
    <row r="162" spans="1:20">
      <c r="A162" s="1137"/>
      <c r="B162" s="1137"/>
      <c r="C162" s="1137"/>
      <c r="D162" s="1137"/>
      <c r="E162" s="1137"/>
      <c r="F162" s="1137"/>
      <c r="G162" s="1137"/>
      <c r="H162" s="1137"/>
      <c r="I162" s="1137"/>
      <c r="J162" s="1137"/>
      <c r="K162" s="1138"/>
      <c r="L162" s="1139"/>
      <c r="M162" s="1137"/>
      <c r="N162" s="1137"/>
      <c r="O162" s="1137"/>
      <c r="P162" s="1137"/>
      <c r="Q162" s="1137"/>
      <c r="R162" s="1137"/>
      <c r="S162" s="1137"/>
      <c r="T162" s="1137"/>
    </row>
    <row r="163" spans="1:20">
      <c r="A163" s="1137"/>
      <c r="B163" s="1137"/>
      <c r="C163" s="1137"/>
      <c r="D163" s="1137"/>
      <c r="E163" s="1137"/>
      <c r="F163" s="1137"/>
      <c r="G163" s="1137"/>
      <c r="H163" s="1137"/>
      <c r="I163" s="1137"/>
      <c r="J163" s="1137"/>
      <c r="K163" s="1138"/>
      <c r="L163" s="1139"/>
      <c r="M163" s="1137"/>
      <c r="N163" s="1137"/>
      <c r="O163" s="1137"/>
      <c r="P163" s="1137"/>
      <c r="Q163" s="1137"/>
      <c r="R163" s="1137"/>
      <c r="S163" s="1137"/>
      <c r="T163" s="1137"/>
    </row>
    <row r="164" spans="1:20">
      <c r="A164" s="1137"/>
      <c r="B164" s="1137"/>
      <c r="C164" s="1137"/>
      <c r="D164" s="1137"/>
      <c r="E164" s="1137"/>
      <c r="F164" s="1137"/>
      <c r="G164" s="1137"/>
      <c r="H164" s="1137"/>
      <c r="I164" s="1137"/>
      <c r="J164" s="1137"/>
      <c r="K164" s="1138"/>
      <c r="L164" s="1139"/>
      <c r="M164" s="1137"/>
      <c r="N164" s="1137"/>
      <c r="O164" s="1137"/>
      <c r="P164" s="1137"/>
      <c r="Q164" s="1137"/>
      <c r="R164" s="1137"/>
      <c r="S164" s="1137"/>
      <c r="T164" s="1137"/>
    </row>
    <row r="165" spans="1:20">
      <c r="A165" s="1137"/>
      <c r="B165" s="1137"/>
      <c r="C165" s="1137"/>
      <c r="D165" s="1137"/>
      <c r="E165" s="1137"/>
      <c r="F165" s="1137"/>
      <c r="G165" s="1137"/>
      <c r="H165" s="1137"/>
      <c r="I165" s="1137"/>
      <c r="J165" s="1137"/>
      <c r="K165" s="1138"/>
      <c r="L165" s="1139"/>
      <c r="M165" s="1137"/>
      <c r="N165" s="1137"/>
      <c r="O165" s="1137"/>
      <c r="P165" s="1137"/>
      <c r="Q165" s="1137"/>
      <c r="R165" s="1137"/>
      <c r="S165" s="1137"/>
      <c r="T165" s="1137"/>
    </row>
    <row r="166" spans="1:20">
      <c r="A166" s="1137"/>
      <c r="B166" s="1137"/>
      <c r="C166" s="1137"/>
      <c r="D166" s="1137"/>
      <c r="E166" s="1137"/>
      <c r="F166" s="1137"/>
      <c r="G166" s="1137"/>
      <c r="H166" s="1137"/>
      <c r="I166" s="1137"/>
      <c r="J166" s="1137"/>
      <c r="K166" s="1138"/>
      <c r="L166" s="1139"/>
      <c r="M166" s="1137"/>
      <c r="N166" s="1137"/>
      <c r="O166" s="1137"/>
      <c r="P166" s="1137"/>
      <c r="Q166" s="1137"/>
      <c r="R166" s="1137"/>
      <c r="S166" s="1137"/>
      <c r="T166" s="1137"/>
    </row>
    <row r="167" spans="1:20">
      <c r="A167" s="1137"/>
      <c r="B167" s="1137"/>
      <c r="C167" s="1137"/>
      <c r="D167" s="1137"/>
      <c r="E167" s="1137"/>
      <c r="F167" s="1137"/>
      <c r="G167" s="1137"/>
      <c r="H167" s="1137"/>
      <c r="I167" s="1137"/>
      <c r="J167" s="1137"/>
      <c r="K167" s="1138"/>
      <c r="L167" s="1139"/>
      <c r="M167" s="1137"/>
      <c r="N167" s="1137"/>
      <c r="O167" s="1137"/>
      <c r="P167" s="1137"/>
      <c r="Q167" s="1137"/>
      <c r="R167" s="1137"/>
      <c r="S167" s="1137"/>
      <c r="T167" s="1137"/>
    </row>
    <row r="168" spans="1:20">
      <c r="A168" s="1137"/>
      <c r="B168" s="1137"/>
      <c r="C168" s="1137"/>
      <c r="D168" s="1137"/>
      <c r="E168" s="1137"/>
      <c r="F168" s="1137"/>
      <c r="G168" s="1137"/>
      <c r="H168" s="1137"/>
      <c r="I168" s="1137"/>
      <c r="J168" s="1137"/>
      <c r="K168" s="1138"/>
      <c r="L168" s="1139"/>
      <c r="M168" s="1137"/>
      <c r="N168" s="1137"/>
      <c r="O168" s="1137"/>
      <c r="P168" s="1137"/>
      <c r="Q168" s="1137"/>
      <c r="R168" s="1137"/>
      <c r="S168" s="1137"/>
      <c r="T168" s="1137"/>
    </row>
    <row r="169" spans="1:20">
      <c r="A169" s="1137"/>
      <c r="B169" s="1137"/>
      <c r="C169" s="1137"/>
      <c r="D169" s="1137"/>
      <c r="E169" s="1137"/>
      <c r="F169" s="1137"/>
      <c r="G169" s="1137"/>
      <c r="H169" s="1137"/>
      <c r="I169" s="1137"/>
      <c r="J169" s="1137"/>
      <c r="K169" s="1138"/>
      <c r="L169" s="1139"/>
      <c r="M169" s="1137"/>
      <c r="N169" s="1137"/>
      <c r="O169" s="1137"/>
      <c r="P169" s="1137"/>
      <c r="Q169" s="1137"/>
      <c r="R169" s="1137"/>
      <c r="S169" s="1137"/>
      <c r="T169" s="1137"/>
    </row>
    <row r="170" spans="1:20">
      <c r="A170" s="1137"/>
      <c r="B170" s="1137"/>
      <c r="C170" s="1137"/>
      <c r="D170" s="1137"/>
      <c r="E170" s="1137"/>
      <c r="F170" s="1137"/>
      <c r="G170" s="1137"/>
      <c r="H170" s="1137"/>
      <c r="I170" s="1137"/>
      <c r="J170" s="1137"/>
      <c r="K170" s="1138"/>
      <c r="L170" s="1139"/>
      <c r="M170" s="1137"/>
      <c r="N170" s="1137"/>
      <c r="O170" s="1137"/>
      <c r="P170" s="1137"/>
      <c r="Q170" s="1137"/>
      <c r="R170" s="1137"/>
      <c r="S170" s="1137"/>
      <c r="T170" s="1137"/>
    </row>
    <row r="171" spans="1:20">
      <c r="A171" s="1137"/>
      <c r="B171" s="1137"/>
      <c r="C171" s="1137"/>
      <c r="D171" s="1137"/>
      <c r="E171" s="1137"/>
      <c r="F171" s="1137"/>
      <c r="G171" s="1137"/>
      <c r="H171" s="1137"/>
      <c r="I171" s="1137"/>
      <c r="J171" s="1137"/>
      <c r="K171" s="1138"/>
      <c r="L171" s="1139"/>
      <c r="M171" s="1137"/>
      <c r="N171" s="1137"/>
      <c r="O171" s="1137"/>
      <c r="P171" s="1137"/>
      <c r="Q171" s="1137"/>
      <c r="R171" s="1137"/>
      <c r="S171" s="1137"/>
      <c r="T171" s="1137"/>
    </row>
    <row r="172" spans="1:20">
      <c r="A172" s="1137"/>
      <c r="B172" s="1137"/>
      <c r="C172" s="1137"/>
      <c r="D172" s="1137"/>
      <c r="E172" s="1137"/>
      <c r="F172" s="1137"/>
      <c r="G172" s="1137"/>
      <c r="H172" s="1137"/>
      <c r="I172" s="1137"/>
      <c r="J172" s="1137"/>
      <c r="K172" s="1138"/>
      <c r="L172" s="1139"/>
      <c r="M172" s="1137"/>
      <c r="N172" s="1137"/>
      <c r="O172" s="1137"/>
      <c r="P172" s="1137"/>
      <c r="Q172" s="1137"/>
      <c r="R172" s="1137"/>
      <c r="S172" s="1137"/>
      <c r="T172" s="1137"/>
    </row>
    <row r="173" spans="1:20">
      <c r="A173" s="1137"/>
      <c r="B173" s="1137"/>
      <c r="C173" s="1137"/>
      <c r="D173" s="1137"/>
      <c r="E173" s="1137"/>
      <c r="F173" s="1137"/>
      <c r="G173" s="1137"/>
      <c r="H173" s="1137"/>
      <c r="I173" s="1137"/>
      <c r="J173" s="1137"/>
      <c r="K173" s="1138"/>
      <c r="L173" s="1139"/>
      <c r="M173" s="1137"/>
      <c r="N173" s="1137"/>
      <c r="O173" s="1137"/>
      <c r="P173" s="1137"/>
      <c r="Q173" s="1137"/>
      <c r="R173" s="1137"/>
      <c r="S173" s="1137"/>
      <c r="T173" s="1137"/>
    </row>
    <row r="174" spans="1:20">
      <c r="A174" s="1137"/>
      <c r="B174" s="1137"/>
      <c r="C174" s="1137"/>
      <c r="D174" s="1137"/>
      <c r="E174" s="1137"/>
      <c r="F174" s="1137"/>
      <c r="G174" s="1137"/>
      <c r="H174" s="1137"/>
      <c r="I174" s="1137"/>
      <c r="J174" s="1137"/>
      <c r="K174" s="1138"/>
      <c r="L174" s="1139"/>
      <c r="M174" s="1137"/>
      <c r="N174" s="1137"/>
      <c r="O174" s="1137"/>
      <c r="P174" s="1137"/>
      <c r="Q174" s="1137"/>
      <c r="R174" s="1137"/>
      <c r="S174" s="1137"/>
      <c r="T174" s="1137"/>
    </row>
    <row r="175" spans="1:20">
      <c r="A175" s="1137"/>
      <c r="B175" s="1137"/>
      <c r="C175" s="1137"/>
      <c r="D175" s="1137"/>
      <c r="E175" s="1137"/>
      <c r="F175" s="1137"/>
      <c r="G175" s="1137"/>
      <c r="H175" s="1137"/>
      <c r="I175" s="1137"/>
      <c r="J175" s="1137"/>
      <c r="K175" s="1138"/>
      <c r="L175" s="1139"/>
      <c r="M175" s="1137"/>
      <c r="N175" s="1137"/>
      <c r="O175" s="1137"/>
      <c r="P175" s="1137"/>
      <c r="Q175" s="1137"/>
      <c r="R175" s="1137"/>
      <c r="S175" s="1137"/>
      <c r="T175" s="1137"/>
    </row>
    <row r="176" spans="1:20">
      <c r="A176" s="1137"/>
      <c r="B176" s="1137"/>
      <c r="C176" s="1137"/>
      <c r="D176" s="1137"/>
      <c r="E176" s="1137"/>
      <c r="F176" s="1137"/>
      <c r="G176" s="1137"/>
      <c r="H176" s="1137"/>
      <c r="I176" s="1137"/>
      <c r="J176" s="1137"/>
      <c r="K176" s="1138"/>
      <c r="L176" s="1139"/>
      <c r="M176" s="1137"/>
      <c r="N176" s="1137"/>
      <c r="O176" s="1137"/>
      <c r="P176" s="1137"/>
      <c r="Q176" s="1137"/>
      <c r="R176" s="1137"/>
      <c r="S176" s="1137"/>
      <c r="T176" s="1137"/>
    </row>
    <row r="177" spans="1:20">
      <c r="A177" s="1137"/>
      <c r="B177" s="1137"/>
      <c r="C177" s="1137"/>
      <c r="D177" s="1137"/>
      <c r="E177" s="1137"/>
      <c r="F177" s="1137"/>
      <c r="G177" s="1137"/>
      <c r="H177" s="1137"/>
      <c r="I177" s="1137"/>
      <c r="J177" s="1137"/>
      <c r="K177" s="1138"/>
      <c r="L177" s="1139"/>
      <c r="M177" s="1137"/>
      <c r="N177" s="1137"/>
      <c r="O177" s="1137"/>
      <c r="P177" s="1137"/>
      <c r="Q177" s="1137"/>
      <c r="R177" s="1137"/>
      <c r="S177" s="1137"/>
      <c r="T177" s="1137"/>
    </row>
    <row r="178" spans="1:20">
      <c r="A178" s="1137"/>
      <c r="B178" s="1137"/>
      <c r="C178" s="1137"/>
      <c r="D178" s="1137"/>
      <c r="E178" s="1137"/>
      <c r="F178" s="1137"/>
      <c r="G178" s="1137"/>
      <c r="H178" s="1137"/>
      <c r="I178" s="1137"/>
      <c r="J178" s="1137"/>
      <c r="K178" s="1138"/>
      <c r="L178" s="1139"/>
      <c r="M178" s="1137"/>
      <c r="N178" s="1137"/>
      <c r="O178" s="1137"/>
      <c r="P178" s="1137"/>
      <c r="Q178" s="1137"/>
      <c r="R178" s="1137"/>
      <c r="S178" s="1137"/>
      <c r="T178" s="1137"/>
    </row>
    <row r="179" spans="1:20">
      <c r="A179" s="1137"/>
      <c r="B179" s="1137"/>
      <c r="C179" s="1137"/>
      <c r="D179" s="1137"/>
      <c r="E179" s="1137"/>
      <c r="F179" s="1137"/>
      <c r="G179" s="1137"/>
      <c r="H179" s="1137"/>
      <c r="I179" s="1137"/>
      <c r="J179" s="1137"/>
      <c r="K179" s="1138"/>
      <c r="L179" s="1139"/>
      <c r="M179" s="1137"/>
      <c r="N179" s="1137"/>
      <c r="O179" s="1137"/>
      <c r="P179" s="1137"/>
      <c r="Q179" s="1137"/>
      <c r="R179" s="1137"/>
      <c r="S179" s="1137"/>
      <c r="T179" s="1137"/>
    </row>
    <row r="180" spans="1:20">
      <c r="A180" s="1137"/>
      <c r="B180" s="1137"/>
      <c r="C180" s="1137"/>
      <c r="D180" s="1137"/>
      <c r="E180" s="1137"/>
      <c r="F180" s="1137"/>
      <c r="G180" s="1137"/>
      <c r="H180" s="1137"/>
      <c r="I180" s="1137"/>
      <c r="J180" s="1137"/>
      <c r="K180" s="1138"/>
      <c r="L180" s="1139"/>
      <c r="M180" s="1137"/>
      <c r="N180" s="1137"/>
      <c r="O180" s="1137"/>
      <c r="P180" s="1137"/>
      <c r="Q180" s="1137"/>
      <c r="R180" s="1137"/>
      <c r="S180" s="1137"/>
      <c r="T180" s="1137"/>
    </row>
    <row r="181" spans="1:20">
      <c r="A181" s="1137"/>
      <c r="B181" s="1137"/>
      <c r="C181" s="1137"/>
      <c r="D181" s="1137"/>
      <c r="E181" s="1137"/>
      <c r="F181" s="1137"/>
      <c r="G181" s="1137"/>
      <c r="H181" s="1137"/>
      <c r="I181" s="1137"/>
      <c r="J181" s="1137"/>
      <c r="K181" s="1138"/>
      <c r="L181" s="1139"/>
      <c r="M181" s="1137"/>
      <c r="N181" s="1137"/>
      <c r="O181" s="1137"/>
      <c r="P181" s="1137"/>
      <c r="Q181" s="1137"/>
      <c r="R181" s="1137"/>
      <c r="S181" s="1137"/>
      <c r="T181" s="1137"/>
    </row>
    <row r="182" spans="1:20">
      <c r="A182" s="1137"/>
      <c r="B182" s="1137"/>
      <c r="C182" s="1137"/>
      <c r="D182" s="1137"/>
      <c r="E182" s="1137"/>
      <c r="F182" s="1137"/>
      <c r="G182" s="1137"/>
      <c r="H182" s="1137"/>
      <c r="I182" s="1137"/>
      <c r="J182" s="1137"/>
      <c r="K182" s="1138"/>
      <c r="L182" s="1139"/>
      <c r="M182" s="1137"/>
      <c r="N182" s="1137"/>
      <c r="O182" s="1137"/>
      <c r="P182" s="1137"/>
      <c r="Q182" s="1137"/>
      <c r="R182" s="1137"/>
      <c r="S182" s="1137"/>
      <c r="T182" s="1137"/>
    </row>
    <row r="183" spans="1:20">
      <c r="A183" s="1137"/>
      <c r="B183" s="1137"/>
      <c r="C183" s="1137"/>
      <c r="D183" s="1137"/>
      <c r="E183" s="1137"/>
      <c r="F183" s="1137"/>
      <c r="G183" s="1137"/>
      <c r="H183" s="1137"/>
      <c r="I183" s="1137"/>
      <c r="J183" s="1137"/>
      <c r="K183" s="1138"/>
      <c r="L183" s="1139"/>
      <c r="M183" s="1137"/>
      <c r="N183" s="1137"/>
      <c r="O183" s="1137"/>
      <c r="P183" s="1137"/>
      <c r="Q183" s="1137"/>
      <c r="R183" s="1137"/>
      <c r="S183" s="1137"/>
      <c r="T183" s="1137"/>
    </row>
    <row r="184" spans="1:20">
      <c r="A184" s="1137"/>
      <c r="B184" s="1137"/>
      <c r="C184" s="1137"/>
      <c r="D184" s="1137"/>
      <c r="E184" s="1137"/>
      <c r="F184" s="1137"/>
      <c r="G184" s="1137"/>
      <c r="H184" s="1137"/>
      <c r="I184" s="1137"/>
      <c r="J184" s="1137"/>
      <c r="K184" s="1138"/>
      <c r="L184" s="1139"/>
      <c r="M184" s="1137"/>
      <c r="N184" s="1137"/>
      <c r="O184" s="1137"/>
      <c r="P184" s="1137"/>
      <c r="Q184" s="1137"/>
      <c r="R184" s="1137"/>
      <c r="S184" s="1137"/>
      <c r="T184" s="1137"/>
    </row>
    <row r="185" spans="1:20">
      <c r="A185" s="1137"/>
      <c r="B185" s="1137"/>
      <c r="C185" s="1137"/>
      <c r="D185" s="1137"/>
      <c r="E185" s="1137"/>
      <c r="F185" s="1137"/>
      <c r="G185" s="1137"/>
      <c r="H185" s="1137"/>
      <c r="I185" s="1137"/>
      <c r="J185" s="1137"/>
      <c r="K185" s="1138"/>
      <c r="L185" s="1139"/>
      <c r="M185" s="1137"/>
      <c r="N185" s="1137"/>
      <c r="O185" s="1137"/>
      <c r="P185" s="1137"/>
      <c r="Q185" s="1137"/>
      <c r="R185" s="1137"/>
      <c r="S185" s="1137"/>
      <c r="T185" s="1137"/>
    </row>
    <row r="186" spans="1:20">
      <c r="A186" s="1137"/>
      <c r="B186" s="1137"/>
      <c r="C186" s="1137"/>
      <c r="D186" s="1137"/>
      <c r="E186" s="1137"/>
      <c r="F186" s="1137"/>
      <c r="G186" s="1137"/>
      <c r="H186" s="1137"/>
      <c r="I186" s="1137"/>
      <c r="J186" s="1137"/>
      <c r="K186" s="1138"/>
      <c r="L186" s="1139"/>
      <c r="M186" s="1137"/>
      <c r="N186" s="1137"/>
      <c r="O186" s="1137"/>
      <c r="P186" s="1137"/>
      <c r="Q186" s="1137"/>
      <c r="R186" s="1137"/>
      <c r="S186" s="1137"/>
      <c r="T186" s="1137"/>
    </row>
    <row r="187" spans="1:20">
      <c r="A187" s="1137"/>
      <c r="B187" s="1137"/>
      <c r="C187" s="1137"/>
      <c r="D187" s="1137"/>
      <c r="E187" s="1137"/>
      <c r="F187" s="1137"/>
      <c r="G187" s="1137"/>
      <c r="H187" s="1137"/>
      <c r="I187" s="1137"/>
      <c r="J187" s="1137"/>
      <c r="K187" s="1138"/>
      <c r="L187" s="1139"/>
      <c r="M187" s="1137"/>
      <c r="N187" s="1137"/>
      <c r="O187" s="1137"/>
      <c r="P187" s="1137"/>
      <c r="Q187" s="1137"/>
      <c r="R187" s="1137"/>
      <c r="S187" s="1137"/>
      <c r="T187" s="1137"/>
    </row>
    <row r="188" spans="1:20">
      <c r="A188" s="1137"/>
      <c r="B188" s="1137"/>
      <c r="C188" s="1137"/>
      <c r="D188" s="1137"/>
      <c r="E188" s="1137"/>
      <c r="F188" s="1137"/>
      <c r="G188" s="1137"/>
      <c r="H188" s="1137"/>
      <c r="I188" s="1137"/>
      <c r="J188" s="1137"/>
      <c r="K188" s="1138"/>
      <c r="L188" s="1139"/>
      <c r="M188" s="1137"/>
      <c r="N188" s="1137"/>
      <c r="O188" s="1137"/>
      <c r="P188" s="1137"/>
      <c r="Q188" s="1137"/>
      <c r="R188" s="1137"/>
      <c r="S188" s="1137"/>
      <c r="T188" s="1137"/>
    </row>
    <row r="189" spans="1:20">
      <c r="A189" s="1137"/>
      <c r="B189" s="1137"/>
      <c r="C189" s="1137"/>
      <c r="D189" s="1137"/>
      <c r="E189" s="1137"/>
      <c r="F189" s="1137"/>
      <c r="G189" s="1137"/>
      <c r="H189" s="1137"/>
      <c r="I189" s="1137"/>
      <c r="J189" s="1137"/>
      <c r="K189" s="1138"/>
      <c r="L189" s="1139"/>
      <c r="M189" s="1137"/>
      <c r="N189" s="1137"/>
      <c r="O189" s="1137"/>
      <c r="P189" s="1137"/>
      <c r="Q189" s="1137"/>
      <c r="R189" s="1137"/>
      <c r="S189" s="1137"/>
      <c r="T189" s="1137"/>
    </row>
    <row r="190" spans="1:20">
      <c r="A190" s="1137"/>
      <c r="B190" s="1137"/>
      <c r="C190" s="1137"/>
      <c r="D190" s="1137"/>
      <c r="E190" s="1137"/>
      <c r="F190" s="1137"/>
      <c r="G190" s="1137"/>
      <c r="H190" s="1137"/>
      <c r="I190" s="1137"/>
      <c r="J190" s="1137"/>
      <c r="K190" s="1138"/>
      <c r="L190" s="1139"/>
      <c r="M190" s="1137"/>
      <c r="N190" s="1137"/>
      <c r="O190" s="1137"/>
      <c r="P190" s="1137"/>
      <c r="Q190" s="1137"/>
      <c r="R190" s="1137"/>
      <c r="S190" s="1137"/>
      <c r="T190" s="1137"/>
    </row>
    <row r="191" spans="1:20">
      <c r="A191" s="1137"/>
      <c r="B191" s="1137"/>
      <c r="C191" s="1137"/>
      <c r="D191" s="1137"/>
      <c r="E191" s="1137"/>
      <c r="F191" s="1137"/>
      <c r="G191" s="1137"/>
      <c r="H191" s="1137"/>
      <c r="I191" s="1137"/>
      <c r="J191" s="1137"/>
      <c r="K191" s="1138"/>
      <c r="L191" s="1139"/>
      <c r="M191" s="1137"/>
      <c r="N191" s="1137"/>
      <c r="O191" s="1137"/>
      <c r="P191" s="1137"/>
      <c r="Q191" s="1137"/>
      <c r="R191" s="1137"/>
      <c r="S191" s="1137"/>
      <c r="T191" s="1137"/>
    </row>
    <row r="192" spans="1:20">
      <c r="A192" s="1137"/>
      <c r="B192" s="1137"/>
      <c r="C192" s="1137"/>
      <c r="D192" s="1137"/>
      <c r="E192" s="1137"/>
      <c r="F192" s="1137"/>
      <c r="G192" s="1137"/>
      <c r="H192" s="1137"/>
      <c r="I192" s="1137"/>
      <c r="J192" s="1137"/>
      <c r="K192" s="1138"/>
      <c r="L192" s="1139"/>
      <c r="M192" s="1137"/>
      <c r="N192" s="1137"/>
      <c r="O192" s="1137"/>
      <c r="P192" s="1137"/>
      <c r="Q192" s="1137"/>
      <c r="R192" s="1137"/>
      <c r="S192" s="1137"/>
      <c r="T192" s="1137"/>
    </row>
    <row r="193" spans="1:20">
      <c r="A193" s="1137"/>
      <c r="B193" s="1137"/>
      <c r="C193" s="1137"/>
      <c r="D193" s="1137"/>
      <c r="E193" s="1137"/>
      <c r="F193" s="1137"/>
      <c r="G193" s="1137"/>
      <c r="H193" s="1137"/>
      <c r="I193" s="1137"/>
      <c r="J193" s="1137"/>
      <c r="K193" s="1138"/>
      <c r="L193" s="1139"/>
      <c r="M193" s="1137"/>
      <c r="N193" s="1137"/>
      <c r="O193" s="1137"/>
      <c r="P193" s="1137"/>
      <c r="Q193" s="1137"/>
      <c r="R193" s="1137"/>
      <c r="S193" s="1137"/>
      <c r="T193" s="1137"/>
    </row>
    <row r="194" spans="1:20">
      <c r="A194" s="1137"/>
      <c r="B194" s="1137"/>
      <c r="C194" s="1137"/>
      <c r="D194" s="1137"/>
      <c r="E194" s="1137"/>
      <c r="F194" s="1137"/>
      <c r="G194" s="1137"/>
      <c r="H194" s="1137"/>
      <c r="I194" s="1137"/>
      <c r="J194" s="1137"/>
      <c r="K194" s="1138"/>
      <c r="L194" s="1139"/>
      <c r="M194" s="1137"/>
      <c r="N194" s="1137"/>
      <c r="O194" s="1137"/>
      <c r="P194" s="1137"/>
      <c r="Q194" s="1137"/>
      <c r="R194" s="1137"/>
      <c r="S194" s="1137"/>
      <c r="T194" s="1137"/>
    </row>
    <row r="195" spans="1:20">
      <c r="A195" s="1137"/>
      <c r="B195" s="1137"/>
      <c r="C195" s="1137"/>
      <c r="D195" s="1137"/>
      <c r="E195" s="1137"/>
      <c r="F195" s="1137"/>
      <c r="G195" s="1137"/>
      <c r="H195" s="1137"/>
      <c r="I195" s="1137"/>
      <c r="J195" s="1137"/>
      <c r="K195" s="1138"/>
      <c r="L195" s="1139"/>
      <c r="M195" s="1137"/>
      <c r="N195" s="1137"/>
      <c r="O195" s="1137"/>
      <c r="P195" s="1137"/>
      <c r="Q195" s="1137"/>
      <c r="R195" s="1137"/>
      <c r="S195" s="1137"/>
      <c r="T195" s="1137"/>
    </row>
    <row r="196" spans="1:20">
      <c r="A196" s="1137"/>
      <c r="B196" s="1137"/>
      <c r="C196" s="1137"/>
      <c r="D196" s="1137"/>
      <c r="E196" s="1137"/>
      <c r="F196" s="1137"/>
      <c r="G196" s="1137"/>
      <c r="H196" s="1137"/>
      <c r="I196" s="1137"/>
      <c r="J196" s="1137"/>
      <c r="K196" s="1138"/>
      <c r="L196" s="1139"/>
      <c r="M196" s="1137"/>
      <c r="N196" s="1137"/>
      <c r="O196" s="1137"/>
      <c r="P196" s="1137"/>
      <c r="Q196" s="1137"/>
      <c r="R196" s="1137"/>
      <c r="S196" s="1137"/>
      <c r="T196" s="1137"/>
    </row>
    <row r="197" spans="1:20">
      <c r="A197" s="1137"/>
      <c r="B197" s="1137"/>
      <c r="C197" s="1137"/>
      <c r="D197" s="1137"/>
      <c r="E197" s="1137"/>
      <c r="F197" s="1137"/>
      <c r="G197" s="1137"/>
      <c r="H197" s="1137"/>
      <c r="I197" s="1137"/>
      <c r="J197" s="1137"/>
      <c r="K197" s="1138"/>
      <c r="L197" s="1139"/>
      <c r="M197" s="1137"/>
      <c r="N197" s="1137"/>
      <c r="O197" s="1137"/>
      <c r="P197" s="1137"/>
      <c r="Q197" s="1137"/>
      <c r="R197" s="1137"/>
      <c r="S197" s="1137"/>
      <c r="T197" s="1137"/>
    </row>
    <row r="198" spans="1:20">
      <c r="A198" s="1137"/>
      <c r="B198" s="1137"/>
      <c r="C198" s="1137"/>
      <c r="D198" s="1137"/>
      <c r="E198" s="1137"/>
      <c r="F198" s="1137"/>
      <c r="G198" s="1137"/>
      <c r="H198" s="1137"/>
      <c r="I198" s="1137"/>
      <c r="J198" s="1137"/>
      <c r="K198" s="1138"/>
      <c r="L198" s="1139"/>
      <c r="M198" s="1137"/>
      <c r="N198" s="1137"/>
      <c r="O198" s="1137"/>
      <c r="P198" s="1137"/>
      <c r="Q198" s="1137"/>
      <c r="R198" s="1137"/>
      <c r="S198" s="1137"/>
      <c r="T198" s="1137"/>
    </row>
    <row r="199" spans="1:20">
      <c r="A199" s="1137"/>
      <c r="B199" s="1137"/>
      <c r="C199" s="1137"/>
      <c r="D199" s="1137"/>
      <c r="E199" s="1137"/>
      <c r="F199" s="1137"/>
      <c r="G199" s="1137"/>
      <c r="H199" s="1137"/>
      <c r="I199" s="1137"/>
      <c r="J199" s="1137"/>
      <c r="K199" s="1138"/>
      <c r="L199" s="1139"/>
      <c r="M199" s="1137"/>
      <c r="N199" s="1137"/>
      <c r="O199" s="1137"/>
      <c r="P199" s="1137"/>
      <c r="Q199" s="1137"/>
      <c r="R199" s="1137"/>
      <c r="S199" s="1137"/>
      <c r="T199" s="1137"/>
    </row>
    <row r="200" spans="1:20">
      <c r="A200" s="1137"/>
      <c r="B200" s="1137"/>
      <c r="C200" s="1137"/>
      <c r="D200" s="1137"/>
      <c r="E200" s="1137"/>
      <c r="F200" s="1137"/>
      <c r="G200" s="1137"/>
      <c r="H200" s="1137"/>
      <c r="I200" s="1137"/>
      <c r="J200" s="1137"/>
      <c r="K200" s="1138"/>
      <c r="L200" s="1139"/>
      <c r="M200" s="1137"/>
      <c r="N200" s="1137"/>
      <c r="O200" s="1137"/>
      <c r="P200" s="1137"/>
      <c r="Q200" s="1137"/>
      <c r="R200" s="1137"/>
      <c r="S200" s="1137"/>
      <c r="T200" s="1137"/>
    </row>
    <row r="201" spans="1:20">
      <c r="A201" s="1137"/>
      <c r="B201" s="1137"/>
      <c r="C201" s="1137"/>
      <c r="D201" s="1137"/>
      <c r="E201" s="1137"/>
      <c r="F201" s="1137"/>
      <c r="G201" s="1137"/>
      <c r="H201" s="1137"/>
      <c r="I201" s="1137"/>
      <c r="J201" s="1137"/>
      <c r="K201" s="1138"/>
      <c r="L201" s="1139"/>
      <c r="M201" s="1137"/>
      <c r="N201" s="1137"/>
      <c r="O201" s="1137"/>
      <c r="P201" s="1137"/>
      <c r="Q201" s="1137"/>
      <c r="R201" s="1137"/>
      <c r="S201" s="1137"/>
      <c r="T201" s="1137"/>
    </row>
    <row r="202" spans="1:20">
      <c r="A202" s="1137"/>
      <c r="B202" s="1137"/>
      <c r="C202" s="1137"/>
      <c r="D202" s="1137"/>
      <c r="E202" s="1137"/>
      <c r="F202" s="1137"/>
      <c r="G202" s="1137"/>
      <c r="H202" s="1137"/>
      <c r="I202" s="1137"/>
      <c r="J202" s="1137"/>
      <c r="K202" s="1138"/>
      <c r="L202" s="1139"/>
      <c r="M202" s="1137"/>
      <c r="N202" s="1137"/>
      <c r="O202" s="1137"/>
      <c r="P202" s="1137"/>
      <c r="Q202" s="1137"/>
      <c r="R202" s="1137"/>
      <c r="S202" s="1137"/>
      <c r="T202" s="1137"/>
    </row>
    <row r="203" spans="1:20">
      <c r="A203" s="1137"/>
      <c r="B203" s="1137"/>
      <c r="C203" s="1137"/>
      <c r="D203" s="1137"/>
      <c r="E203" s="1137"/>
      <c r="F203" s="1137"/>
      <c r="G203" s="1137"/>
      <c r="H203" s="1137"/>
      <c r="I203" s="1137"/>
      <c r="J203" s="1137"/>
      <c r="K203" s="1138"/>
      <c r="L203" s="1139"/>
      <c r="M203" s="1137"/>
      <c r="N203" s="1137"/>
      <c r="O203" s="1137"/>
      <c r="P203" s="1137"/>
      <c r="Q203" s="1137"/>
      <c r="R203" s="1137"/>
      <c r="S203" s="1137"/>
      <c r="T203" s="1137"/>
    </row>
    <row r="204" spans="1:20">
      <c r="A204" s="1137"/>
      <c r="B204" s="1137"/>
      <c r="C204" s="1137"/>
      <c r="D204" s="1137"/>
      <c r="E204" s="1137"/>
      <c r="F204" s="1137"/>
      <c r="G204" s="1137"/>
      <c r="H204" s="1137"/>
      <c r="I204" s="1137"/>
      <c r="J204" s="1137"/>
      <c r="K204" s="1138"/>
      <c r="L204" s="1139"/>
      <c r="M204" s="1137"/>
      <c r="N204" s="1137"/>
      <c r="O204" s="1137"/>
      <c r="P204" s="1137"/>
      <c r="Q204" s="1137"/>
      <c r="R204" s="1137"/>
      <c r="S204" s="1137"/>
      <c r="T204" s="1137"/>
    </row>
    <row r="205" spans="1:20">
      <c r="A205" s="1137"/>
      <c r="B205" s="1137"/>
      <c r="C205" s="1137"/>
      <c r="D205" s="1137"/>
      <c r="E205" s="1137"/>
      <c r="F205" s="1137"/>
      <c r="G205" s="1137"/>
      <c r="H205" s="1137"/>
      <c r="I205" s="1137"/>
      <c r="J205" s="1137"/>
      <c r="K205" s="1138"/>
      <c r="L205" s="1139"/>
      <c r="M205" s="1137"/>
      <c r="N205" s="1137"/>
      <c r="O205" s="1137"/>
      <c r="P205" s="1137"/>
      <c r="Q205" s="1137"/>
      <c r="R205" s="1137"/>
      <c r="S205" s="1137"/>
      <c r="T205" s="1137"/>
    </row>
    <row r="206" spans="1:20">
      <c r="A206" s="1137"/>
      <c r="B206" s="1137"/>
      <c r="C206" s="1137"/>
      <c r="D206" s="1137"/>
      <c r="E206" s="1137"/>
      <c r="F206" s="1137"/>
      <c r="G206" s="1137"/>
      <c r="H206" s="1137"/>
      <c r="I206" s="1137"/>
      <c r="J206" s="1137"/>
      <c r="K206" s="1138"/>
      <c r="L206" s="1139"/>
      <c r="M206" s="1137"/>
      <c r="N206" s="1137"/>
      <c r="O206" s="1137"/>
      <c r="P206" s="1137"/>
      <c r="Q206" s="1137"/>
      <c r="R206" s="1137"/>
      <c r="S206" s="1137"/>
      <c r="T206" s="1137"/>
    </row>
    <row r="207" spans="1:20">
      <c r="A207" s="1137"/>
      <c r="B207" s="1137"/>
      <c r="C207" s="1137"/>
      <c r="D207" s="1137"/>
      <c r="E207" s="1137"/>
      <c r="F207" s="1137"/>
      <c r="G207" s="1137"/>
      <c r="H207" s="1137"/>
      <c r="I207" s="1137"/>
      <c r="J207" s="1137"/>
      <c r="K207" s="1138"/>
      <c r="L207" s="1139"/>
      <c r="M207" s="1137"/>
      <c r="N207" s="1137"/>
      <c r="O207" s="1137"/>
      <c r="P207" s="1137"/>
      <c r="Q207" s="1137"/>
      <c r="R207" s="1137"/>
      <c r="S207" s="1137"/>
      <c r="T207" s="1137"/>
    </row>
    <row r="208" spans="1:20">
      <c r="A208" s="1137"/>
      <c r="B208" s="1137"/>
      <c r="C208" s="1137"/>
      <c r="D208" s="1137"/>
      <c r="E208" s="1137"/>
      <c r="F208" s="1137"/>
      <c r="G208" s="1137"/>
      <c r="H208" s="1137"/>
      <c r="I208" s="1137"/>
      <c r="J208" s="1137"/>
      <c r="K208" s="1138"/>
      <c r="L208" s="1139"/>
      <c r="M208" s="1137"/>
      <c r="N208" s="1137"/>
      <c r="O208" s="1137"/>
      <c r="P208" s="1137"/>
      <c r="Q208" s="1137"/>
      <c r="R208" s="1137"/>
      <c r="S208" s="1137"/>
      <c r="T208" s="1137"/>
    </row>
    <row r="209" spans="1:20">
      <c r="A209" s="1137"/>
      <c r="B209" s="1137"/>
      <c r="C209" s="1137"/>
      <c r="D209" s="1137"/>
      <c r="E209" s="1137"/>
      <c r="F209" s="1137"/>
      <c r="G209" s="1137"/>
      <c r="H209" s="1137"/>
      <c r="I209" s="1137"/>
      <c r="J209" s="1137"/>
      <c r="K209" s="1138"/>
      <c r="L209" s="1139"/>
      <c r="M209" s="1137"/>
      <c r="N209" s="1137"/>
      <c r="O209" s="1137"/>
      <c r="P209" s="1137"/>
      <c r="Q209" s="1137"/>
      <c r="R209" s="1137"/>
      <c r="S209" s="1137"/>
      <c r="T209" s="1137"/>
    </row>
    <row r="210" spans="1:20">
      <c r="A210" s="1137"/>
      <c r="B210" s="1137"/>
      <c r="C210" s="1137"/>
      <c r="D210" s="1137"/>
      <c r="E210" s="1137"/>
      <c r="F210" s="1137"/>
      <c r="G210" s="1137"/>
      <c r="H210" s="1137"/>
      <c r="I210" s="1137"/>
      <c r="J210" s="1137"/>
      <c r="K210" s="1138"/>
      <c r="L210" s="1139"/>
      <c r="M210" s="1137"/>
      <c r="N210" s="1137"/>
      <c r="O210" s="1137"/>
      <c r="P210" s="1137"/>
      <c r="Q210" s="1137"/>
      <c r="R210" s="1137"/>
      <c r="S210" s="1137"/>
      <c r="T210" s="1137"/>
    </row>
    <row r="211" spans="1:20">
      <c r="A211" s="1137"/>
      <c r="B211" s="1137"/>
      <c r="C211" s="1137"/>
      <c r="D211" s="1137"/>
      <c r="E211" s="1137"/>
      <c r="F211" s="1137"/>
      <c r="G211" s="1137"/>
      <c r="H211" s="1137"/>
      <c r="I211" s="1137"/>
      <c r="J211" s="1137"/>
      <c r="K211" s="1138"/>
      <c r="L211" s="1139"/>
      <c r="M211" s="1137"/>
      <c r="N211" s="1137"/>
      <c r="O211" s="1137"/>
      <c r="P211" s="1137"/>
      <c r="Q211" s="1137"/>
      <c r="R211" s="1137"/>
      <c r="S211" s="1137"/>
      <c r="T211" s="1137"/>
    </row>
    <row r="212" spans="1:20">
      <c r="A212" s="1137"/>
      <c r="B212" s="1137"/>
      <c r="C212" s="1137"/>
      <c r="D212" s="1137"/>
      <c r="E212" s="1137"/>
      <c r="F212" s="1137"/>
      <c r="G212" s="1137"/>
      <c r="H212" s="1137"/>
      <c r="I212" s="1137"/>
      <c r="J212" s="1137"/>
      <c r="K212" s="1138"/>
      <c r="L212" s="1139"/>
      <c r="M212" s="1137"/>
      <c r="N212" s="1137"/>
      <c r="O212" s="1137"/>
      <c r="P212" s="1137"/>
      <c r="Q212" s="1137"/>
      <c r="R212" s="1137"/>
      <c r="S212" s="1137"/>
      <c r="T212" s="1137"/>
    </row>
    <row r="213" spans="1:20">
      <c r="A213" s="1137"/>
      <c r="B213" s="1137"/>
      <c r="C213" s="1137"/>
      <c r="D213" s="1137"/>
      <c r="E213" s="1137"/>
      <c r="F213" s="1137"/>
      <c r="G213" s="1137"/>
      <c r="H213" s="1137"/>
      <c r="I213" s="1137"/>
      <c r="J213" s="1137"/>
      <c r="K213" s="1138"/>
      <c r="L213" s="1139"/>
      <c r="M213" s="1137"/>
      <c r="N213" s="1137"/>
      <c r="O213" s="1137"/>
      <c r="P213" s="1137"/>
      <c r="Q213" s="1137"/>
      <c r="R213" s="1137"/>
      <c r="S213" s="1137"/>
      <c r="T213" s="1137"/>
    </row>
    <row r="214" spans="1:20">
      <c r="A214" s="1137"/>
      <c r="B214" s="1137"/>
      <c r="C214" s="1137"/>
      <c r="D214" s="1137"/>
      <c r="E214" s="1137"/>
      <c r="F214" s="1137"/>
      <c r="G214" s="1137"/>
      <c r="H214" s="1137"/>
      <c r="I214" s="1137"/>
      <c r="J214" s="1137"/>
      <c r="K214" s="1138"/>
      <c r="L214" s="1139"/>
      <c r="M214" s="1137"/>
      <c r="N214" s="1137"/>
      <c r="O214" s="1137"/>
      <c r="P214" s="1137"/>
      <c r="Q214" s="1137"/>
      <c r="R214" s="1137"/>
      <c r="S214" s="1137"/>
      <c r="T214" s="1137"/>
    </row>
    <row r="215" spans="1:20">
      <c r="A215" s="1137"/>
      <c r="B215" s="1137"/>
      <c r="C215" s="1137"/>
      <c r="D215" s="1137"/>
      <c r="E215" s="1137"/>
      <c r="F215" s="1137"/>
      <c r="G215" s="1137"/>
      <c r="H215" s="1137"/>
      <c r="I215" s="1137"/>
      <c r="J215" s="1137"/>
      <c r="K215" s="1138"/>
      <c r="L215" s="1139"/>
      <c r="M215" s="1137"/>
      <c r="N215" s="1137"/>
      <c r="O215" s="1137"/>
      <c r="P215" s="1137"/>
      <c r="Q215" s="1137"/>
      <c r="R215" s="1137"/>
      <c r="S215" s="1137"/>
      <c r="T215" s="1137"/>
    </row>
    <row r="216" spans="1:20">
      <c r="A216" s="1137"/>
      <c r="B216" s="1137"/>
      <c r="C216" s="1137"/>
      <c r="D216" s="1137"/>
      <c r="E216" s="1137"/>
      <c r="F216" s="1137"/>
      <c r="G216" s="1137"/>
      <c r="H216" s="1137"/>
      <c r="I216" s="1137"/>
      <c r="J216" s="1137"/>
      <c r="K216" s="1138"/>
      <c r="L216" s="1139"/>
      <c r="M216" s="1137"/>
      <c r="N216" s="1137"/>
      <c r="O216" s="1137"/>
      <c r="P216" s="1137"/>
      <c r="Q216" s="1137"/>
      <c r="R216" s="1137"/>
      <c r="S216" s="1137"/>
      <c r="T216" s="1137"/>
    </row>
    <row r="217" spans="1:20">
      <c r="A217" s="1137"/>
      <c r="B217" s="1137"/>
      <c r="C217" s="1137"/>
      <c r="D217" s="1137"/>
      <c r="E217" s="1137"/>
      <c r="F217" s="1137"/>
      <c r="G217" s="1137"/>
      <c r="H217" s="1137"/>
      <c r="I217" s="1137"/>
      <c r="J217" s="1137"/>
      <c r="K217" s="1138"/>
      <c r="L217" s="1139"/>
      <c r="M217" s="1137"/>
      <c r="N217" s="1137"/>
      <c r="O217" s="1137"/>
      <c r="P217" s="1137"/>
      <c r="Q217" s="1137"/>
      <c r="R217" s="1137"/>
      <c r="S217" s="1137"/>
      <c r="T217" s="1137"/>
    </row>
    <row r="218" spans="1:20">
      <c r="A218" s="1137"/>
      <c r="B218" s="1137"/>
      <c r="C218" s="1137"/>
      <c r="D218" s="1137"/>
      <c r="E218" s="1137"/>
      <c r="F218" s="1137"/>
      <c r="G218" s="1137"/>
      <c r="H218" s="1137"/>
      <c r="I218" s="1137"/>
      <c r="J218" s="1137"/>
      <c r="K218" s="1138"/>
      <c r="L218" s="1139"/>
      <c r="M218" s="1137"/>
      <c r="N218" s="1137"/>
      <c r="O218" s="1137"/>
      <c r="P218" s="1137"/>
      <c r="Q218" s="1137"/>
      <c r="R218" s="1137"/>
      <c r="S218" s="1137"/>
      <c r="T218" s="1137"/>
    </row>
    <row r="219" spans="1:20">
      <c r="A219" s="1137"/>
      <c r="B219" s="1137"/>
      <c r="C219" s="1137"/>
      <c r="D219" s="1137"/>
      <c r="E219" s="1137"/>
      <c r="F219" s="1137"/>
      <c r="G219" s="1137"/>
      <c r="H219" s="1137"/>
      <c r="I219" s="1137"/>
      <c r="J219" s="1137"/>
      <c r="K219" s="1138"/>
      <c r="L219" s="1139"/>
      <c r="M219" s="1137"/>
      <c r="N219" s="1137"/>
      <c r="O219" s="1137"/>
      <c r="P219" s="1137"/>
      <c r="Q219" s="1137"/>
      <c r="R219" s="1137"/>
      <c r="S219" s="1137"/>
      <c r="T219" s="1137"/>
    </row>
    <row r="220" spans="1:20">
      <c r="A220" s="1137"/>
      <c r="B220" s="1137"/>
      <c r="C220" s="1137"/>
      <c r="D220" s="1137"/>
      <c r="E220" s="1137"/>
      <c r="F220" s="1137"/>
      <c r="G220" s="1137"/>
      <c r="H220" s="1137"/>
      <c r="I220" s="1137"/>
      <c r="J220" s="1137"/>
      <c r="K220" s="1138"/>
      <c r="L220" s="1139"/>
      <c r="M220" s="1137"/>
      <c r="N220" s="1137"/>
      <c r="O220" s="1137"/>
      <c r="P220" s="1137"/>
      <c r="Q220" s="1137"/>
      <c r="R220" s="1137"/>
      <c r="S220" s="1137"/>
      <c r="T220" s="1137"/>
    </row>
    <row r="221" spans="1:20">
      <c r="A221" s="1137"/>
      <c r="B221" s="1137"/>
      <c r="C221" s="1137"/>
      <c r="D221" s="1137"/>
      <c r="E221" s="1137"/>
      <c r="F221" s="1137"/>
      <c r="G221" s="1137"/>
      <c r="H221" s="1137"/>
      <c r="I221" s="1137"/>
      <c r="J221" s="1137"/>
      <c r="K221" s="1138"/>
      <c r="L221" s="1139"/>
      <c r="M221" s="1137"/>
      <c r="N221" s="1137"/>
      <c r="O221" s="1137"/>
      <c r="P221" s="1137"/>
      <c r="Q221" s="1137"/>
      <c r="R221" s="1137"/>
      <c r="S221" s="1137"/>
      <c r="T221" s="1137"/>
    </row>
    <row r="222" spans="1:20">
      <c r="A222" s="1137"/>
      <c r="B222" s="1137"/>
      <c r="C222" s="1137"/>
      <c r="D222" s="1137"/>
      <c r="E222" s="1137"/>
      <c r="F222" s="1137"/>
      <c r="G222" s="1137"/>
      <c r="H222" s="1137"/>
      <c r="I222" s="1137"/>
      <c r="J222" s="1137"/>
      <c r="K222" s="1138"/>
      <c r="L222" s="1139"/>
      <c r="M222" s="1137"/>
      <c r="N222" s="1137"/>
      <c r="O222" s="1137"/>
      <c r="P222" s="1137"/>
      <c r="Q222" s="1137"/>
      <c r="R222" s="1137"/>
      <c r="S222" s="1137"/>
      <c r="T222" s="1137"/>
    </row>
    <row r="223" spans="1:20">
      <c r="A223" s="1137"/>
      <c r="B223" s="1137"/>
      <c r="C223" s="1137"/>
      <c r="D223" s="1137"/>
      <c r="E223" s="1137"/>
      <c r="F223" s="1137"/>
      <c r="G223" s="1137"/>
      <c r="H223" s="1137"/>
      <c r="I223" s="1137"/>
      <c r="J223" s="1137"/>
      <c r="K223" s="1138"/>
      <c r="L223" s="1139"/>
      <c r="M223" s="1137"/>
      <c r="N223" s="1137"/>
      <c r="O223" s="1137"/>
      <c r="P223" s="1137"/>
      <c r="Q223" s="1137"/>
      <c r="R223" s="1137"/>
      <c r="S223" s="1137"/>
      <c r="T223" s="1137"/>
    </row>
    <row r="224" spans="1:20">
      <c r="A224" s="1137"/>
      <c r="B224" s="1137"/>
      <c r="C224" s="1137"/>
      <c r="D224" s="1137"/>
      <c r="E224" s="1137"/>
      <c r="F224" s="1137"/>
      <c r="G224" s="1137"/>
      <c r="H224" s="1137"/>
      <c r="I224" s="1137"/>
      <c r="J224" s="1137"/>
      <c r="K224" s="1138"/>
      <c r="L224" s="1139"/>
      <c r="M224" s="1137"/>
      <c r="N224" s="1137"/>
      <c r="O224" s="1137"/>
      <c r="P224" s="1137"/>
      <c r="Q224" s="1137"/>
      <c r="R224" s="1137"/>
      <c r="S224" s="1137"/>
      <c r="T224" s="1137"/>
    </row>
    <row r="225" spans="1:20">
      <c r="A225" s="1137"/>
      <c r="B225" s="1137"/>
      <c r="C225" s="1137"/>
      <c r="D225" s="1137"/>
      <c r="E225" s="1137"/>
      <c r="F225" s="1137"/>
      <c r="G225" s="1137"/>
      <c r="H225" s="1137"/>
      <c r="I225" s="1137"/>
      <c r="J225" s="1137"/>
      <c r="K225" s="1138"/>
      <c r="L225" s="1139"/>
      <c r="M225" s="1137"/>
      <c r="N225" s="1137"/>
      <c r="O225" s="1137"/>
      <c r="P225" s="1137"/>
      <c r="Q225" s="1137"/>
      <c r="R225" s="1137"/>
      <c r="S225" s="1137"/>
      <c r="T225" s="1137"/>
    </row>
    <row r="226" spans="1:20">
      <c r="A226" s="1137"/>
      <c r="B226" s="1137"/>
      <c r="C226" s="1137"/>
      <c r="D226" s="1137"/>
      <c r="E226" s="1137"/>
      <c r="F226" s="1137"/>
      <c r="G226" s="1137"/>
      <c r="H226" s="1137"/>
      <c r="I226" s="1137"/>
      <c r="J226" s="1137"/>
      <c r="K226" s="1138"/>
      <c r="L226" s="1139"/>
      <c r="M226" s="1137"/>
      <c r="N226" s="1137"/>
      <c r="O226" s="1137"/>
      <c r="P226" s="1137"/>
      <c r="Q226" s="1137"/>
      <c r="R226" s="1137"/>
      <c r="S226" s="1137"/>
      <c r="T226" s="1137"/>
    </row>
    <row r="227" spans="1:20">
      <c r="A227" s="1137"/>
      <c r="B227" s="1137"/>
      <c r="C227" s="1137"/>
      <c r="D227" s="1137"/>
      <c r="E227" s="1137"/>
      <c r="F227" s="1137"/>
      <c r="G227" s="1137"/>
      <c r="H227" s="1137"/>
      <c r="I227" s="1137"/>
      <c r="J227" s="1137"/>
      <c r="K227" s="1138"/>
      <c r="L227" s="1139"/>
      <c r="M227" s="1137"/>
      <c r="N227" s="1137"/>
      <c r="O227" s="1137"/>
      <c r="P227" s="1137"/>
      <c r="Q227" s="1137"/>
      <c r="R227" s="1137"/>
      <c r="S227" s="1137"/>
      <c r="T227" s="1137"/>
    </row>
    <row r="228" spans="1:20">
      <c r="A228" s="1137"/>
      <c r="B228" s="1137"/>
      <c r="C228" s="1137"/>
      <c r="D228" s="1137"/>
      <c r="E228" s="1137"/>
      <c r="F228" s="1137"/>
      <c r="G228" s="1137"/>
      <c r="H228" s="1137"/>
      <c r="I228" s="1137"/>
      <c r="J228" s="1137"/>
      <c r="K228" s="1138"/>
      <c r="L228" s="1139"/>
      <c r="M228" s="1137"/>
      <c r="N228" s="1137"/>
      <c r="O228" s="1137"/>
      <c r="P228" s="1137"/>
      <c r="Q228" s="1137"/>
      <c r="R228" s="1137"/>
      <c r="S228" s="1137"/>
      <c r="T228" s="1137"/>
    </row>
    <row r="229" spans="1:20">
      <c r="A229" s="1137"/>
      <c r="B229" s="1137"/>
      <c r="C229" s="1137"/>
      <c r="D229" s="1137"/>
      <c r="E229" s="1137"/>
      <c r="F229" s="1137"/>
      <c r="G229" s="1137"/>
      <c r="H229" s="1137"/>
      <c r="I229" s="1137"/>
      <c r="J229" s="1137"/>
      <c r="K229" s="1138"/>
      <c r="L229" s="1139"/>
      <c r="M229" s="1137"/>
      <c r="N229" s="1137"/>
      <c r="O229" s="1137"/>
      <c r="P229" s="1137"/>
      <c r="Q229" s="1137"/>
      <c r="R229" s="1137"/>
      <c r="S229" s="1137"/>
      <c r="T229" s="1137"/>
    </row>
    <row r="230" spans="1:20">
      <c r="A230" s="1137"/>
      <c r="B230" s="1137"/>
      <c r="C230" s="1137"/>
      <c r="D230" s="1137"/>
      <c r="E230" s="1137"/>
      <c r="F230" s="1137"/>
      <c r="G230" s="1137"/>
      <c r="H230" s="1137"/>
      <c r="I230" s="1137"/>
      <c r="J230" s="1137"/>
      <c r="K230" s="1138"/>
      <c r="L230" s="1139"/>
      <c r="M230" s="1137"/>
      <c r="N230" s="1137"/>
      <c r="O230" s="1137"/>
      <c r="P230" s="1137"/>
      <c r="Q230" s="1137"/>
      <c r="R230" s="1137"/>
      <c r="S230" s="1137"/>
      <c r="T230" s="1137"/>
    </row>
    <row r="231" spans="1:20">
      <c r="A231" s="1137"/>
      <c r="B231" s="1137"/>
      <c r="C231" s="1137"/>
      <c r="D231" s="1137"/>
      <c r="E231" s="1137"/>
      <c r="F231" s="1137"/>
      <c r="G231" s="1137"/>
      <c r="H231" s="1137"/>
      <c r="I231" s="1137"/>
      <c r="J231" s="1137"/>
      <c r="K231" s="1138"/>
      <c r="L231" s="1139"/>
      <c r="M231" s="1137"/>
      <c r="N231" s="1137"/>
      <c r="O231" s="1137"/>
      <c r="P231" s="1137"/>
      <c r="Q231" s="1137"/>
      <c r="R231" s="1137"/>
      <c r="S231" s="1137"/>
      <c r="T231" s="1137"/>
    </row>
    <row r="232" spans="1:20">
      <c r="A232" s="1137"/>
      <c r="B232" s="1137"/>
      <c r="C232" s="1137"/>
      <c r="D232" s="1137"/>
      <c r="E232" s="1137"/>
      <c r="F232" s="1137"/>
      <c r="G232" s="1137"/>
      <c r="H232" s="1137"/>
      <c r="I232" s="1137"/>
      <c r="J232" s="1137"/>
      <c r="K232" s="1138"/>
      <c r="L232" s="1139"/>
      <c r="M232" s="1137"/>
      <c r="N232" s="1137"/>
      <c r="O232" s="1137"/>
      <c r="P232" s="1137"/>
      <c r="Q232" s="1137"/>
      <c r="R232" s="1137"/>
      <c r="S232" s="1137"/>
      <c r="T232" s="1137"/>
    </row>
    <row r="233" spans="1:20">
      <c r="A233" s="1137"/>
      <c r="B233" s="1137"/>
      <c r="C233" s="1137"/>
      <c r="D233" s="1137"/>
      <c r="E233" s="1137"/>
      <c r="F233" s="1137"/>
      <c r="G233" s="1137"/>
      <c r="H233" s="1137"/>
      <c r="I233" s="1137"/>
      <c r="J233" s="1137"/>
      <c r="K233" s="1138"/>
      <c r="L233" s="1139"/>
      <c r="M233" s="1137"/>
      <c r="N233" s="1137"/>
      <c r="O233" s="1137"/>
      <c r="P233" s="1137"/>
      <c r="Q233" s="1137"/>
      <c r="R233" s="1137"/>
      <c r="S233" s="1137"/>
      <c r="T233" s="1137"/>
    </row>
    <row r="234" spans="1:20">
      <c r="A234" s="1137"/>
      <c r="B234" s="1137"/>
      <c r="C234" s="1137"/>
      <c r="D234" s="1137"/>
      <c r="E234" s="1137"/>
      <c r="F234" s="1137"/>
      <c r="G234" s="1137"/>
      <c r="H234" s="1137"/>
      <c r="I234" s="1137"/>
      <c r="J234" s="1137"/>
      <c r="K234" s="1138"/>
      <c r="L234" s="1139"/>
      <c r="M234" s="1137"/>
      <c r="N234" s="1137"/>
      <c r="O234" s="1137"/>
      <c r="P234" s="1137"/>
      <c r="Q234" s="1137"/>
      <c r="R234" s="1137"/>
      <c r="S234" s="1137"/>
      <c r="T234" s="1137"/>
    </row>
    <row r="235" spans="1:20">
      <c r="A235" s="1137"/>
      <c r="B235" s="1137"/>
      <c r="C235" s="1137"/>
      <c r="D235" s="1137"/>
      <c r="E235" s="1137"/>
      <c r="F235" s="1137"/>
      <c r="G235" s="1137"/>
      <c r="H235" s="1137"/>
      <c r="I235" s="1137"/>
      <c r="J235" s="1137"/>
      <c r="K235" s="1138"/>
      <c r="L235" s="1139"/>
      <c r="M235" s="1137"/>
      <c r="N235" s="1137"/>
      <c r="O235" s="1137"/>
      <c r="P235" s="1137"/>
      <c r="Q235" s="1137"/>
      <c r="R235" s="1137"/>
      <c r="S235" s="1137"/>
      <c r="T235" s="1137"/>
    </row>
    <row r="236" spans="1:20">
      <c r="A236" s="1137"/>
      <c r="B236" s="1137"/>
      <c r="C236" s="1137"/>
      <c r="D236" s="1137"/>
      <c r="E236" s="1137"/>
      <c r="F236" s="1137"/>
      <c r="G236" s="1137"/>
      <c r="H236" s="1137"/>
      <c r="I236" s="1137"/>
      <c r="J236" s="1137"/>
      <c r="K236" s="1138"/>
      <c r="L236" s="1139"/>
      <c r="M236" s="1137"/>
      <c r="N236" s="1137"/>
      <c r="O236" s="1137"/>
      <c r="P236" s="1137"/>
      <c r="Q236" s="1137"/>
      <c r="R236" s="1137"/>
      <c r="S236" s="1137"/>
      <c r="T236" s="1137"/>
    </row>
    <row r="237" spans="1:20">
      <c r="A237" s="1137"/>
      <c r="B237" s="1137"/>
      <c r="C237" s="1137"/>
      <c r="D237" s="1137"/>
      <c r="E237" s="1137"/>
      <c r="F237" s="1137"/>
      <c r="G237" s="1137"/>
      <c r="H237" s="1137"/>
      <c r="I237" s="1137"/>
      <c r="J237" s="1137"/>
      <c r="K237" s="1138"/>
      <c r="L237" s="1139"/>
      <c r="M237" s="1137"/>
      <c r="N237" s="1137"/>
      <c r="O237" s="1137"/>
      <c r="P237" s="1137"/>
      <c r="Q237" s="1137"/>
      <c r="R237" s="1137"/>
      <c r="S237" s="1137"/>
      <c r="T237" s="1137"/>
    </row>
    <row r="238" spans="1:20">
      <c r="A238" s="1137"/>
      <c r="B238" s="1137"/>
      <c r="C238" s="1137"/>
      <c r="D238" s="1137"/>
      <c r="E238" s="1137"/>
      <c r="F238" s="1137"/>
      <c r="G238" s="1137"/>
      <c r="H238" s="1137"/>
      <c r="I238" s="1137"/>
      <c r="J238" s="1137"/>
      <c r="K238" s="1138"/>
      <c r="L238" s="1139"/>
      <c r="M238" s="1137"/>
      <c r="N238" s="1137"/>
      <c r="O238" s="1137"/>
      <c r="P238" s="1137"/>
      <c r="Q238" s="1137"/>
      <c r="R238" s="1137"/>
      <c r="S238" s="1137"/>
      <c r="T238" s="1137"/>
    </row>
    <row r="239" spans="1:20">
      <c r="A239" s="1137"/>
      <c r="B239" s="1137"/>
      <c r="C239" s="1137"/>
      <c r="D239" s="1137"/>
      <c r="E239" s="1137"/>
      <c r="F239" s="1137"/>
      <c r="G239" s="1137"/>
      <c r="H239" s="1137"/>
      <c r="I239" s="1137"/>
      <c r="J239" s="1137"/>
      <c r="K239" s="1138"/>
      <c r="L239" s="1139"/>
      <c r="M239" s="1137"/>
      <c r="N239" s="1137"/>
      <c r="O239" s="1137"/>
      <c r="P239" s="1137"/>
      <c r="Q239" s="1137"/>
      <c r="R239" s="1137"/>
      <c r="S239" s="1137"/>
      <c r="T239" s="1137"/>
    </row>
    <row r="240" spans="1:20">
      <c r="A240" s="1137"/>
      <c r="B240" s="1137"/>
      <c r="C240" s="1137"/>
      <c r="D240" s="1137"/>
      <c r="E240" s="1137"/>
      <c r="F240" s="1137"/>
      <c r="G240" s="1137"/>
      <c r="H240" s="1137"/>
      <c r="I240" s="1137"/>
      <c r="J240" s="1137"/>
      <c r="K240" s="1138"/>
      <c r="L240" s="1139"/>
      <c r="M240" s="1137"/>
      <c r="N240" s="1137"/>
      <c r="O240" s="1137"/>
      <c r="P240" s="1137"/>
      <c r="Q240" s="1137"/>
      <c r="R240" s="1137"/>
      <c r="S240" s="1137"/>
      <c r="T240" s="1137"/>
    </row>
    <row r="241" spans="1:20">
      <c r="A241" s="1137"/>
      <c r="B241" s="1137"/>
      <c r="C241" s="1137"/>
      <c r="D241" s="1137"/>
      <c r="E241" s="1137"/>
      <c r="F241" s="1137"/>
      <c r="G241" s="1137"/>
      <c r="H241" s="1137"/>
      <c r="I241" s="1137"/>
      <c r="J241" s="1137"/>
      <c r="K241" s="1138"/>
      <c r="L241" s="1139"/>
      <c r="M241" s="1137"/>
      <c r="N241" s="1137"/>
      <c r="O241" s="1137"/>
      <c r="P241" s="1137"/>
      <c r="Q241" s="1137"/>
      <c r="R241" s="1137"/>
      <c r="S241" s="1137"/>
      <c r="T241" s="113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C2" xr:uid="{00000000-0002-0000-2A00-00000F000000}">
      <formula1>"需扣减承租人权益,——"</formula1>
    </dataValidation>
    <dataValidation type="list" allowBlank="1" showInputMessage="1" showErrorMessage="1" sqref="F2" xr:uid="{00000000-0002-0000-2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C121"/>
  <sheetViews>
    <sheetView zoomScale="80" zoomScaleNormal="80" workbookViewId="0">
      <selection activeCell="E3" sqref="E3"/>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4" t="s">
        <v>2726</v>
      </c>
      <c r="B1" s="395"/>
      <c r="C1" s="396" t="s">
        <v>2769</v>
      </c>
      <c r="D1" s="751"/>
      <c r="E1" s="751"/>
      <c r="F1" s="750" t="s">
        <v>2626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2310</v>
      </c>
      <c r="B2" s="670" t="e">
        <f>F61</f>
        <v>#DIV/0!</v>
      </c>
      <c r="C2" s="1107"/>
      <c r="D2" s="1107"/>
      <c r="E2" s="1107"/>
      <c r="F2" s="1108"/>
      <c r="G2" s="1107"/>
      <c r="H2" s="1107"/>
      <c r="I2" s="1107"/>
      <c r="J2" s="1107"/>
      <c r="K2" s="1109"/>
      <c r="L2" s="1110"/>
      <c r="M2" s="1111"/>
      <c r="N2" s="1111"/>
      <c r="O2" s="1111"/>
      <c r="P2" s="764"/>
      <c r="Q2" s="764"/>
      <c r="R2" s="764"/>
      <c r="S2" s="764"/>
      <c r="T2" s="764"/>
      <c r="U2" s="764"/>
      <c r="V2" s="764"/>
      <c r="W2" s="764"/>
      <c r="X2" s="764"/>
      <c r="Y2" s="764"/>
      <c r="Z2" s="764"/>
      <c r="AA2" s="764"/>
      <c r="AB2" s="764"/>
      <c r="AC2" s="765"/>
    </row>
    <row r="3" spans="1:29" s="397" customFormat="1" ht="28.5" customHeight="1" thickBot="1">
      <c r="A3" s="247" t="s">
        <v>2312</v>
      </c>
      <c r="B3" s="608" t="e">
        <f>ROUND(IF(D3="",B2*10000/'数据-汇总表'!E3,B2*10000/D3),0)</f>
        <v>#DIV/0!</v>
      </c>
      <c r="C3" s="247" t="s">
        <v>2727</v>
      </c>
      <c r="D3" s="1562"/>
      <c r="E3" s="1107"/>
      <c r="F3" s="1108"/>
      <c r="G3" s="1107"/>
      <c r="H3" s="1107"/>
      <c r="I3" s="1107"/>
      <c r="J3" s="1107"/>
      <c r="K3" s="1109"/>
      <c r="L3" s="1110"/>
      <c r="M3" s="1111"/>
      <c r="N3" s="1111"/>
      <c r="O3" s="1111"/>
      <c r="P3" s="764"/>
      <c r="Q3" s="764"/>
      <c r="R3" s="764"/>
      <c r="S3" s="764"/>
      <c r="T3" s="764"/>
      <c r="U3" s="764"/>
      <c r="V3" s="764"/>
      <c r="W3" s="764"/>
      <c r="X3" s="764"/>
      <c r="Y3" s="764"/>
      <c r="Z3" s="764"/>
      <c r="AA3" s="764"/>
      <c r="AB3" s="782"/>
      <c r="AC3" s="778"/>
    </row>
    <row r="4" spans="1:29" ht="14.4">
      <c r="A4" s="400" t="s">
        <v>2628</v>
      </c>
      <c r="B4" s="401"/>
      <c r="C4" s="3661" t="s">
        <v>2629</v>
      </c>
      <c r="D4" s="3662"/>
      <c r="E4" s="3663" t="s">
        <v>2630</v>
      </c>
      <c r="F4" s="3664"/>
      <c r="G4" s="3661" t="s">
        <v>2631</v>
      </c>
      <c r="H4" s="3662"/>
      <c r="I4" s="3661" t="s">
        <v>2632</v>
      </c>
      <c r="J4" s="3662"/>
      <c r="K4" s="609" t="s">
        <v>2633</v>
      </c>
      <c r="L4" s="1112"/>
      <c r="M4" s="1113"/>
      <c r="N4" s="1113"/>
      <c r="O4" s="1113"/>
      <c r="P4" s="3665" t="s">
        <v>2634</v>
      </c>
      <c r="Q4" s="3666"/>
      <c r="R4" s="3671" t="s">
        <v>2630</v>
      </c>
      <c r="S4" s="3672"/>
      <c r="T4" s="3671" t="s">
        <v>2631</v>
      </c>
      <c r="U4" s="3672"/>
      <c r="V4" s="3656" t="s">
        <v>2632</v>
      </c>
      <c r="W4" s="3656"/>
      <c r="X4" s="1791"/>
      <c r="Y4" s="3671" t="s">
        <v>2634</v>
      </c>
      <c r="Z4" s="3672"/>
      <c r="AA4" s="3658" t="s">
        <v>2630</v>
      </c>
      <c r="AB4" s="3659" t="s">
        <v>2631</v>
      </c>
      <c r="AC4" s="3658" t="s">
        <v>2632</v>
      </c>
    </row>
    <row r="5" spans="1:29">
      <c r="A5" s="403"/>
      <c r="B5" s="404"/>
      <c r="C5" s="3723" t="s">
        <v>2525</v>
      </c>
      <c r="D5" s="3724"/>
      <c r="E5" s="3725" t="s">
        <v>2526</v>
      </c>
      <c r="F5" s="3726"/>
      <c r="G5" s="3723" t="s">
        <v>2527</v>
      </c>
      <c r="H5" s="3724"/>
      <c r="I5" s="3723" t="s">
        <v>2528</v>
      </c>
      <c r="J5" s="3724"/>
      <c r="K5" s="609"/>
      <c r="L5" s="1112"/>
      <c r="M5" s="1113"/>
      <c r="N5" s="1113"/>
      <c r="O5" s="1113"/>
      <c r="P5" s="3667"/>
      <c r="Q5" s="3668"/>
      <c r="R5" s="3673"/>
      <c r="S5" s="3674"/>
      <c r="T5" s="3673"/>
      <c r="U5" s="3674"/>
      <c r="V5" s="3656"/>
      <c r="W5" s="3656"/>
      <c r="X5" s="1791"/>
      <c r="Y5" s="3673"/>
      <c r="Z5" s="3674"/>
      <c r="AA5" s="3659"/>
      <c r="AB5" s="3659"/>
      <c r="AC5" s="3659"/>
    </row>
    <row r="6" spans="1:29" ht="15" thickBot="1">
      <c r="A6" s="405"/>
      <c r="B6" s="406"/>
      <c r="C6" s="3730" t="s">
        <v>2770</v>
      </c>
      <c r="D6" s="3731"/>
      <c r="E6" s="3732" t="s">
        <v>2770</v>
      </c>
      <c r="F6" s="3733"/>
      <c r="G6" s="3730" t="s">
        <v>2770</v>
      </c>
      <c r="H6" s="3731"/>
      <c r="I6" s="3730" t="s">
        <v>2770</v>
      </c>
      <c r="J6" s="3731"/>
      <c r="K6" s="609" t="s">
        <v>2530</v>
      </c>
      <c r="L6" s="1112"/>
      <c r="M6" s="1113"/>
      <c r="N6" s="1113"/>
      <c r="O6" s="1113"/>
      <c r="P6" s="3669"/>
      <c r="Q6" s="3670"/>
      <c r="R6" s="3673"/>
      <c r="S6" s="3674"/>
      <c r="T6" s="3675"/>
      <c r="U6" s="3676"/>
      <c r="V6" s="3656"/>
      <c r="W6" s="3656"/>
      <c r="X6" s="1791"/>
      <c r="Y6" s="3675"/>
      <c r="Z6" s="3676"/>
      <c r="AA6" s="3660"/>
      <c r="AB6" s="3660"/>
      <c r="AC6" s="3660"/>
    </row>
    <row r="7" spans="1:29" s="117" customFormat="1" ht="15" thickBot="1">
      <c r="A7" s="407" t="s">
        <v>2531</v>
      </c>
      <c r="B7" s="408"/>
      <c r="C7" s="409">
        <f>'数据-取费表'!B2</f>
        <v>43903</v>
      </c>
      <c r="D7" s="410">
        <v>100</v>
      </c>
      <c r="E7" s="411"/>
      <c r="F7" s="412">
        <f>SUMIF(65:65,YEAR(E7)&amp;"-"&amp;INT((MONTH(E7)+2)/3),66:66)</f>
        <v>0</v>
      </c>
      <c r="G7" s="2666"/>
      <c r="H7" s="410">
        <f>SUMIF(65:65,YEAR(G7)&amp;"-"&amp;INT((MONTH(G7)+2)/3),66:66)</f>
        <v>0</v>
      </c>
      <c r="I7" s="2666"/>
      <c r="J7" s="410">
        <f>SUMIF(65:65,YEAR(I7)&amp;"-"&amp;INT((MONTH(I7)+2)/3),66:66)</f>
        <v>0</v>
      </c>
      <c r="K7" s="610"/>
      <c r="L7" s="1114"/>
      <c r="M7" s="1115"/>
      <c r="N7" s="1115"/>
      <c r="O7" s="1115"/>
      <c r="P7" s="3681" t="s">
        <v>2532</v>
      </c>
      <c r="Q7" s="3683"/>
      <c r="R7" s="766" t="s">
        <v>17</v>
      </c>
      <c r="S7" s="767">
        <f t="shared" ref="S7:S15" si="0">F7</f>
        <v>0</v>
      </c>
      <c r="T7" s="766" t="s">
        <v>17</v>
      </c>
      <c r="U7" s="767">
        <f t="shared" ref="U7:U15" si="1">H7</f>
        <v>0</v>
      </c>
      <c r="V7" s="766" t="s">
        <v>17</v>
      </c>
      <c r="W7" s="767">
        <f t="shared" ref="W7:W15" si="2">J7</f>
        <v>0</v>
      </c>
      <c r="X7" s="768"/>
      <c r="Y7" s="3681" t="s">
        <v>2532</v>
      </c>
      <c r="Z7" s="3682"/>
      <c r="AA7" s="769" t="e">
        <f>D7/F7</f>
        <v>#DIV/0!</v>
      </c>
      <c r="AB7" s="769" t="e">
        <f>D7/H7</f>
        <v>#DIV/0!</v>
      </c>
      <c r="AC7" s="769" t="e">
        <f>D7/J7</f>
        <v>#DIV/0!</v>
      </c>
    </row>
    <row r="8" spans="1:29" s="117" customFormat="1" ht="15" thickBot="1">
      <c r="A8" s="407" t="s">
        <v>2533</v>
      </c>
      <c r="B8" s="408"/>
      <c r="C8" s="413" t="s">
        <v>2534</v>
      </c>
      <c r="D8" s="410">
        <v>100</v>
      </c>
      <c r="E8" s="413"/>
      <c r="F8" s="412">
        <f>SUMIF(68:68,E8,69:69)-SUMIF(68:68,C8,69:69)+100</f>
        <v>0</v>
      </c>
      <c r="G8" s="413"/>
      <c r="H8" s="410">
        <f>SUMIF(68:68,G8,69:69)-SUMIF(68:68,C8,69:69)+100</f>
        <v>0</v>
      </c>
      <c r="I8" s="413"/>
      <c r="J8" s="410">
        <f>SUMIF(68:68,I8,69:69)-SUMIF(68:68,C8,69:69)+100</f>
        <v>0</v>
      </c>
      <c r="K8" s="610"/>
      <c r="L8" s="1114"/>
      <c r="M8" s="1115"/>
      <c r="N8" s="1115"/>
      <c r="O8" s="1115"/>
      <c r="P8" s="3681" t="s">
        <v>2535</v>
      </c>
      <c r="Q8" s="3682"/>
      <c r="R8" s="766" t="s">
        <v>17</v>
      </c>
      <c r="S8" s="767">
        <f t="shared" si="0"/>
        <v>0</v>
      </c>
      <c r="T8" s="766" t="s">
        <v>17</v>
      </c>
      <c r="U8" s="767">
        <f t="shared" si="1"/>
        <v>0</v>
      </c>
      <c r="V8" s="766" t="s">
        <v>17</v>
      </c>
      <c r="W8" s="767">
        <f t="shared" si="2"/>
        <v>0</v>
      </c>
      <c r="X8" s="768"/>
      <c r="Y8" s="3681" t="s">
        <v>2535</v>
      </c>
      <c r="Z8" s="3682"/>
      <c r="AA8" s="769" t="e">
        <f t="shared" ref="AA8:AA40" si="3">D8/F8</f>
        <v>#DIV/0!</v>
      </c>
      <c r="AB8" s="769" t="e">
        <f t="shared" ref="AB8:AB40" si="4">D8/H8</f>
        <v>#DIV/0!</v>
      </c>
      <c r="AC8" s="769" t="e">
        <f t="shared" ref="AC8:AC40" si="5">D8/J8</f>
        <v>#DIV/0!</v>
      </c>
    </row>
    <row r="9" spans="1:29" s="117" customFormat="1" ht="14.4">
      <c r="A9" s="414" t="s">
        <v>2536</v>
      </c>
      <c r="B9" s="71" t="s">
        <v>2537</v>
      </c>
      <c r="C9" s="2669"/>
      <c r="D9" s="135">
        <v>100</v>
      </c>
      <c r="E9" s="2669"/>
      <c r="F9" s="135">
        <f>SUMIF(70:70,E9,71:71)-SUMIF(70:70,C9,71:71)+100</f>
        <v>100</v>
      </c>
      <c r="G9" s="2669"/>
      <c r="H9" s="135">
        <f>SUMIF(70:70,G9,71:71)-SUMIF(70:70,C9,71:71)+100</f>
        <v>100</v>
      </c>
      <c r="I9" s="2669"/>
      <c r="J9" s="135">
        <f>SUMIF(70:70,I9,71:71)-SUMIF(70:70,C9,71:71)+100</f>
        <v>100</v>
      </c>
      <c r="K9" s="610"/>
      <c r="L9" s="1114"/>
      <c r="M9" s="1115"/>
      <c r="N9" s="1115"/>
      <c r="O9" s="1116"/>
      <c r="P9" s="3642" t="s">
        <v>2538</v>
      </c>
      <c r="Q9" s="1773" t="str">
        <f t="shared" ref="Q9:Q15" si="6">B9</f>
        <v>用途</v>
      </c>
      <c r="R9" s="766" t="s">
        <v>17</v>
      </c>
      <c r="S9" s="767">
        <f t="shared" si="0"/>
        <v>100</v>
      </c>
      <c r="T9" s="766" t="s">
        <v>17</v>
      </c>
      <c r="U9" s="767">
        <f t="shared" si="1"/>
        <v>100</v>
      </c>
      <c r="V9" s="766" t="s">
        <v>17</v>
      </c>
      <c r="W9" s="767">
        <f t="shared" si="2"/>
        <v>100</v>
      </c>
      <c r="X9" s="768"/>
      <c r="Y9" s="3486" t="s">
        <v>2539</v>
      </c>
      <c r="Z9" s="55" t="str">
        <f t="shared" ref="Z9:Z15" si="7">Q9</f>
        <v>用途</v>
      </c>
      <c r="AA9" s="769">
        <f t="shared" si="3"/>
        <v>1</v>
      </c>
      <c r="AB9" s="769">
        <f t="shared" si="4"/>
        <v>1</v>
      </c>
      <c r="AC9" s="769">
        <f t="shared" si="5"/>
        <v>1</v>
      </c>
    </row>
    <row r="10" spans="1:29" s="426" customFormat="1" ht="28.8">
      <c r="A10" s="420"/>
      <c r="B10" s="421" t="s">
        <v>2540</v>
      </c>
      <c r="C10" s="431"/>
      <c r="D10" s="136">
        <v>100</v>
      </c>
      <c r="E10" s="431"/>
      <c r="F10" s="136">
        <f>ROUND(100/'数据-取费表'!G16,0)</f>
        <v>115</v>
      </c>
      <c r="G10" s="431"/>
      <c r="H10" s="136">
        <f>ROUND(100/'数据-取费表'!G16,0)</f>
        <v>115</v>
      </c>
      <c r="I10" s="431"/>
      <c r="J10" s="136">
        <f>ROUND(100/'数据-取费表'!G16,0)</f>
        <v>115</v>
      </c>
      <c r="K10" s="671"/>
      <c r="L10" s="1117"/>
      <c r="M10" s="1118"/>
      <c r="N10" s="1118"/>
      <c r="O10" s="1119"/>
      <c r="P10" s="3642"/>
      <c r="Q10" s="1773" t="str">
        <f t="shared" si="6"/>
        <v>土地使用年限（年）</v>
      </c>
      <c r="R10" s="766" t="s">
        <v>17</v>
      </c>
      <c r="S10" s="767">
        <f t="shared" si="0"/>
        <v>115</v>
      </c>
      <c r="T10" s="766" t="s">
        <v>17</v>
      </c>
      <c r="U10" s="767">
        <f t="shared" si="1"/>
        <v>115</v>
      </c>
      <c r="V10" s="766" t="s">
        <v>17</v>
      </c>
      <c r="W10" s="767">
        <f t="shared" si="2"/>
        <v>115</v>
      </c>
      <c r="X10" s="768"/>
      <c r="Y10" s="3486"/>
      <c r="Z10" s="55" t="str">
        <f t="shared" si="7"/>
        <v>土地使用年限（年）</v>
      </c>
      <c r="AA10" s="769">
        <f t="shared" si="3"/>
        <v>0.86956521739130432</v>
      </c>
      <c r="AB10" s="769">
        <f t="shared" si="4"/>
        <v>0.86956521739130432</v>
      </c>
      <c r="AC10" s="769">
        <f t="shared" si="5"/>
        <v>0.86956521739130432</v>
      </c>
    </row>
    <row r="11" spans="1:29" ht="15">
      <c r="A11" s="427"/>
      <c r="B11" s="421" t="s">
        <v>2541</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0"/>
      <c r="M11" s="1113"/>
      <c r="N11" s="1113"/>
      <c r="O11" s="1121"/>
      <c r="P11" s="3642"/>
      <c r="Q11" s="1773" t="str">
        <f t="shared" si="6"/>
        <v>容积率</v>
      </c>
      <c r="R11" s="766" t="s">
        <v>17</v>
      </c>
      <c r="S11" s="767" t="e">
        <f t="shared" si="0"/>
        <v>#N/A</v>
      </c>
      <c r="T11" s="766" t="s">
        <v>17</v>
      </c>
      <c r="U11" s="767" t="e">
        <f t="shared" si="1"/>
        <v>#N/A</v>
      </c>
      <c r="V11" s="766" t="s">
        <v>17</v>
      </c>
      <c r="W11" s="767" t="e">
        <f t="shared" si="2"/>
        <v>#N/A</v>
      </c>
      <c r="X11" s="768"/>
      <c r="Y11" s="3486"/>
      <c r="Z11" s="55" t="str">
        <f t="shared" si="7"/>
        <v>容积率</v>
      </c>
      <c r="AA11" s="769" t="e">
        <f t="shared" si="3"/>
        <v>#N/A</v>
      </c>
      <c r="AB11" s="769" t="e">
        <f t="shared" si="4"/>
        <v>#N/A</v>
      </c>
      <c r="AC11" s="769" t="e">
        <f t="shared" si="5"/>
        <v>#N/A</v>
      </c>
    </row>
    <row r="12" spans="1:29" s="117" customFormat="1" ht="15">
      <c r="A12" s="430"/>
      <c r="B12" s="2570">
        <v>111</v>
      </c>
      <c r="C12" s="431"/>
      <c r="D12" s="432">
        <v>100</v>
      </c>
      <c r="E12" s="548"/>
      <c r="F12" s="136">
        <f>SUMIF(77:77,E12,78:78)-SUMIF(77:77,C12,78:78)+100</f>
        <v>100</v>
      </c>
      <c r="G12" s="673"/>
      <c r="H12" s="136">
        <f>SUMIF(77:77,G12,78:78)-SUMIF(77:77,C12,78:78)+100</f>
        <v>100</v>
      </c>
      <c r="I12" s="548"/>
      <c r="J12" s="136">
        <f>SUMIF(77:77,I12,78:78)-SUMIF(77:77,C12,78:78)+100</f>
        <v>100</v>
      </c>
      <c r="K12" s="671"/>
      <c r="L12" s="1114"/>
      <c r="M12" s="1115"/>
      <c r="N12" s="1115"/>
      <c r="O12" s="1116"/>
      <c r="P12" s="3642"/>
      <c r="Q12" s="1773">
        <f t="shared" si="6"/>
        <v>111</v>
      </c>
      <c r="R12" s="766" t="s">
        <v>17</v>
      </c>
      <c r="S12" s="767">
        <f t="shared" si="0"/>
        <v>100</v>
      </c>
      <c r="T12" s="766" t="s">
        <v>17</v>
      </c>
      <c r="U12" s="767">
        <f t="shared" si="1"/>
        <v>100</v>
      </c>
      <c r="V12" s="766" t="s">
        <v>17</v>
      </c>
      <c r="W12" s="767">
        <f t="shared" si="2"/>
        <v>100</v>
      </c>
      <c r="X12" s="768"/>
      <c r="Y12" s="3486"/>
      <c r="Z12" s="55">
        <f t="shared" si="7"/>
        <v>111</v>
      </c>
      <c r="AA12" s="769">
        <f>D12/F12</f>
        <v>1</v>
      </c>
      <c r="AB12" s="769">
        <f>D12/H12</f>
        <v>1</v>
      </c>
      <c r="AC12" s="769">
        <f>D12/J12</f>
        <v>1</v>
      </c>
    </row>
    <row r="13" spans="1:29" ht="15">
      <c r="A13" s="427"/>
      <c r="B13" s="2570">
        <v>111</v>
      </c>
      <c r="C13" s="433"/>
      <c r="D13" s="434">
        <v>100</v>
      </c>
      <c r="E13" s="548"/>
      <c r="F13" s="136">
        <f>SUMIF(79:79,E13,80:80)-SUMIF(79:79,C13,80:80)+100</f>
        <v>100</v>
      </c>
      <c r="G13" s="673"/>
      <c r="H13" s="434">
        <f>SUMIF(79:79,G13,80:80)-SUMIF(79:79,C13,80:80)+100</f>
        <v>100</v>
      </c>
      <c r="I13" s="548"/>
      <c r="J13" s="434">
        <f>SUMIF(79:79,I13,80:80)-SUMIF(79:79,C13,80:80)+100</f>
        <v>100</v>
      </c>
      <c r="K13" s="671"/>
      <c r="L13" s="1122"/>
      <c r="M13" s="1113"/>
      <c r="N13" s="1113"/>
      <c r="O13" s="1121"/>
      <c r="P13" s="3642"/>
      <c r="Q13" s="1773">
        <f t="shared" si="6"/>
        <v>111</v>
      </c>
      <c r="R13" s="766" t="s">
        <v>17</v>
      </c>
      <c r="S13" s="767">
        <f t="shared" si="0"/>
        <v>100</v>
      </c>
      <c r="T13" s="766" t="s">
        <v>17</v>
      </c>
      <c r="U13" s="767">
        <f t="shared" si="1"/>
        <v>100</v>
      </c>
      <c r="V13" s="766" t="s">
        <v>17</v>
      </c>
      <c r="W13" s="767">
        <f t="shared" si="2"/>
        <v>100</v>
      </c>
      <c r="X13" s="768"/>
      <c r="Y13" s="3486"/>
      <c r="Z13" s="55">
        <f t="shared" si="7"/>
        <v>111</v>
      </c>
      <c r="AA13" s="769">
        <f t="shared" si="3"/>
        <v>1</v>
      </c>
      <c r="AB13" s="769">
        <f t="shared" si="4"/>
        <v>1</v>
      </c>
      <c r="AC13" s="769">
        <f t="shared" si="5"/>
        <v>1</v>
      </c>
    </row>
    <row r="14" spans="1:29" ht="15.6" thickBot="1">
      <c r="A14" s="435"/>
      <c r="B14" s="2572">
        <v>111</v>
      </c>
      <c r="C14" s="436"/>
      <c r="D14" s="437">
        <v>100</v>
      </c>
      <c r="E14" s="548"/>
      <c r="F14" s="437">
        <f>SUMIF(81:81,E14,82:82)-SUMIF(81:81,C14,82:82)+100</f>
        <v>100</v>
      </c>
      <c r="G14" s="673"/>
      <c r="H14" s="437">
        <f>SUMIF(81:81,G14,82:82)-SUMIF(81:81,C14,82:82)+100</f>
        <v>100</v>
      </c>
      <c r="I14" s="548"/>
      <c r="J14" s="437">
        <f>SUMIF(81:81,I14,82:82)-SUMIF(81:81,C14,82:82)+100</f>
        <v>100</v>
      </c>
      <c r="K14" s="671"/>
      <c r="L14" s="1122"/>
      <c r="M14" s="1113"/>
      <c r="N14" s="1113"/>
      <c r="O14" s="1121"/>
      <c r="P14" s="3642"/>
      <c r="Q14" s="1773">
        <f t="shared" si="6"/>
        <v>111</v>
      </c>
      <c r="R14" s="766" t="s">
        <v>17</v>
      </c>
      <c r="S14" s="767">
        <f t="shared" si="0"/>
        <v>100</v>
      </c>
      <c r="T14" s="766" t="s">
        <v>17</v>
      </c>
      <c r="U14" s="767">
        <f t="shared" si="1"/>
        <v>100</v>
      </c>
      <c r="V14" s="766" t="s">
        <v>17</v>
      </c>
      <c r="W14" s="767">
        <f t="shared" si="2"/>
        <v>100</v>
      </c>
      <c r="X14" s="768"/>
      <c r="Y14" s="3486"/>
      <c r="Z14" s="55">
        <f t="shared" si="7"/>
        <v>111</v>
      </c>
      <c r="AA14" s="769">
        <f t="shared" si="3"/>
        <v>1</v>
      </c>
      <c r="AB14" s="769">
        <f t="shared" si="4"/>
        <v>1</v>
      </c>
      <c r="AC14" s="769">
        <f t="shared" si="5"/>
        <v>1</v>
      </c>
    </row>
    <row r="15" spans="1:29" ht="69">
      <c r="A15" s="439" t="s">
        <v>2542</v>
      </c>
      <c r="B15" s="628" t="s">
        <v>2771</v>
      </c>
      <c r="C15" s="266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2"/>
      <c r="M15" s="1113"/>
      <c r="N15" s="1113"/>
      <c r="O15" s="1121"/>
      <c r="P15" s="3649" t="s">
        <v>2543</v>
      </c>
      <c r="Q15" s="1788" t="str">
        <f t="shared" si="6"/>
        <v>产业集聚程度</v>
      </c>
      <c r="R15" s="770" t="s">
        <v>17</v>
      </c>
      <c r="S15" s="771">
        <f t="shared" si="0"/>
        <v>100</v>
      </c>
      <c r="T15" s="770" t="s">
        <v>17</v>
      </c>
      <c r="U15" s="771">
        <f t="shared" si="1"/>
        <v>100</v>
      </c>
      <c r="V15" s="770" t="s">
        <v>17</v>
      </c>
      <c r="W15" s="771">
        <f t="shared" si="2"/>
        <v>100</v>
      </c>
      <c r="X15" s="1791"/>
      <c r="Y15" s="3649" t="s">
        <v>2543</v>
      </c>
      <c r="Z15" s="1792" t="str">
        <f t="shared" si="7"/>
        <v>产业集聚程度</v>
      </c>
      <c r="AA15" s="1789">
        <f t="shared" si="3"/>
        <v>1</v>
      </c>
      <c r="AB15" s="1789">
        <f t="shared" si="4"/>
        <v>1</v>
      </c>
      <c r="AC15" s="1789">
        <f t="shared" si="5"/>
        <v>1</v>
      </c>
    </row>
    <row r="16" spans="1:29" ht="15">
      <c r="A16" s="427"/>
      <c r="B16" s="629"/>
      <c r="C16" s="446"/>
      <c r="D16" s="447"/>
      <c r="E16" s="2581"/>
      <c r="F16" s="447"/>
      <c r="G16" s="2581"/>
      <c r="H16" s="449"/>
      <c r="I16" s="2581"/>
      <c r="J16" s="447"/>
      <c r="K16" s="671"/>
      <c r="L16" s="1122"/>
      <c r="M16" s="1113"/>
      <c r="N16" s="1113"/>
      <c r="O16" s="1121"/>
      <c r="P16" s="3650"/>
      <c r="Q16" s="1788"/>
      <c r="R16" s="770"/>
      <c r="S16" s="771"/>
      <c r="T16" s="770"/>
      <c r="U16" s="771"/>
      <c r="V16" s="770"/>
      <c r="W16" s="771"/>
      <c r="X16" s="1791"/>
      <c r="Y16" s="3650"/>
      <c r="Z16" s="1792"/>
      <c r="AA16" s="1789">
        <v>1</v>
      </c>
      <c r="AB16" s="1789">
        <v>1</v>
      </c>
      <c r="AC16" s="1789">
        <v>1</v>
      </c>
    </row>
    <row r="17" spans="1:29" ht="96.6">
      <c r="A17" s="427"/>
      <c r="B17" s="630" t="s">
        <v>2692</v>
      </c>
      <c r="C17" s="257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2"/>
      <c r="M17" s="1113"/>
      <c r="N17" s="1113"/>
      <c r="O17" s="1121"/>
      <c r="P17" s="3650"/>
      <c r="Q17" s="1788" t="str">
        <f>B17</f>
        <v>交通便捷度</v>
      </c>
      <c r="R17" s="770" t="s">
        <v>17</v>
      </c>
      <c r="S17" s="771">
        <f>F17</f>
        <v>100</v>
      </c>
      <c r="T17" s="770" t="s">
        <v>17</v>
      </c>
      <c r="U17" s="771">
        <f>H17</f>
        <v>100</v>
      </c>
      <c r="V17" s="770" t="s">
        <v>17</v>
      </c>
      <c r="W17" s="771">
        <f>J17</f>
        <v>100</v>
      </c>
      <c r="X17" s="1791"/>
      <c r="Y17" s="3650"/>
      <c r="Z17" s="1792" t="str">
        <f>Q17</f>
        <v>交通便捷度</v>
      </c>
      <c r="AA17" s="1789">
        <f t="shared" si="3"/>
        <v>1</v>
      </c>
      <c r="AB17" s="1789">
        <f t="shared" si="4"/>
        <v>1</v>
      </c>
      <c r="AC17" s="1789">
        <f t="shared" si="5"/>
        <v>1</v>
      </c>
    </row>
    <row r="18" spans="1:29" ht="15">
      <c r="A18" s="427"/>
      <c r="B18" s="631"/>
      <c r="C18" s="446"/>
      <c r="D18" s="447"/>
      <c r="E18" s="2575"/>
      <c r="F18" s="447"/>
      <c r="G18" s="2575"/>
      <c r="H18" s="447"/>
      <c r="I18" s="2574"/>
      <c r="J18" s="447"/>
      <c r="K18" s="671"/>
      <c r="L18" s="1122"/>
      <c r="M18" s="1113"/>
      <c r="N18" s="1113"/>
      <c r="O18" s="1121"/>
      <c r="P18" s="3650"/>
      <c r="Q18" s="1788"/>
      <c r="R18" s="770"/>
      <c r="S18" s="771"/>
      <c r="T18" s="770"/>
      <c r="U18" s="771"/>
      <c r="V18" s="770"/>
      <c r="W18" s="771"/>
      <c r="X18" s="1791"/>
      <c r="Y18" s="3650"/>
      <c r="Z18" s="1792"/>
      <c r="AA18" s="1789">
        <v>1</v>
      </c>
      <c r="AB18" s="1789">
        <v>1</v>
      </c>
      <c r="AC18" s="1789">
        <v>1</v>
      </c>
    </row>
    <row r="19" spans="1:29" ht="28.8">
      <c r="A19" s="427"/>
      <c r="B19" s="630" t="s">
        <v>2728</v>
      </c>
      <c r="C19" s="257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2"/>
      <c r="M19" s="1113"/>
      <c r="N19" s="1113"/>
      <c r="O19" s="1121"/>
      <c r="P19" s="3650"/>
      <c r="Q19" s="1788" t="str">
        <f t="shared" ref="Q19:Q33" si="8">B19</f>
        <v>区域土地利用方向</v>
      </c>
      <c r="R19" s="770" t="s">
        <v>17</v>
      </c>
      <c r="S19" s="771">
        <f>F19</f>
        <v>100</v>
      </c>
      <c r="T19" s="770" t="s">
        <v>17</v>
      </c>
      <c r="U19" s="771">
        <f>H19</f>
        <v>100</v>
      </c>
      <c r="V19" s="770" t="s">
        <v>17</v>
      </c>
      <c r="W19" s="771">
        <f>J19</f>
        <v>100</v>
      </c>
      <c r="X19" s="1791"/>
      <c r="Y19" s="3650"/>
      <c r="Z19" s="1792" t="str">
        <f>Q19</f>
        <v>区域土地利用方向</v>
      </c>
      <c r="AA19" s="1789">
        <f t="shared" si="3"/>
        <v>1</v>
      </c>
      <c r="AB19" s="1789">
        <f t="shared" si="4"/>
        <v>1</v>
      </c>
      <c r="AC19" s="1789">
        <f t="shared" si="5"/>
        <v>1</v>
      </c>
    </row>
    <row r="20" spans="1:29" ht="15">
      <c r="A20" s="403"/>
      <c r="B20" s="631"/>
      <c r="C20" s="446"/>
      <c r="D20" s="447"/>
      <c r="E20" s="2575"/>
      <c r="F20" s="447"/>
      <c r="G20" s="2575"/>
      <c r="H20" s="447"/>
      <c r="I20" s="2575"/>
      <c r="J20" s="447"/>
      <c r="K20" s="801"/>
      <c r="L20" s="1122"/>
      <c r="M20" s="1113"/>
      <c r="N20" s="1113"/>
      <c r="O20" s="1121"/>
      <c r="P20" s="3650"/>
      <c r="Q20" s="1788"/>
      <c r="R20" s="770"/>
      <c r="S20" s="771"/>
      <c r="T20" s="770"/>
      <c r="U20" s="771"/>
      <c r="V20" s="770"/>
      <c r="W20" s="771"/>
      <c r="X20" s="1791"/>
      <c r="Y20" s="3650"/>
      <c r="Z20" s="1792"/>
      <c r="AA20" s="1789"/>
      <c r="AB20" s="1789"/>
      <c r="AC20" s="1789"/>
    </row>
    <row r="21" spans="1:29" ht="82.8">
      <c r="A21" s="403"/>
      <c r="B21" s="630" t="s">
        <v>2772</v>
      </c>
      <c r="C21" s="257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2"/>
      <c r="M21" s="1113"/>
      <c r="N21" s="1113"/>
      <c r="O21" s="1121"/>
      <c r="P21" s="3650"/>
      <c r="Q21" s="1788" t="str">
        <f t="shared" si="8"/>
        <v>环境状况</v>
      </c>
      <c r="R21" s="770" t="s">
        <v>17</v>
      </c>
      <c r="S21" s="771">
        <f>F21</f>
        <v>100</v>
      </c>
      <c r="T21" s="770" t="s">
        <v>17</v>
      </c>
      <c r="U21" s="771">
        <f>H21</f>
        <v>100</v>
      </c>
      <c r="V21" s="770" t="s">
        <v>17</v>
      </c>
      <c r="W21" s="771">
        <f>J21</f>
        <v>100</v>
      </c>
      <c r="X21" s="1791"/>
      <c r="Y21" s="3650"/>
      <c r="Z21" s="1792" t="str">
        <f>Q21</f>
        <v>环境状况</v>
      </c>
      <c r="AA21" s="1789">
        <f t="shared" si="3"/>
        <v>1</v>
      </c>
      <c r="AB21" s="1789">
        <f t="shared" si="4"/>
        <v>1</v>
      </c>
      <c r="AC21" s="1789">
        <f t="shared" si="5"/>
        <v>1</v>
      </c>
    </row>
    <row r="22" spans="1:29" ht="15">
      <c r="A22" s="403"/>
      <c r="B22" s="631"/>
      <c r="C22" s="446"/>
      <c r="D22" s="447"/>
      <c r="E22" s="2581"/>
      <c r="F22" s="447"/>
      <c r="G22" s="2581"/>
      <c r="H22" s="447"/>
      <c r="I22" s="446"/>
      <c r="J22" s="447"/>
      <c r="K22" s="671"/>
      <c r="L22" s="1122"/>
      <c r="M22" s="1113"/>
      <c r="N22" s="1113"/>
      <c r="O22" s="1121"/>
      <c r="P22" s="3650"/>
      <c r="Q22" s="1788"/>
      <c r="R22" s="770"/>
      <c r="S22" s="771"/>
      <c r="T22" s="770"/>
      <c r="U22" s="771"/>
      <c r="V22" s="770"/>
      <c r="W22" s="771"/>
      <c r="X22" s="1791"/>
      <c r="Y22" s="3650"/>
      <c r="Z22" s="1792"/>
      <c r="AA22" s="1789">
        <v>1</v>
      </c>
      <c r="AB22" s="1789">
        <v>1</v>
      </c>
      <c r="AC22" s="1789">
        <v>1</v>
      </c>
    </row>
    <row r="23" spans="1:29" s="117" customFormat="1" ht="41.4">
      <c r="A23" s="648"/>
      <c r="B23" s="632" t="s">
        <v>2637</v>
      </c>
      <c r="C23" s="257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4"/>
      <c r="M23" s="1115"/>
      <c r="N23" s="1115"/>
      <c r="O23" s="1116"/>
      <c r="P23" s="3650"/>
      <c r="Q23" s="1773" t="str">
        <f t="shared" si="8"/>
        <v>公共配套设施</v>
      </c>
      <c r="R23" s="766" t="s">
        <v>17</v>
      </c>
      <c r="S23" s="767">
        <f>F23</f>
        <v>100</v>
      </c>
      <c r="T23" s="766" t="s">
        <v>17</v>
      </c>
      <c r="U23" s="767">
        <f>H23</f>
        <v>100</v>
      </c>
      <c r="V23" s="766" t="s">
        <v>17</v>
      </c>
      <c r="W23" s="767">
        <f>J23</f>
        <v>100</v>
      </c>
      <c r="X23" s="768"/>
      <c r="Y23" s="3650"/>
      <c r="Z23" s="55" t="str">
        <f>Q23</f>
        <v>公共配套设施</v>
      </c>
      <c r="AA23" s="1789">
        <f>D23/F23</f>
        <v>1</v>
      </c>
      <c r="AB23" s="1789">
        <f>D23/H23</f>
        <v>1</v>
      </c>
      <c r="AC23" s="1789">
        <f>D23/J23</f>
        <v>1</v>
      </c>
    </row>
    <row r="24" spans="1:29" s="117" customFormat="1" ht="15">
      <c r="A24" s="648"/>
      <c r="B24" s="631"/>
      <c r="C24" s="2670"/>
      <c r="D24" s="447"/>
      <c r="E24" s="2581"/>
      <c r="F24" s="447"/>
      <c r="G24" s="2581"/>
      <c r="H24" s="447"/>
      <c r="I24" s="446"/>
      <c r="J24" s="447"/>
      <c r="K24" s="671"/>
      <c r="L24" s="1114"/>
      <c r="M24" s="1115"/>
      <c r="N24" s="1115"/>
      <c r="O24" s="1116"/>
      <c r="P24" s="3650"/>
      <c r="Q24" s="1773"/>
      <c r="R24" s="766"/>
      <c r="S24" s="767"/>
      <c r="T24" s="766"/>
      <c r="U24" s="767"/>
      <c r="V24" s="766"/>
      <c r="W24" s="767"/>
      <c r="X24" s="768"/>
      <c r="Y24" s="3650"/>
      <c r="Z24" s="55"/>
      <c r="AA24" s="769">
        <v>1</v>
      </c>
      <c r="AB24" s="769">
        <v>1</v>
      </c>
      <c r="AC24" s="769">
        <v>1</v>
      </c>
    </row>
    <row r="25" spans="1:29" s="117" customFormat="1" ht="41.4">
      <c r="A25" s="648"/>
      <c r="B25" s="632" t="s">
        <v>2638</v>
      </c>
      <c r="C25" s="257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4"/>
      <c r="M25" s="1115"/>
      <c r="N25" s="1115"/>
      <c r="O25" s="1116"/>
      <c r="P25" s="3650"/>
      <c r="Q25" s="1773" t="str">
        <f t="shared" ref="Q25" si="9">B25</f>
        <v>基础设施水平</v>
      </c>
      <c r="R25" s="766" t="s">
        <v>17</v>
      </c>
      <c r="S25" s="767">
        <f>F25</f>
        <v>100</v>
      </c>
      <c r="T25" s="766" t="s">
        <v>17</v>
      </c>
      <c r="U25" s="767">
        <f>H25</f>
        <v>100</v>
      </c>
      <c r="V25" s="766" t="s">
        <v>17</v>
      </c>
      <c r="W25" s="767">
        <f>J25</f>
        <v>100</v>
      </c>
      <c r="X25" s="768"/>
      <c r="Y25" s="3650"/>
      <c r="Z25" s="55" t="str">
        <f>Q25</f>
        <v>基础设施水平</v>
      </c>
      <c r="AA25" s="1789">
        <f>D25/F25</f>
        <v>1</v>
      </c>
      <c r="AB25" s="1789">
        <f>D25/H25</f>
        <v>1</v>
      </c>
      <c r="AC25" s="1789">
        <f>D25/J25</f>
        <v>1</v>
      </c>
    </row>
    <row r="26" spans="1:29" s="117" customFormat="1" ht="15">
      <c r="A26" s="648"/>
      <c r="B26" s="631"/>
      <c r="C26" s="2670"/>
      <c r="D26" s="447"/>
      <c r="E26" s="2671"/>
      <c r="F26" s="447"/>
      <c r="G26" s="2671"/>
      <c r="H26" s="447"/>
      <c r="I26" s="2671"/>
      <c r="J26" s="447"/>
      <c r="K26" s="671"/>
      <c r="L26" s="1114"/>
      <c r="M26" s="1115"/>
      <c r="N26" s="1115"/>
      <c r="O26" s="1116"/>
      <c r="P26" s="3650"/>
      <c r="Q26" s="1773"/>
      <c r="R26" s="766"/>
      <c r="S26" s="767"/>
      <c r="T26" s="766"/>
      <c r="U26" s="767"/>
      <c r="V26" s="766"/>
      <c r="W26" s="767"/>
      <c r="X26" s="768"/>
      <c r="Y26" s="3650"/>
      <c r="Z26" s="55"/>
      <c r="AA26" s="769">
        <v>1</v>
      </c>
      <c r="AB26" s="769">
        <v>1</v>
      </c>
      <c r="AC26" s="769">
        <v>1</v>
      </c>
    </row>
    <row r="27" spans="1:29" ht="15">
      <c r="A27" s="427"/>
      <c r="B27" s="631" t="s">
        <v>2639</v>
      </c>
      <c r="C27" s="615"/>
      <c r="D27" s="434">
        <v>100</v>
      </c>
      <c r="E27" s="633"/>
      <c r="F27" s="434">
        <f>SUMIF(95:95,E27,96:96)-SUMIF(95:95,C27,96:96)+100</f>
        <v>100</v>
      </c>
      <c r="G27" s="633"/>
      <c r="H27" s="434">
        <f>SUMIF(95:95,G27,96:96)-SUMIF(95:95,C27,96:96)+100</f>
        <v>100</v>
      </c>
      <c r="I27" s="633"/>
      <c r="J27" s="434">
        <f>SUMIF(95:95,I27,96:96)-SUMIF(95:95,C27,96:96)+100</f>
        <v>100</v>
      </c>
      <c r="K27" s="672"/>
      <c r="L27" s="1122"/>
      <c r="M27" s="1113"/>
      <c r="N27" s="1113"/>
      <c r="O27" s="1121"/>
      <c r="P27" s="3650"/>
      <c r="Q27" s="1788" t="str">
        <f t="shared" si="8"/>
        <v>临街状况</v>
      </c>
      <c r="R27" s="770" t="s">
        <v>17</v>
      </c>
      <c r="S27" s="771">
        <f t="shared" ref="S27:S40" si="10">F27</f>
        <v>100</v>
      </c>
      <c r="T27" s="770" t="s">
        <v>17</v>
      </c>
      <c r="U27" s="771">
        <f t="shared" ref="U27:U40" si="11">H27</f>
        <v>100</v>
      </c>
      <c r="V27" s="770" t="s">
        <v>17</v>
      </c>
      <c r="W27" s="771">
        <f t="shared" ref="W27:W40" si="12">J27</f>
        <v>100</v>
      </c>
      <c r="X27" s="1791"/>
      <c r="Y27" s="3650"/>
      <c r="Z27" s="1792" t="str">
        <f t="shared" ref="Z27:Z40" si="13">Q27</f>
        <v>临街状况</v>
      </c>
      <c r="AA27" s="1789">
        <f t="shared" si="3"/>
        <v>1</v>
      </c>
      <c r="AB27" s="1789">
        <f t="shared" si="4"/>
        <v>1</v>
      </c>
      <c r="AC27" s="1789">
        <f t="shared" si="5"/>
        <v>1</v>
      </c>
    </row>
    <row r="28" spans="1:29" ht="28.8">
      <c r="A28" s="427"/>
      <c r="B28" s="632" t="s">
        <v>2674</v>
      </c>
      <c r="C28" s="268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2"/>
      <c r="M28" s="1113"/>
      <c r="N28" s="1113"/>
      <c r="O28" s="1121"/>
      <c r="P28" s="3650"/>
      <c r="Q28" s="1788" t="str">
        <f t="shared" si="8"/>
        <v>毗邻道路的类型与等级</v>
      </c>
      <c r="R28" s="770" t="s">
        <v>17</v>
      </c>
      <c r="S28" s="771">
        <f t="shared" si="10"/>
        <v>100</v>
      </c>
      <c r="T28" s="770" t="s">
        <v>17</v>
      </c>
      <c r="U28" s="771">
        <f t="shared" si="11"/>
        <v>100</v>
      </c>
      <c r="V28" s="770" t="s">
        <v>17</v>
      </c>
      <c r="W28" s="771">
        <f t="shared" si="12"/>
        <v>100</v>
      </c>
      <c r="X28" s="1791"/>
      <c r="Y28" s="3650"/>
      <c r="Z28" s="1792" t="str">
        <f t="shared" si="13"/>
        <v>毗邻道路的类型与等级</v>
      </c>
      <c r="AA28" s="1789">
        <f t="shared" si="3"/>
        <v>1</v>
      </c>
      <c r="AB28" s="1789">
        <f t="shared" si="4"/>
        <v>1</v>
      </c>
      <c r="AC28" s="1789">
        <f t="shared" si="5"/>
        <v>1</v>
      </c>
    </row>
    <row r="29" spans="1:29" ht="15">
      <c r="A29" s="427"/>
      <c r="B29" s="631"/>
      <c r="C29" s="446"/>
      <c r="D29" s="447"/>
      <c r="E29" s="2581"/>
      <c r="F29" s="447"/>
      <c r="G29" s="2581"/>
      <c r="H29" s="447"/>
      <c r="I29" s="2581"/>
      <c r="J29" s="447"/>
      <c r="K29" s="612"/>
      <c r="L29" s="1122"/>
      <c r="M29" s="1113"/>
      <c r="N29" s="1113"/>
      <c r="O29" s="1121"/>
      <c r="P29" s="3650"/>
      <c r="Q29" s="1788"/>
      <c r="R29" s="770"/>
      <c r="S29" s="771"/>
      <c r="T29" s="770"/>
      <c r="U29" s="771"/>
      <c r="V29" s="770"/>
      <c r="W29" s="771"/>
      <c r="X29" s="1791"/>
      <c r="Y29" s="3650"/>
      <c r="Z29" s="1792"/>
      <c r="AA29" s="1789">
        <v>1</v>
      </c>
      <c r="AB29" s="1789">
        <v>1</v>
      </c>
      <c r="AC29" s="1789">
        <v>1</v>
      </c>
    </row>
    <row r="30" spans="1:29" ht="15">
      <c r="A30" s="427"/>
      <c r="B30" s="653" t="s">
        <v>2729</v>
      </c>
      <c r="C30" s="136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2"/>
      <c r="M30" s="1113"/>
      <c r="N30" s="1113"/>
      <c r="O30" s="1121"/>
      <c r="P30" s="3650"/>
      <c r="Q30" s="1788" t="str">
        <f t="shared" si="8"/>
        <v>土地级别</v>
      </c>
      <c r="R30" s="770" t="s">
        <v>17</v>
      </c>
      <c r="S30" s="771">
        <f t="shared" si="10"/>
        <v>100</v>
      </c>
      <c r="T30" s="770" t="s">
        <v>17</v>
      </c>
      <c r="U30" s="771">
        <f t="shared" si="11"/>
        <v>100</v>
      </c>
      <c r="V30" s="770" t="s">
        <v>17</v>
      </c>
      <c r="W30" s="771">
        <f t="shared" si="12"/>
        <v>100</v>
      </c>
      <c r="X30" s="1791"/>
      <c r="Y30" s="3650"/>
      <c r="Z30" s="1792" t="str">
        <f t="shared" si="13"/>
        <v>土地级别</v>
      </c>
      <c r="AA30" s="1789">
        <f t="shared" si="3"/>
        <v>1</v>
      </c>
      <c r="AB30" s="1789">
        <f t="shared" si="4"/>
        <v>1</v>
      </c>
      <c r="AC30" s="1789">
        <f t="shared" si="5"/>
        <v>1</v>
      </c>
    </row>
    <row r="31" spans="1:29" ht="15">
      <c r="A31" s="403"/>
      <c r="B31" s="264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2"/>
      <c r="M31" s="1113"/>
      <c r="N31" s="1113"/>
      <c r="O31" s="1121"/>
      <c r="P31" s="3650"/>
      <c r="Q31" s="1788">
        <f t="shared" si="8"/>
        <v>111</v>
      </c>
      <c r="R31" s="770" t="s">
        <v>17</v>
      </c>
      <c r="S31" s="771">
        <f t="shared" si="10"/>
        <v>100</v>
      </c>
      <c r="T31" s="770" t="s">
        <v>17</v>
      </c>
      <c r="U31" s="771">
        <f t="shared" si="11"/>
        <v>100</v>
      </c>
      <c r="V31" s="770" t="s">
        <v>17</v>
      </c>
      <c r="W31" s="771">
        <f t="shared" si="12"/>
        <v>100</v>
      </c>
      <c r="X31" s="1791"/>
      <c r="Y31" s="3650"/>
      <c r="Z31" s="1792">
        <f t="shared" si="13"/>
        <v>111</v>
      </c>
      <c r="AA31" s="1789">
        <f t="shared" si="3"/>
        <v>1</v>
      </c>
      <c r="AB31" s="1789">
        <f t="shared" si="4"/>
        <v>1</v>
      </c>
      <c r="AC31" s="1789">
        <f t="shared" si="5"/>
        <v>1</v>
      </c>
    </row>
    <row r="32" spans="1:29" ht="15">
      <c r="A32" s="674"/>
      <c r="B32" s="268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2"/>
      <c r="M32" s="1113"/>
      <c r="N32" s="1113"/>
      <c r="O32" s="1121"/>
      <c r="P32" s="3727" t="s">
        <v>2548</v>
      </c>
      <c r="Q32" s="1788">
        <f t="shared" si="8"/>
        <v>111</v>
      </c>
      <c r="R32" s="770" t="s">
        <v>17</v>
      </c>
      <c r="S32" s="771">
        <f t="shared" si="10"/>
        <v>100</v>
      </c>
      <c r="T32" s="770" t="s">
        <v>17</v>
      </c>
      <c r="U32" s="771">
        <f t="shared" si="11"/>
        <v>100</v>
      </c>
      <c r="V32" s="770" t="s">
        <v>17</v>
      </c>
      <c r="W32" s="771">
        <f t="shared" si="12"/>
        <v>100</v>
      </c>
      <c r="X32" s="1791"/>
      <c r="Y32" s="3654" t="s">
        <v>2548</v>
      </c>
      <c r="Z32" s="1792">
        <f t="shared" si="13"/>
        <v>111</v>
      </c>
      <c r="AA32" s="1789">
        <f t="shared" si="3"/>
        <v>1</v>
      </c>
      <c r="AB32" s="1789">
        <f t="shared" si="4"/>
        <v>1</v>
      </c>
      <c r="AC32" s="1789">
        <f t="shared" si="5"/>
        <v>1</v>
      </c>
    </row>
    <row r="33" spans="1:29" s="470" customFormat="1" ht="15.6" thickBot="1">
      <c r="A33" s="675"/>
      <c r="B33" s="2683">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0"/>
      <c r="M33" s="1123"/>
      <c r="N33" s="1123"/>
      <c r="O33" s="1124"/>
      <c r="P33" s="3654"/>
      <c r="Q33" s="1788">
        <f t="shared" si="8"/>
        <v>111</v>
      </c>
      <c r="R33" s="773" t="s">
        <v>17</v>
      </c>
      <c r="S33" s="774">
        <f t="shared" si="10"/>
        <v>100</v>
      </c>
      <c r="T33" s="773" t="s">
        <v>17</v>
      </c>
      <c r="U33" s="774">
        <f t="shared" si="11"/>
        <v>100</v>
      </c>
      <c r="V33" s="773" t="s">
        <v>17</v>
      </c>
      <c r="W33" s="774">
        <f t="shared" si="12"/>
        <v>100</v>
      </c>
      <c r="X33" s="775"/>
      <c r="Y33" s="3654"/>
      <c r="Z33" s="776">
        <f t="shared" si="13"/>
        <v>111</v>
      </c>
      <c r="AA33" s="1789">
        <f t="shared" si="3"/>
        <v>1</v>
      </c>
      <c r="AB33" s="1789">
        <f t="shared" si="4"/>
        <v>1</v>
      </c>
      <c r="AC33" s="1789">
        <f t="shared" si="5"/>
        <v>1</v>
      </c>
    </row>
    <row r="34" spans="1:29" ht="15">
      <c r="A34" s="439" t="s">
        <v>2546</v>
      </c>
      <c r="B34" s="455" t="s">
        <v>2730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2"/>
      <c r="M34" s="1113"/>
      <c r="N34" s="1113"/>
      <c r="O34" s="1121"/>
      <c r="P34" s="3654"/>
      <c r="Q34" s="1788" t="str">
        <f>B34</f>
        <v>宗地面积</v>
      </c>
      <c r="R34" s="770" t="s">
        <v>17</v>
      </c>
      <c r="S34" s="771" t="e">
        <f t="shared" si="10"/>
        <v>#N/A</v>
      </c>
      <c r="T34" s="770" t="s">
        <v>17</v>
      </c>
      <c r="U34" s="771" t="e">
        <f t="shared" si="11"/>
        <v>#N/A</v>
      </c>
      <c r="V34" s="770" t="s">
        <v>17</v>
      </c>
      <c r="W34" s="771" t="e">
        <f t="shared" si="12"/>
        <v>#N/A</v>
      </c>
      <c r="X34" s="1791"/>
      <c r="Y34" s="3654"/>
      <c r="Z34" s="1792" t="str">
        <f t="shared" si="13"/>
        <v>宗地面积</v>
      </c>
      <c r="AA34" s="1789" t="e">
        <f t="shared" si="3"/>
        <v>#N/A</v>
      </c>
      <c r="AB34" s="1789" t="e">
        <f t="shared" si="4"/>
        <v>#N/A</v>
      </c>
      <c r="AC34" s="1789" t="e">
        <f t="shared" si="5"/>
        <v>#N/A</v>
      </c>
    </row>
    <row r="35" spans="1:29" ht="15">
      <c r="A35" s="471"/>
      <c r="B35" s="421" t="s">
        <v>2731</v>
      </c>
      <c r="C35" s="2583"/>
      <c r="D35" s="434">
        <v>100</v>
      </c>
      <c r="E35" s="2583"/>
      <c r="F35" s="434">
        <f>SUMIF(110:110,E35,111:111)-SUMIF(110:110,C35,111:111)+100</f>
        <v>100</v>
      </c>
      <c r="G35" s="2583"/>
      <c r="H35" s="434">
        <f>SUMIF(110:110,G35,111:111)-SUMIF(110:110,C35,111:111)+100</f>
        <v>100</v>
      </c>
      <c r="I35" s="2583"/>
      <c r="J35" s="434">
        <f>SUMIF(110:110,I35,111:111)-SUMIF(110:110,C35,111:111)+100</f>
        <v>100</v>
      </c>
      <c r="K35" s="611"/>
      <c r="L35" s="1122"/>
      <c r="M35" s="1113"/>
      <c r="N35" s="1113"/>
      <c r="O35" s="1121"/>
      <c r="P35" s="3654"/>
      <c r="Q35" s="1788" t="str">
        <f t="shared" ref="Q35:Q40" si="14">B35</f>
        <v>宗地形状</v>
      </c>
      <c r="R35" s="770" t="s">
        <v>17</v>
      </c>
      <c r="S35" s="771">
        <f t="shared" si="10"/>
        <v>100</v>
      </c>
      <c r="T35" s="770" t="s">
        <v>17</v>
      </c>
      <c r="U35" s="771">
        <f t="shared" si="11"/>
        <v>100</v>
      </c>
      <c r="V35" s="770" t="s">
        <v>17</v>
      </c>
      <c r="W35" s="771">
        <f t="shared" si="12"/>
        <v>100</v>
      </c>
      <c r="X35" s="1791"/>
      <c r="Y35" s="3654"/>
      <c r="Z35" s="1792" t="str">
        <f t="shared" si="13"/>
        <v>宗地形状</v>
      </c>
      <c r="AA35" s="1789">
        <f t="shared" si="3"/>
        <v>1</v>
      </c>
      <c r="AB35" s="1789">
        <f t="shared" si="4"/>
        <v>1</v>
      </c>
      <c r="AC35" s="1789">
        <f t="shared" si="5"/>
        <v>1</v>
      </c>
    </row>
    <row r="36" spans="1:29" s="117" customFormat="1" ht="15">
      <c r="A36" s="472"/>
      <c r="B36" s="421" t="s">
        <v>2732</v>
      </c>
      <c r="C36" s="2672"/>
      <c r="D36" s="136">
        <v>100</v>
      </c>
      <c r="E36" s="2672"/>
      <c r="F36" s="434">
        <f>SUMIF(112:112,E36,113:113)-SUMIF(112:112,C36,113:113)+100</f>
        <v>100</v>
      </c>
      <c r="G36" s="2672"/>
      <c r="H36" s="434">
        <f>SUMIF(112:112,G36,113:113)-SUMIF(112:112,C36,113:113)+100</f>
        <v>100</v>
      </c>
      <c r="I36" s="2672"/>
      <c r="J36" s="434">
        <f>SUMIF(112:112,I36,113:113)-SUMIF(112:112,C36,113:113)+100</f>
        <v>100</v>
      </c>
      <c r="K36" s="611"/>
      <c r="L36" s="1114"/>
      <c r="M36" s="1115"/>
      <c r="N36" s="1115"/>
      <c r="O36" s="1116"/>
      <c r="P36" s="3654"/>
      <c r="Q36" s="1788" t="str">
        <f t="shared" si="14"/>
        <v>宗地开发程度</v>
      </c>
      <c r="R36" s="766" t="s">
        <v>17</v>
      </c>
      <c r="S36" s="767">
        <f t="shared" si="10"/>
        <v>100</v>
      </c>
      <c r="T36" s="766" t="s">
        <v>17</v>
      </c>
      <c r="U36" s="767">
        <f t="shared" si="11"/>
        <v>100</v>
      </c>
      <c r="V36" s="766" t="s">
        <v>17</v>
      </c>
      <c r="W36" s="767">
        <f t="shared" si="12"/>
        <v>100</v>
      </c>
      <c r="X36" s="768"/>
      <c r="Y36" s="3654"/>
      <c r="Z36" s="55" t="str">
        <f t="shared" si="13"/>
        <v>宗地开发程度</v>
      </c>
      <c r="AA36" s="769">
        <f t="shared" si="3"/>
        <v>1</v>
      </c>
      <c r="AB36" s="769">
        <f t="shared" si="4"/>
        <v>1</v>
      </c>
      <c r="AC36" s="769">
        <f t="shared" si="5"/>
        <v>1</v>
      </c>
    </row>
    <row r="37" spans="1:29" ht="15">
      <c r="A37" s="471"/>
      <c r="B37" s="421" t="s">
        <v>2733</v>
      </c>
      <c r="C37" s="2583"/>
      <c r="D37" s="434">
        <v>100</v>
      </c>
      <c r="E37" s="2583"/>
      <c r="F37" s="434">
        <f>SUMIF(114:114,E37,115:115)-SUMIF(114:114,C37,115:115)+100</f>
        <v>100</v>
      </c>
      <c r="G37" s="2583"/>
      <c r="H37" s="434">
        <f>SUMIF(114:114,G37,115:115)-SUMIF(114:114,C37,115:115)+100</f>
        <v>100</v>
      </c>
      <c r="I37" s="2583"/>
      <c r="J37" s="434">
        <f>SUMIF(114:114,I37,115:115)-SUMIF(114:114,C37,115:115)+100</f>
        <v>100</v>
      </c>
      <c r="K37" s="611"/>
      <c r="L37" s="1122"/>
      <c r="M37" s="1113"/>
      <c r="N37" s="1113"/>
      <c r="O37" s="1121"/>
      <c r="P37" s="3654" t="s">
        <v>2548</v>
      </c>
      <c r="Q37" s="1788" t="str">
        <f t="shared" si="14"/>
        <v>工程地质条件</v>
      </c>
      <c r="R37" s="770" t="s">
        <v>17</v>
      </c>
      <c r="S37" s="771">
        <f t="shared" si="10"/>
        <v>100</v>
      </c>
      <c r="T37" s="770" t="s">
        <v>17</v>
      </c>
      <c r="U37" s="771">
        <f t="shared" si="11"/>
        <v>100</v>
      </c>
      <c r="V37" s="770" t="s">
        <v>17</v>
      </c>
      <c r="W37" s="771">
        <f t="shared" si="12"/>
        <v>100</v>
      </c>
      <c r="X37" s="1791"/>
      <c r="Y37" s="3654" t="s">
        <v>2548</v>
      </c>
      <c r="Z37" s="1792" t="str">
        <f t="shared" si="13"/>
        <v>工程地质条件</v>
      </c>
      <c r="AA37" s="1789">
        <f t="shared" si="3"/>
        <v>1</v>
      </c>
      <c r="AB37" s="1789">
        <f t="shared" si="4"/>
        <v>1</v>
      </c>
      <c r="AC37" s="1789">
        <f t="shared" si="5"/>
        <v>1</v>
      </c>
    </row>
    <row r="38" spans="1:29" ht="15">
      <c r="A38" s="471"/>
      <c r="B38" s="136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2"/>
      <c r="M38" s="1113"/>
      <c r="N38" s="1113"/>
      <c r="O38" s="1121"/>
      <c r="P38" s="3654"/>
      <c r="Q38" s="1788">
        <f t="shared" si="14"/>
        <v>111</v>
      </c>
      <c r="R38" s="770" t="s">
        <v>17</v>
      </c>
      <c r="S38" s="771">
        <f t="shared" si="10"/>
        <v>100</v>
      </c>
      <c r="T38" s="770" t="s">
        <v>17</v>
      </c>
      <c r="U38" s="771">
        <f t="shared" si="11"/>
        <v>100</v>
      </c>
      <c r="V38" s="770" t="s">
        <v>17</v>
      </c>
      <c r="W38" s="771">
        <f t="shared" si="12"/>
        <v>100</v>
      </c>
      <c r="X38" s="1791"/>
      <c r="Y38" s="3654"/>
      <c r="Z38" s="1792">
        <f t="shared" si="13"/>
        <v>111</v>
      </c>
      <c r="AA38" s="1789">
        <f t="shared" si="3"/>
        <v>1</v>
      </c>
      <c r="AB38" s="1789">
        <f t="shared" si="4"/>
        <v>1</v>
      </c>
      <c r="AC38" s="1789">
        <f t="shared" si="5"/>
        <v>1</v>
      </c>
    </row>
    <row r="39" spans="1:29" ht="15">
      <c r="A39" s="471"/>
      <c r="B39" s="136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2"/>
      <c r="M39" s="1113"/>
      <c r="N39" s="1113"/>
      <c r="O39" s="1121"/>
      <c r="P39" s="3654"/>
      <c r="Q39" s="1788">
        <f t="shared" si="14"/>
        <v>111</v>
      </c>
      <c r="R39" s="770" t="s">
        <v>17</v>
      </c>
      <c r="S39" s="771">
        <f t="shared" si="10"/>
        <v>100</v>
      </c>
      <c r="T39" s="770" t="s">
        <v>17</v>
      </c>
      <c r="U39" s="771">
        <f t="shared" si="11"/>
        <v>100</v>
      </c>
      <c r="V39" s="770" t="s">
        <v>17</v>
      </c>
      <c r="W39" s="771">
        <f t="shared" si="12"/>
        <v>100</v>
      </c>
      <c r="X39" s="1791"/>
      <c r="Y39" s="3654"/>
      <c r="Z39" s="1792">
        <f t="shared" si="13"/>
        <v>111</v>
      </c>
      <c r="AA39" s="1789">
        <f t="shared" si="3"/>
        <v>1</v>
      </c>
      <c r="AB39" s="1789">
        <f t="shared" si="4"/>
        <v>1</v>
      </c>
      <c r="AC39" s="1789">
        <f t="shared" si="5"/>
        <v>1</v>
      </c>
    </row>
    <row r="40" spans="1:29" s="470" customFormat="1" ht="15.6" thickBot="1">
      <c r="A40" s="467"/>
      <c r="B40" s="1368">
        <v>111</v>
      </c>
      <c r="C40" s="2673"/>
      <c r="D40" s="137">
        <v>100</v>
      </c>
      <c r="E40" s="673"/>
      <c r="F40" s="437">
        <f>SUMIF(120:120,E40,121:121)-SUMIF(120:120,C40,121:121)+100</f>
        <v>100</v>
      </c>
      <c r="G40" s="673"/>
      <c r="H40" s="437">
        <f>SUMIF(120:120,G40,121:121)-SUMIF(120:120,C40,121:121)+100</f>
        <v>100</v>
      </c>
      <c r="I40" s="548"/>
      <c r="J40" s="437">
        <f>SUMIF(120:120,I40,121:121)-SUMIF(120:120,C40,121:121)+100</f>
        <v>100</v>
      </c>
      <c r="K40" s="679"/>
      <c r="L40" s="1120"/>
      <c r="M40" s="1123"/>
      <c r="N40" s="1123"/>
      <c r="O40" s="1124"/>
      <c r="P40" s="3654"/>
      <c r="Q40" s="1788">
        <f t="shared" si="14"/>
        <v>111</v>
      </c>
      <c r="R40" s="773" t="s">
        <v>17</v>
      </c>
      <c r="S40" s="774">
        <f t="shared" si="10"/>
        <v>100</v>
      </c>
      <c r="T40" s="773" t="s">
        <v>17</v>
      </c>
      <c r="U40" s="774">
        <f t="shared" si="11"/>
        <v>100</v>
      </c>
      <c r="V40" s="773" t="s">
        <v>17</v>
      </c>
      <c r="W40" s="774">
        <f t="shared" si="12"/>
        <v>100</v>
      </c>
      <c r="X40" s="775"/>
      <c r="Y40" s="3654"/>
      <c r="Z40" s="776">
        <f t="shared" si="13"/>
        <v>111</v>
      </c>
      <c r="AA40" s="1789">
        <f t="shared" si="3"/>
        <v>1</v>
      </c>
      <c r="AB40" s="1789">
        <f t="shared" si="4"/>
        <v>1</v>
      </c>
      <c r="AC40" s="1789">
        <f t="shared" si="5"/>
        <v>1</v>
      </c>
    </row>
    <row r="41" spans="1:29" ht="14.4">
      <c r="A41" s="478" t="s">
        <v>2703</v>
      </c>
      <c r="B41" s="2674" t="s">
        <v>2773</v>
      </c>
      <c r="C41" s="680" t="s">
        <v>1</v>
      </c>
      <c r="D41" s="480"/>
      <c r="E41" s="481"/>
      <c r="F41" s="482"/>
      <c r="G41" s="483"/>
      <c r="H41" s="484"/>
      <c r="I41" s="481"/>
      <c r="J41" s="484"/>
      <c r="K41" s="779"/>
      <c r="L41" s="1125"/>
      <c r="M41" s="1113"/>
      <c r="N41" s="1113"/>
      <c r="O41" s="1126"/>
      <c r="P41" s="3642" t="str">
        <f>A41</f>
        <v>成交单价</v>
      </c>
      <c r="Q41" s="3642"/>
      <c r="R41" s="3656">
        <f>E41</f>
        <v>0</v>
      </c>
      <c r="S41" s="3656"/>
      <c r="T41" s="3656">
        <f>G41</f>
        <v>0</v>
      </c>
      <c r="U41" s="3656"/>
      <c r="V41" s="3656">
        <f>I41</f>
        <v>0</v>
      </c>
      <c r="W41" s="3656"/>
      <c r="X41" s="755"/>
      <c r="Y41" s="777"/>
      <c r="Z41" s="755"/>
      <c r="AA41" s="755"/>
      <c r="AB41" s="755"/>
      <c r="AC41" s="755"/>
    </row>
    <row r="42" spans="1:29" ht="15" thickBot="1">
      <c r="A42" s="485" t="s">
        <v>2652</v>
      </c>
      <c r="B42" s="681"/>
      <c r="C42" s="489" t="e">
        <f>R43</f>
        <v>#DIV/0!</v>
      </c>
      <c r="D42" s="488"/>
      <c r="E42" s="489" t="e">
        <f>R42</f>
        <v>#DIV/0!</v>
      </c>
      <c r="F42" s="490"/>
      <c r="G42" s="487" t="e">
        <f>T42</f>
        <v>#DIV/0!</v>
      </c>
      <c r="H42" s="488"/>
      <c r="I42" s="489" t="e">
        <f>V42</f>
        <v>#DIV/0!</v>
      </c>
      <c r="J42" s="488"/>
      <c r="K42" s="780"/>
      <c r="L42" s="1125"/>
      <c r="M42" s="1113"/>
      <c r="N42" s="1113"/>
      <c r="O42" s="1126"/>
      <c r="P42" s="3642" t="str">
        <f>A42</f>
        <v>比较价值（元/平方米）</v>
      </c>
      <c r="Q42" s="3642"/>
      <c r="R42" s="3735" t="e">
        <f>ROUND(PRODUCT(R41,AA7:AA40),0)</f>
        <v>#DIV/0!</v>
      </c>
      <c r="S42" s="3735"/>
      <c r="T42" s="3735" t="e">
        <f>ROUND(PRODUCT(T41,AB7:AB40),0)</f>
        <v>#DIV/0!</v>
      </c>
      <c r="U42" s="3735"/>
      <c r="V42" s="3735" t="e">
        <f>ROUND(PRODUCT(V41,AC7:AC40),0)</f>
        <v>#DIV/0!</v>
      </c>
      <c r="W42" s="3735"/>
      <c r="X42" s="755"/>
      <c r="Y42" s="755"/>
      <c r="Z42" s="755"/>
      <c r="AA42" s="755"/>
      <c r="AB42" s="755"/>
      <c r="AC42" s="755"/>
    </row>
    <row r="43" spans="1:29" ht="15" thickBot="1">
      <c r="A43" s="491" t="s">
        <v>2653</v>
      </c>
      <c r="B43" s="492"/>
      <c r="C43" s="493" t="e">
        <f>R43</f>
        <v>#DIV/0!</v>
      </c>
      <c r="D43" s="493"/>
      <c r="E43" s="493"/>
      <c r="F43" s="493"/>
      <c r="G43" s="493"/>
      <c r="H43" s="493"/>
      <c r="I43" s="493"/>
      <c r="J43" s="493"/>
      <c r="K43" s="781"/>
      <c r="L43" s="1125"/>
      <c r="M43" s="1113"/>
      <c r="N43" s="1113"/>
      <c r="O43" s="1126"/>
      <c r="P43" s="3644" t="str">
        <f>A43</f>
        <v>估价对象XX用房的比较价值（楼面单价，元/平方米）</v>
      </c>
      <c r="Q43" s="3645"/>
      <c r="R43" s="3734" t="e">
        <f>ROUND(AVERAGE(R42:V42),0)</f>
        <v>#DIV/0!</v>
      </c>
      <c r="S43" s="3734"/>
      <c r="T43" s="3734"/>
      <c r="U43" s="3734"/>
      <c r="V43" s="3734"/>
      <c r="W43" s="3734"/>
      <c r="X43" s="755"/>
      <c r="Y43" s="755"/>
      <c r="Z43" s="755"/>
      <c r="AA43" s="755"/>
      <c r="AB43" s="755"/>
      <c r="AC43" s="755"/>
    </row>
    <row r="44" spans="1:29">
      <c r="A44" s="1126"/>
      <c r="B44" s="1126"/>
      <c r="C44" s="1126"/>
      <c r="D44" s="1126"/>
      <c r="E44" s="1126"/>
      <c r="F44" s="1126"/>
      <c r="G44" s="1129"/>
      <c r="H44" s="1126"/>
      <c r="I44" s="1126"/>
      <c r="J44" s="1126"/>
      <c r="K44" s="1094"/>
      <c r="L44" s="1095"/>
      <c r="M44" s="1113"/>
      <c r="N44" s="1113"/>
      <c r="O44" s="1126"/>
    </row>
    <row r="45" spans="1:29">
      <c r="A45" s="1126"/>
      <c r="B45" s="1126"/>
      <c r="C45" s="1126"/>
      <c r="D45" s="1126"/>
      <c r="E45" s="1126"/>
      <c r="F45" s="1126"/>
      <c r="G45" s="1126"/>
      <c r="H45" s="1126"/>
      <c r="I45" s="1126"/>
      <c r="J45" s="1126"/>
      <c r="K45" s="1094"/>
      <c r="L45" s="1095"/>
      <c r="M45" s="1113"/>
      <c r="N45" s="1113"/>
      <c r="O45" s="1126"/>
    </row>
    <row r="46" spans="1:29" ht="13.5" customHeight="1">
      <c r="A46" s="1126"/>
      <c r="B46" s="1126"/>
      <c r="C46" s="496" t="s">
        <v>2654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4"/>
      <c r="L46" s="1095"/>
      <c r="M46" s="1113"/>
      <c r="N46" s="1113"/>
      <c r="O46" s="1126"/>
    </row>
    <row r="47" spans="1:29" ht="13.5" customHeight="1">
      <c r="A47" s="1126"/>
      <c r="B47" s="1126"/>
      <c r="C47" s="496" t="s">
        <v>2655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4"/>
      <c r="L47" s="1095"/>
      <c r="M47" s="1126"/>
      <c r="N47" s="1126"/>
      <c r="O47" s="1126"/>
    </row>
    <row r="48" spans="1:29" s="501" customFormat="1" ht="13.5" customHeight="1">
      <c r="A48" s="1127"/>
      <c r="B48" s="1127"/>
      <c r="C48" s="496" t="s">
        <v>2656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0"/>
      <c r="L48" s="1131"/>
      <c r="M48" s="1127"/>
      <c r="N48" s="1127"/>
      <c r="O48" s="1127"/>
    </row>
    <row r="49" spans="1:17" s="501" customFormat="1" ht="14.4" thickBot="1">
      <c r="A49" s="1127"/>
      <c r="B49" s="1128"/>
      <c r="C49" s="758"/>
      <c r="D49" s="756"/>
      <c r="E49" s="756"/>
      <c r="F49" s="756"/>
      <c r="G49" s="756"/>
      <c r="H49" s="756"/>
      <c r="I49" s="756"/>
      <c r="J49" s="756"/>
      <c r="K49" s="1130"/>
      <c r="L49" s="1131"/>
      <c r="M49" s="1127"/>
      <c r="N49" s="1127"/>
      <c r="O49" s="1127"/>
    </row>
    <row r="50" spans="1:17" ht="28.8">
      <c r="A50" s="682" t="s">
        <v>2735</v>
      </c>
      <c r="B50" s="683" t="s">
        <v>2736</v>
      </c>
      <c r="C50" s="2675" t="s">
        <v>2737</v>
      </c>
      <c r="D50" s="2676" t="s">
        <v>2738</v>
      </c>
      <c r="E50" s="684" t="s">
        <v>2739</v>
      </c>
      <c r="F50" s="685" t="s">
        <v>2740</v>
      </c>
      <c r="G50" s="3661" t="s">
        <v>2741</v>
      </c>
      <c r="H50" s="3728"/>
      <c r="I50" s="1792" t="s">
        <v>2774</v>
      </c>
      <c r="J50" s="1792" t="str">
        <f>项目基本情况!F35</f>
        <v>四川省</v>
      </c>
      <c r="K50" s="2677" t="s">
        <v>2742</v>
      </c>
      <c r="L50" s="1095"/>
      <c r="M50" s="1126"/>
      <c r="N50" s="1126"/>
      <c r="O50" s="1126"/>
    </row>
    <row r="51" spans="1:17" s="690" customFormat="1">
      <c r="A51" s="686" t="s">
        <v>2743</v>
      </c>
      <c r="B51" s="687" t="e">
        <f>C43</f>
        <v>#DIV/0!</v>
      </c>
      <c r="C51" s="688">
        <v>1</v>
      </c>
      <c r="D51" s="1144">
        <v>1</v>
      </c>
      <c r="E51" s="688">
        <f>'数据-汇总表'!E8+'数据-汇总表'!E9</f>
        <v>128905.37</v>
      </c>
      <c r="F51" s="689" t="e">
        <f t="shared" ref="F51:F60" si="15">ROUND(B51*E51/10000,0)</f>
        <v>#DIV/0!</v>
      </c>
      <c r="G51" s="3657"/>
      <c r="H51" s="3642"/>
      <c r="I51" s="931">
        <v>1</v>
      </c>
      <c r="J51" s="931">
        <v>1</v>
      </c>
      <c r="K51" s="1127"/>
      <c r="L51" s="930"/>
      <c r="M51" s="930"/>
      <c r="N51" s="930"/>
      <c r="O51" s="930"/>
    </row>
    <row r="52" spans="1:17" s="690" customFormat="1">
      <c r="A52" s="691" t="s">
        <v>2744</v>
      </c>
      <c r="B52" s="262" t="e">
        <f>ROUND($C$43*C52*D52,0)</f>
        <v>#DIV/0!</v>
      </c>
      <c r="C52" s="200">
        <f t="shared" ref="C52:C60" si="16">IF($C$50="北京市系数",I52,J52)</f>
        <v>0.7</v>
      </c>
      <c r="D52" s="1145">
        <v>0.25</v>
      </c>
      <c r="E52" s="692"/>
      <c r="F52" s="689" t="e">
        <f t="shared" si="15"/>
        <v>#DIV/0!</v>
      </c>
      <c r="G52" s="3729" t="s">
        <v>2745</v>
      </c>
      <c r="H52" s="1093" t="str">
        <f>项目基本情况!B37</f>
        <v>四级</v>
      </c>
      <c r="I52" s="931">
        <f>SUMIF(修正!A45:A56,H52,修正!B45:B56)</f>
        <v>0.7</v>
      </c>
      <c r="J52" s="932"/>
      <c r="K52" s="1126"/>
      <c r="L52" s="930"/>
      <c r="M52" s="930"/>
      <c r="N52" s="930"/>
      <c r="O52" s="930"/>
    </row>
    <row r="53" spans="1:17" s="690" customFormat="1">
      <c r="A53" s="691" t="s">
        <v>2746</v>
      </c>
      <c r="B53" s="262" t="e">
        <f t="shared" ref="B53:B60" si="17">ROUND($C$43*C53*D53,0)</f>
        <v>#DIV/0!</v>
      </c>
      <c r="C53" s="200">
        <f t="shared" si="16"/>
        <v>0.4</v>
      </c>
      <c r="D53" s="1145">
        <v>0.25</v>
      </c>
      <c r="E53" s="692"/>
      <c r="F53" s="689" t="e">
        <f t="shared" si="15"/>
        <v>#DIV/0!</v>
      </c>
      <c r="G53" s="3729"/>
      <c r="H53" s="1093" t="str">
        <f>项目基本情况!B37</f>
        <v>四级</v>
      </c>
      <c r="I53" s="931">
        <f>SUMIF(修正!A45:A56,H53,修正!C45:C56)</f>
        <v>0.4</v>
      </c>
      <c r="J53" s="932"/>
      <c r="K53" s="1127"/>
      <c r="L53" s="930"/>
      <c r="M53" s="930"/>
      <c r="N53" s="930"/>
      <c r="O53" s="930"/>
    </row>
    <row r="54" spans="1:17" s="690" customFormat="1">
      <c r="A54" s="691" t="s">
        <v>2747</v>
      </c>
      <c r="B54" s="262" t="e">
        <f t="shared" si="17"/>
        <v>#DIV/0!</v>
      </c>
      <c r="C54" s="200">
        <f t="shared" si="16"/>
        <v>0.28000000000000003</v>
      </c>
      <c r="D54" s="1145">
        <v>0.25</v>
      </c>
      <c r="E54" s="692"/>
      <c r="F54" s="689" t="e">
        <f t="shared" si="15"/>
        <v>#DIV/0!</v>
      </c>
      <c r="G54" s="3729"/>
      <c r="H54" s="1093" t="str">
        <f>项目基本情况!B37</f>
        <v>四级</v>
      </c>
      <c r="I54" s="931">
        <f>SUMIF(修正!A45:A56,H54,修正!D45:D56)</f>
        <v>0.28000000000000003</v>
      </c>
      <c r="J54" s="932"/>
      <c r="K54" s="1126"/>
      <c r="L54" s="930"/>
      <c r="M54" s="930"/>
      <c r="N54" s="930"/>
      <c r="O54" s="930"/>
    </row>
    <row r="55" spans="1:17" s="690" customFormat="1">
      <c r="A55" s="691" t="s">
        <v>2748</v>
      </c>
      <c r="B55" s="262" t="e">
        <f t="shared" si="17"/>
        <v>#DIV/0!</v>
      </c>
      <c r="C55" s="200">
        <f t="shared" si="16"/>
        <v>0.25</v>
      </c>
      <c r="D55" s="1145">
        <v>0.25</v>
      </c>
      <c r="E55" s="692"/>
      <c r="F55" s="689" t="e">
        <f t="shared" si="15"/>
        <v>#DIV/0!</v>
      </c>
      <c r="G55" s="3729"/>
      <c r="H55" s="1093" t="str">
        <f>项目基本情况!B37</f>
        <v>四级</v>
      </c>
      <c r="I55" s="931">
        <f>SUMIF(修正!A45:A56,H55,修正!E45:E56)</f>
        <v>0.25</v>
      </c>
      <c r="J55" s="932"/>
      <c r="K55" s="1127"/>
      <c r="L55" s="930"/>
      <c r="M55" s="930"/>
      <c r="N55" s="930"/>
      <c r="O55" s="930"/>
    </row>
    <row r="56" spans="1:17" s="690" customFormat="1">
      <c r="A56" s="691" t="s">
        <v>2749</v>
      </c>
      <c r="B56" s="262" t="e">
        <f t="shared" si="17"/>
        <v>#DIV/0!</v>
      </c>
      <c r="C56" s="200">
        <f t="shared" si="16"/>
        <v>0.25</v>
      </c>
      <c r="D56" s="1145">
        <v>0.25</v>
      </c>
      <c r="E56" s="261">
        <f>'数据-汇总表'!E11</f>
        <v>0</v>
      </c>
      <c r="F56" s="689" t="e">
        <f t="shared" si="15"/>
        <v>#DIV/0!</v>
      </c>
      <c r="G56" s="2678" t="s">
        <v>2750</v>
      </c>
      <c r="H56" s="1093" t="str">
        <f>项目基本情况!C37</f>
        <v>四级</v>
      </c>
      <c r="I56" s="931">
        <f>SUMIF(修正!A45:A56,H56,修正!F45:F56)</f>
        <v>0.25</v>
      </c>
      <c r="J56" s="932"/>
      <c r="K56" s="1126"/>
      <c r="L56" s="930"/>
      <c r="M56" s="930"/>
      <c r="N56" s="930"/>
      <c r="O56" s="930"/>
    </row>
    <row r="57" spans="1:17" s="690" customFormat="1">
      <c r="A57" s="691" t="s">
        <v>2751</v>
      </c>
      <c r="B57" s="262" t="e">
        <f t="shared" si="17"/>
        <v>#DIV/0!</v>
      </c>
      <c r="C57" s="200">
        <f t="shared" si="16"/>
        <v>0.25</v>
      </c>
      <c r="D57" s="1145">
        <v>0.25</v>
      </c>
      <c r="E57" s="261">
        <f>'数据-汇总表'!E12</f>
        <v>0</v>
      </c>
      <c r="F57" s="689" t="e">
        <f t="shared" si="15"/>
        <v>#DIV/0!</v>
      </c>
      <c r="G57" s="1096" t="s">
        <v>2752</v>
      </c>
      <c r="H57" s="1093" t="str">
        <f>IF(G57="商业",项目基本情况!B37,IF(G57="办公",项目基本情况!C37,IF(G57="住宅",项目基本情况!D37,项目基本情况!E37)))</f>
        <v>四级</v>
      </c>
      <c r="I57" s="931">
        <f>SUMIF(修正!A45:A56,H57,修正!G45:G56)</f>
        <v>0.25</v>
      </c>
      <c r="J57" s="932"/>
      <c r="K57" s="1127"/>
      <c r="L57" s="930"/>
      <c r="M57" s="930"/>
      <c r="N57" s="930"/>
      <c r="O57" s="930"/>
    </row>
    <row r="58" spans="1:17" s="690" customFormat="1">
      <c r="A58" s="691" t="s">
        <v>2753</v>
      </c>
      <c r="B58" s="262" t="e">
        <f t="shared" si="17"/>
        <v>#DIV/0!</v>
      </c>
      <c r="C58" s="200">
        <f t="shared" si="16"/>
        <v>0</v>
      </c>
      <c r="D58" s="1145">
        <v>0.25</v>
      </c>
      <c r="E58" s="261">
        <f>'数据-汇总表'!E13</f>
        <v>34125.879999999997</v>
      </c>
      <c r="F58" s="689" t="e">
        <f t="shared" si="15"/>
        <v>#DIV/0!</v>
      </c>
      <c r="G58" s="1096" t="s">
        <v>2754</v>
      </c>
      <c r="H58" s="1093">
        <f>IF(G58="商业",项目基本情况!B37,IF(G58="办公",项目基本情况!C37,IF(G58="住宅",项目基本情况!D37,项目基本情况!E37)))</f>
        <v>0</v>
      </c>
      <c r="I58" s="931">
        <f>SUMIF(修正!A45:A56,H58,修正!H45:H56)</f>
        <v>0</v>
      </c>
      <c r="J58" s="932"/>
      <c r="K58" s="1126"/>
      <c r="L58" s="930"/>
      <c r="M58" s="930"/>
      <c r="N58" s="930"/>
      <c r="O58" s="930"/>
    </row>
    <row r="59" spans="1:17" s="690" customFormat="1">
      <c r="A59" s="691" t="s">
        <v>2755</v>
      </c>
      <c r="B59" s="262" t="e">
        <f t="shared" si="17"/>
        <v>#DIV/0!</v>
      </c>
      <c r="C59" s="200">
        <f t="shared" si="16"/>
        <v>0.2</v>
      </c>
      <c r="D59" s="1145">
        <v>0.25</v>
      </c>
      <c r="E59" s="261">
        <f>'数据-汇总表'!E14</f>
        <v>0</v>
      </c>
      <c r="F59" s="689" t="e">
        <f t="shared" si="15"/>
        <v>#DIV/0!</v>
      </c>
      <c r="G59" s="2678" t="s">
        <v>2745</v>
      </c>
      <c r="H59" s="1093" t="str">
        <f>项目基本情况!B37</f>
        <v>四级</v>
      </c>
      <c r="I59" s="931">
        <f>SUMIF(修正!A45:A56,H59,修正!H45:H56)</f>
        <v>0.2</v>
      </c>
      <c r="J59" s="932"/>
      <c r="K59" s="1127"/>
      <c r="L59" s="930"/>
      <c r="M59" s="930"/>
      <c r="N59" s="930"/>
      <c r="O59" s="930"/>
    </row>
    <row r="60" spans="1:17" s="690" customFormat="1" ht="14.4" thickBot="1">
      <c r="A60" s="691" t="s">
        <v>2756</v>
      </c>
      <c r="B60" s="262" t="e">
        <f t="shared" si="17"/>
        <v>#DIV/0!</v>
      </c>
      <c r="C60" s="200">
        <f t="shared" si="16"/>
        <v>0.2</v>
      </c>
      <c r="D60" s="1145">
        <v>0.25</v>
      </c>
      <c r="E60" s="261">
        <f>'数据-汇总表'!E15</f>
        <v>0</v>
      </c>
      <c r="F60" s="689" t="e">
        <f t="shared" si="15"/>
        <v>#DIV/0!</v>
      </c>
      <c r="G60" s="2679" t="s">
        <v>2750</v>
      </c>
      <c r="H60" s="1097" t="str">
        <f>项目基本情况!C37</f>
        <v>四级</v>
      </c>
      <c r="I60" s="931">
        <f>SUMIF(修正!A45:A56,H60,修正!H45:H56)</f>
        <v>0.2</v>
      </c>
      <c r="J60" s="932"/>
      <c r="K60" s="1126"/>
      <c r="L60" s="930"/>
      <c r="M60" s="930"/>
      <c r="N60" s="930"/>
      <c r="O60" s="930"/>
    </row>
    <row r="61" spans="1:17" s="690" customFormat="1" ht="14.4" thickBot="1">
      <c r="A61" s="693" t="s">
        <v>2757</v>
      </c>
      <c r="B61" s="694" t="s">
        <v>28</v>
      </c>
      <c r="C61" s="694" t="s">
        <v>29</v>
      </c>
      <c r="D61" s="694" t="s">
        <v>1026</v>
      </c>
      <c r="E61" s="694">
        <f>IF(B41="楼面地价",SUM(E51:E60),'数据-汇总表'!D3)</f>
        <v>12224.89</v>
      </c>
      <c r="F61" s="695" t="e">
        <f>IF(B41="楼面地价",SUM(F51:F60),ROUND(C43*E61/10000,0))</f>
        <v>#DIV/0!</v>
      </c>
      <c r="G61" s="1140"/>
      <c r="H61" s="1140"/>
      <c r="I61" s="1140"/>
      <c r="J61" s="1140"/>
      <c r="K61" s="1094"/>
      <c r="L61" s="930"/>
      <c r="M61" s="930"/>
      <c r="N61" s="930"/>
      <c r="O61" s="930"/>
    </row>
    <row r="62" spans="1:17">
      <c r="A62" s="1126"/>
      <c r="B62" s="1128"/>
      <c r="C62" s="1132"/>
      <c r="D62" s="1126"/>
      <c r="E62" s="1126"/>
      <c r="F62" s="1126"/>
      <c r="G62" s="1126"/>
      <c r="H62" s="1126"/>
      <c r="I62" s="1126"/>
      <c r="J62" s="1126"/>
      <c r="K62" s="1094"/>
      <c r="L62" s="1095"/>
      <c r="M62" s="1126"/>
      <c r="N62" s="1126"/>
      <c r="O62" s="1126"/>
    </row>
    <row r="63" spans="1:17">
      <c r="A63" s="1126"/>
      <c r="B63" s="1128"/>
      <c r="C63" s="757" t="str">
        <f>YEAR(C7)&amp;"-"&amp;MONTH(C7)&amp;"-1"</f>
        <v>2020-3-1</v>
      </c>
      <c r="D63" s="757">
        <f>EDATE(C63,-3)</f>
        <v>43800</v>
      </c>
      <c r="E63" s="757">
        <f>EDATE(D63,-3)</f>
        <v>43709</v>
      </c>
      <c r="F63" s="757">
        <f t="shared" ref="F63:O63" si="18">EDATE(E63,-3)</f>
        <v>43617</v>
      </c>
      <c r="G63" s="757">
        <f t="shared" si="18"/>
        <v>43525</v>
      </c>
      <c r="H63" s="757">
        <f t="shared" si="18"/>
        <v>43435</v>
      </c>
      <c r="I63" s="757">
        <f t="shared" si="18"/>
        <v>43344</v>
      </c>
      <c r="J63" s="757">
        <f t="shared" si="18"/>
        <v>43252</v>
      </c>
      <c r="K63" s="757">
        <f t="shared" si="18"/>
        <v>43160</v>
      </c>
      <c r="L63" s="757">
        <f t="shared" si="18"/>
        <v>43070</v>
      </c>
      <c r="M63" s="757">
        <f t="shared" si="18"/>
        <v>42979</v>
      </c>
      <c r="N63" s="757">
        <f t="shared" si="18"/>
        <v>42887</v>
      </c>
      <c r="O63" s="757">
        <f t="shared" si="18"/>
        <v>42795</v>
      </c>
    </row>
    <row r="64" spans="1:17" ht="22.2" thickBot="1">
      <c r="A64" s="759" t="s">
        <v>2657</v>
      </c>
      <c r="B64" s="755"/>
      <c r="C64" s="760"/>
      <c r="D64" s="760"/>
      <c r="E64" s="760"/>
      <c r="F64" s="761"/>
      <c r="G64" s="761"/>
      <c r="H64" s="760"/>
      <c r="I64" s="760"/>
      <c r="J64" s="760"/>
      <c r="K64" s="762"/>
      <c r="L64" s="763"/>
      <c r="M64" s="760"/>
      <c r="N64" s="760"/>
      <c r="O64" s="1141"/>
      <c r="P64" s="502"/>
      <c r="Q64" s="503"/>
    </row>
    <row r="65" spans="1:17" s="507" customFormat="1" ht="14.4">
      <c r="A65" s="2680" t="s">
        <v>2758</v>
      </c>
      <c r="B65" s="1340"/>
      <c r="C65" s="1551" t="str">
        <f>YEAR(C63)&amp;"-"&amp;ROUNDUP(MONTH(C63)/3,0)</f>
        <v>2020-1</v>
      </c>
      <c r="D65" s="1551" t="str">
        <f t="shared" ref="D65:O65" si="19">YEAR(D63)&amp;"-"&amp;ROUNDUP(MONTH(D63)/3,0)</f>
        <v>2019-4</v>
      </c>
      <c r="E65" s="1551" t="str">
        <f t="shared" si="19"/>
        <v>2019-3</v>
      </c>
      <c r="F65" s="1551" t="str">
        <f t="shared" si="19"/>
        <v>2019-2</v>
      </c>
      <c r="G65" s="1551" t="str">
        <f t="shared" si="19"/>
        <v>2019-1</v>
      </c>
      <c r="H65" s="1551" t="str">
        <f t="shared" si="19"/>
        <v>2018-4</v>
      </c>
      <c r="I65" s="1551" t="str">
        <f t="shared" si="19"/>
        <v>2018-3</v>
      </c>
      <c r="J65" s="1551" t="str">
        <f t="shared" si="19"/>
        <v>2018-2</v>
      </c>
      <c r="K65" s="1551" t="str">
        <f t="shared" si="19"/>
        <v>2018-1</v>
      </c>
      <c r="L65" s="1551" t="str">
        <f t="shared" si="19"/>
        <v>2017-4</v>
      </c>
      <c r="M65" s="1551" t="str">
        <f t="shared" si="19"/>
        <v>2017-3</v>
      </c>
      <c r="N65" s="1551" t="str">
        <f t="shared" si="19"/>
        <v>2017-2</v>
      </c>
      <c r="O65" s="1551" t="str">
        <f t="shared" si="19"/>
        <v>2017-1</v>
      </c>
      <c r="P65" s="506"/>
    </row>
    <row r="66" spans="1:17" s="117" customFormat="1" ht="30.75" customHeight="1">
      <c r="A66" s="2684" t="s">
        <v>2775</v>
      </c>
      <c r="B66" s="332" t="str">
        <f>"北京市平均增长率"&amp;TEXT(基准地价修正!P24,"0.00%")</f>
        <v>北京市平均增长率0.00%</v>
      </c>
      <c r="C66" s="602">
        <v>100</v>
      </c>
      <c r="D66" s="594"/>
      <c r="E66" s="594"/>
      <c r="F66" s="594"/>
      <c r="G66" s="594"/>
      <c r="H66" s="594"/>
      <c r="I66" s="594"/>
      <c r="J66" s="594"/>
      <c r="K66" s="594"/>
      <c r="L66" s="594"/>
      <c r="M66" s="1547"/>
      <c r="N66" s="1547"/>
      <c r="O66" s="1548"/>
      <c r="P66" s="503"/>
    </row>
    <row r="67" spans="1:17" s="117" customFormat="1" ht="15" thickBot="1">
      <c r="A67" s="514" t="s">
        <v>2568</v>
      </c>
      <c r="B67" s="515"/>
      <c r="C67" s="516"/>
      <c r="D67" s="517"/>
      <c r="E67" s="517"/>
      <c r="F67" s="517"/>
      <c r="G67" s="517"/>
      <c r="H67" s="517"/>
      <c r="I67" s="517"/>
      <c r="J67" s="517"/>
      <c r="K67" s="517"/>
      <c r="L67" s="517"/>
      <c r="M67" s="518"/>
      <c r="N67" s="518"/>
      <c r="O67" s="519"/>
      <c r="P67" s="503"/>
      <c r="Q67" s="503"/>
    </row>
    <row r="68" spans="1:17" s="117" customFormat="1" ht="14.4">
      <c r="A68" s="520" t="s">
        <v>2533</v>
      </c>
      <c r="B68" s="509"/>
      <c r="C68" s="521" t="s">
        <v>2635</v>
      </c>
      <c r="D68" s="522"/>
      <c r="E68" s="522"/>
      <c r="F68" s="522"/>
      <c r="G68" s="522"/>
      <c r="H68" s="522"/>
      <c r="I68" s="522"/>
      <c r="J68" s="522"/>
      <c r="K68" s="522"/>
      <c r="L68" s="523"/>
      <c r="M68" s="524"/>
      <c r="N68" s="1133"/>
      <c r="O68" s="1133"/>
      <c r="P68" s="525"/>
      <c r="Q68" s="503"/>
    </row>
    <row r="69" spans="1:17" s="117" customFormat="1" ht="14.4" thickBot="1">
      <c r="A69" s="520"/>
      <c r="B69" s="509"/>
      <c r="C69" s="638">
        <v>100</v>
      </c>
      <c r="D69" s="511"/>
      <c r="E69" s="511"/>
      <c r="F69" s="511"/>
      <c r="G69" s="511"/>
      <c r="H69" s="511"/>
      <c r="I69" s="511"/>
      <c r="J69" s="511"/>
      <c r="K69" s="511"/>
      <c r="L69" s="511"/>
      <c r="M69" s="513"/>
      <c r="N69" s="1133"/>
      <c r="O69" s="1133"/>
      <c r="P69" s="503"/>
      <c r="Q69" s="503"/>
    </row>
    <row r="70" spans="1:17" ht="14.4">
      <c r="A70" s="526" t="s">
        <v>2571</v>
      </c>
      <c r="B70" s="527" t="s">
        <v>2537</v>
      </c>
      <c r="C70" s="529"/>
      <c r="D70" s="529"/>
      <c r="E70" s="529"/>
      <c r="F70" s="529"/>
      <c r="G70" s="529"/>
      <c r="H70" s="529"/>
      <c r="I70" s="529"/>
      <c r="J70" s="529"/>
      <c r="K70" s="530"/>
      <c r="L70" s="531"/>
      <c r="M70" s="532"/>
      <c r="N70" s="1134"/>
      <c r="O70" s="1134"/>
      <c r="P70" s="45"/>
      <c r="Q70" s="503"/>
    </row>
    <row r="71" spans="1:17" ht="14.4" thickBot="1">
      <c r="A71" s="533"/>
      <c r="B71" s="534"/>
      <c r="C71" s="535"/>
      <c r="D71" s="535"/>
      <c r="E71" s="535"/>
      <c r="F71" s="535"/>
      <c r="G71" s="535"/>
      <c r="H71" s="535"/>
      <c r="I71" s="535"/>
      <c r="J71" s="535"/>
      <c r="K71" s="535"/>
      <c r="L71" s="535"/>
      <c r="M71" s="536"/>
      <c r="N71" s="1135"/>
      <c r="O71" s="1135"/>
      <c r="P71" s="45"/>
      <c r="Q71" s="503"/>
    </row>
    <row r="72" spans="1:17" ht="29.4" thickTop="1">
      <c r="A72" s="533"/>
      <c r="B72" s="537" t="s">
        <v>2540</v>
      </c>
      <c r="C72" s="538"/>
      <c r="D72" s="538"/>
      <c r="E72" s="538"/>
      <c r="F72" s="538"/>
      <c r="G72" s="538"/>
      <c r="H72" s="538"/>
      <c r="I72" s="538"/>
      <c r="J72" s="538"/>
      <c r="K72" s="539"/>
      <c r="L72" s="540"/>
      <c r="M72" s="541"/>
      <c r="N72" s="1134"/>
      <c r="O72" s="1134"/>
      <c r="P72" s="45"/>
      <c r="Q72" s="503"/>
    </row>
    <row r="73" spans="1:17" ht="14.4" thickBot="1">
      <c r="A73" s="533"/>
      <c r="B73" s="542"/>
      <c r="C73" s="543"/>
      <c r="D73" s="543"/>
      <c r="E73" s="543"/>
      <c r="F73" s="543"/>
      <c r="G73" s="543"/>
      <c r="H73" s="543"/>
      <c r="I73" s="543"/>
      <c r="J73" s="543"/>
      <c r="K73" s="543"/>
      <c r="L73" s="543"/>
      <c r="M73" s="544"/>
      <c r="N73" s="1135"/>
      <c r="O73" s="1135"/>
      <c r="P73" s="45"/>
      <c r="Q73" s="503"/>
    </row>
    <row r="74" spans="1:17" ht="15" thickTop="1">
      <c r="A74" s="533"/>
      <c r="B74" s="545" t="s">
        <v>2541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5"/>
      <c r="O74" s="1135"/>
      <c r="P74" s="45"/>
      <c r="Q74" s="503"/>
    </row>
    <row r="75" spans="1:17">
      <c r="A75" s="533"/>
      <c r="B75" s="547"/>
      <c r="C75" s="548"/>
      <c r="D75" s="548"/>
      <c r="E75" s="548"/>
      <c r="F75" s="548"/>
      <c r="G75" s="548"/>
      <c r="H75" s="548"/>
      <c r="I75" s="548"/>
      <c r="J75" s="548"/>
      <c r="K75" s="549"/>
      <c r="L75" s="550"/>
      <c r="M75" s="551"/>
      <c r="N75" s="1134"/>
      <c r="O75" s="1134"/>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5"/>
      <c r="O76" s="1135"/>
      <c r="P76" s="45"/>
      <c r="Q76" s="503"/>
    </row>
    <row r="77" spans="1:17" s="470" customFormat="1" ht="14.4" thickTop="1">
      <c r="A77" s="552"/>
      <c r="B77" s="537">
        <f>B12</f>
        <v>111</v>
      </c>
      <c r="C77" s="553"/>
      <c r="D77" s="553"/>
      <c r="E77" s="553"/>
      <c r="F77" s="553"/>
      <c r="G77" s="553"/>
      <c r="H77" s="554"/>
      <c r="I77" s="554"/>
      <c r="J77" s="554"/>
      <c r="K77" s="554"/>
      <c r="L77" s="555"/>
      <c r="M77" s="556"/>
      <c r="N77" s="1136"/>
      <c r="O77" s="1136"/>
      <c r="P77" s="557"/>
      <c r="Q77" s="558"/>
    </row>
    <row r="78" spans="1:17" s="470" customFormat="1" ht="14.4" thickBot="1">
      <c r="A78" s="552"/>
      <c r="B78" s="542"/>
      <c r="C78" s="559"/>
      <c r="D78" s="535"/>
      <c r="E78" s="535"/>
      <c r="F78" s="535"/>
      <c r="G78" s="535"/>
      <c r="H78" s="535"/>
      <c r="I78" s="535"/>
      <c r="J78" s="535"/>
      <c r="K78" s="535"/>
      <c r="L78" s="535"/>
      <c r="M78" s="536"/>
      <c r="N78" s="1135"/>
      <c r="O78" s="1135"/>
      <c r="P78" s="557"/>
      <c r="Q78" s="558"/>
    </row>
    <row r="79" spans="1:17" s="470" customFormat="1" ht="14.4" thickTop="1">
      <c r="A79" s="552"/>
      <c r="B79" s="537">
        <f>B13</f>
        <v>111</v>
      </c>
      <c r="C79" s="553"/>
      <c r="D79" s="553"/>
      <c r="E79" s="553"/>
      <c r="F79" s="553"/>
      <c r="G79" s="553"/>
      <c r="H79" s="554"/>
      <c r="I79" s="554"/>
      <c r="J79" s="554"/>
      <c r="K79" s="554"/>
      <c r="L79" s="555"/>
      <c r="M79" s="556"/>
      <c r="N79" s="1136"/>
      <c r="O79" s="1136"/>
      <c r="P79" s="469"/>
      <c r="Q79" s="560"/>
    </row>
    <row r="80" spans="1:17" s="470" customFormat="1" ht="14.4" thickBot="1">
      <c r="A80" s="552"/>
      <c r="B80" s="542"/>
      <c r="C80" s="559"/>
      <c r="D80" s="559"/>
      <c r="E80" s="559"/>
      <c r="F80" s="559"/>
      <c r="G80" s="559"/>
      <c r="H80" s="561"/>
      <c r="I80" s="561"/>
      <c r="J80" s="561"/>
      <c r="K80" s="561"/>
      <c r="L80" s="561"/>
      <c r="M80" s="562"/>
      <c r="N80" s="1136"/>
      <c r="O80" s="1136"/>
      <c r="P80" s="557"/>
      <c r="Q80" s="558"/>
    </row>
    <row r="81" spans="1:17" s="470" customFormat="1" ht="14.4" thickTop="1">
      <c r="A81" s="552"/>
      <c r="B81" s="545">
        <f>B14</f>
        <v>111</v>
      </c>
      <c r="C81" s="522"/>
      <c r="D81" s="522"/>
      <c r="E81" s="522"/>
      <c r="F81" s="522"/>
      <c r="G81" s="522"/>
      <c r="H81" s="563"/>
      <c r="I81" s="563"/>
      <c r="J81" s="563"/>
      <c r="K81" s="563"/>
      <c r="L81" s="564"/>
      <c r="M81" s="565"/>
      <c r="N81" s="1136"/>
      <c r="O81" s="1136"/>
      <c r="P81" s="566"/>
      <c r="Q81" s="558"/>
    </row>
    <row r="82" spans="1:17" s="470" customFormat="1" ht="14.4" thickBot="1">
      <c r="A82" s="567"/>
      <c r="B82" s="568"/>
      <c r="C82" s="569"/>
      <c r="D82" s="569"/>
      <c r="E82" s="569"/>
      <c r="F82" s="569"/>
      <c r="G82" s="569"/>
      <c r="H82" s="570"/>
      <c r="I82" s="570"/>
      <c r="J82" s="570"/>
      <c r="K82" s="570"/>
      <c r="L82" s="570"/>
      <c r="M82" s="571"/>
      <c r="N82" s="1136"/>
      <c r="O82" s="1136"/>
      <c r="P82" s="557"/>
      <c r="Q82" s="558"/>
    </row>
    <row r="83" spans="1:17" ht="14.4">
      <c r="A83" s="526" t="s">
        <v>2542</v>
      </c>
      <c r="B83" s="527" t="s">
        <v>2688</v>
      </c>
      <c r="C83" s="572" t="s">
        <v>2580</v>
      </c>
      <c r="D83" s="572" t="s">
        <v>2581</v>
      </c>
      <c r="E83" s="572" t="s">
        <v>2582</v>
      </c>
      <c r="F83" s="572" t="s">
        <v>2583</v>
      </c>
      <c r="G83" s="572" t="s">
        <v>2584</v>
      </c>
      <c r="H83" s="528"/>
      <c r="I83" s="528"/>
      <c r="J83" s="528"/>
      <c r="K83" s="573"/>
      <c r="L83" s="574"/>
      <c r="M83" s="575"/>
      <c r="N83" s="1134"/>
      <c r="O83" s="1134"/>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35"/>
      <c r="O84" s="1135"/>
      <c r="P84" s="45"/>
      <c r="Q84" s="503"/>
    </row>
    <row r="85" spans="1:17" ht="15" thickTop="1">
      <c r="A85" s="533"/>
      <c r="B85" s="537" t="s">
        <v>2585</v>
      </c>
      <c r="C85" s="577" t="s">
        <v>2580</v>
      </c>
      <c r="D85" s="577" t="s">
        <v>2581</v>
      </c>
      <c r="E85" s="577" t="s">
        <v>2582</v>
      </c>
      <c r="F85" s="577" t="s">
        <v>2583</v>
      </c>
      <c r="G85" s="577" t="s">
        <v>2584</v>
      </c>
      <c r="H85" s="538"/>
      <c r="I85" s="538"/>
      <c r="J85" s="538"/>
      <c r="K85" s="539"/>
      <c r="L85" s="540"/>
      <c r="M85" s="541"/>
      <c r="N85" s="1134"/>
      <c r="O85" s="1134"/>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35"/>
      <c r="O86" s="1135"/>
      <c r="P86" s="45"/>
      <c r="Q86" s="503"/>
    </row>
    <row r="87" spans="1:17" s="117" customFormat="1" ht="29.4" thickTop="1">
      <c r="A87" s="578"/>
      <c r="B87" s="537" t="s">
        <v>2759</v>
      </c>
      <c r="C87" s="572" t="s">
        <v>2580</v>
      </c>
      <c r="D87" s="572" t="s">
        <v>2581</v>
      </c>
      <c r="E87" s="572" t="s">
        <v>2582</v>
      </c>
      <c r="F87" s="572" t="s">
        <v>2583</v>
      </c>
      <c r="G87" s="572" t="s">
        <v>2584</v>
      </c>
      <c r="H87" s="577"/>
      <c r="I87" s="577"/>
      <c r="J87" s="577"/>
      <c r="K87" s="577"/>
      <c r="L87" s="696"/>
      <c r="M87" s="621"/>
      <c r="N87" s="1133"/>
      <c r="O87" s="1133"/>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35"/>
      <c r="O88" s="1135"/>
      <c r="P88" s="45"/>
      <c r="Q88" s="503"/>
    </row>
    <row r="89" spans="1:17" s="117" customFormat="1" ht="29.4" thickTop="1">
      <c r="A89" s="578"/>
      <c r="B89" s="537" t="s">
        <v>2760</v>
      </c>
      <c r="C89" s="572" t="s">
        <v>2580</v>
      </c>
      <c r="D89" s="572" t="s">
        <v>2581</v>
      </c>
      <c r="E89" s="572" t="s">
        <v>2582</v>
      </c>
      <c r="F89" s="572" t="s">
        <v>2583</v>
      </c>
      <c r="G89" s="572" t="s">
        <v>2584</v>
      </c>
      <c r="H89" s="577"/>
      <c r="I89" s="577"/>
      <c r="J89" s="577"/>
      <c r="K89" s="577"/>
      <c r="L89" s="577"/>
      <c r="M89" s="621"/>
      <c r="N89" s="1133"/>
      <c r="O89" s="1133"/>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35"/>
      <c r="O90" s="1135"/>
      <c r="P90" s="45"/>
      <c r="Q90" s="503"/>
    </row>
    <row r="91" spans="1:17" s="470" customFormat="1" ht="15" thickTop="1">
      <c r="A91" s="552"/>
      <c r="B91" s="537" t="s">
        <v>2637</v>
      </c>
      <c r="C91" s="572" t="s">
        <v>2580</v>
      </c>
      <c r="D91" s="572" t="s">
        <v>2581</v>
      </c>
      <c r="E91" s="572" t="s">
        <v>2582</v>
      </c>
      <c r="F91" s="572" t="s">
        <v>2583</v>
      </c>
      <c r="G91" s="572" t="s">
        <v>2584</v>
      </c>
      <c r="H91" s="599"/>
      <c r="I91" s="599"/>
      <c r="J91" s="599"/>
      <c r="K91" s="599"/>
      <c r="L91" s="600"/>
      <c r="M91" s="601"/>
      <c r="N91" s="1136"/>
      <c r="O91" s="1136"/>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36"/>
      <c r="O92" s="1136"/>
      <c r="P92" s="557"/>
      <c r="Q92" s="558"/>
    </row>
    <row r="93" spans="1:17" s="470" customFormat="1" ht="15" thickTop="1">
      <c r="A93" s="552"/>
      <c r="B93" s="545" t="s">
        <v>2776</v>
      </c>
      <c r="C93" s="659" t="s">
        <v>2658</v>
      </c>
      <c r="D93" s="659" t="s">
        <v>2659</v>
      </c>
      <c r="E93" s="659" t="s">
        <v>2660</v>
      </c>
      <c r="F93" s="659" t="s">
        <v>2661</v>
      </c>
      <c r="G93" s="659" t="s">
        <v>2662</v>
      </c>
      <c r="H93" s="599"/>
      <c r="I93" s="599"/>
      <c r="J93" s="599"/>
      <c r="K93" s="599"/>
      <c r="L93" s="599"/>
      <c r="M93" s="601"/>
      <c r="N93" s="1136"/>
      <c r="O93" s="1136"/>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66"/>
      <c r="N94" s="1136"/>
      <c r="O94" s="1136"/>
      <c r="P94" s="557"/>
      <c r="Q94" s="558"/>
    </row>
    <row r="95" spans="1:17" ht="15" thickTop="1">
      <c r="A95" s="533"/>
      <c r="B95" s="537" t="str">
        <f>B27</f>
        <v>临街状况</v>
      </c>
      <c r="C95" s="538" t="s">
        <v>2761</v>
      </c>
      <c r="D95" s="538" t="s">
        <v>2762</v>
      </c>
      <c r="E95" s="538" t="s">
        <v>2763</v>
      </c>
      <c r="F95" s="538" t="s">
        <v>2764</v>
      </c>
      <c r="G95" s="538"/>
      <c r="H95" s="538"/>
      <c r="I95" s="538"/>
      <c r="J95" s="538"/>
      <c r="K95" s="539"/>
      <c r="L95" s="540"/>
      <c r="M95" s="541"/>
      <c r="N95" s="1134"/>
      <c r="O95" s="1134"/>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5"/>
      <c r="O96" s="1135"/>
      <c r="P96" s="45"/>
      <c r="Q96" s="503"/>
    </row>
    <row r="97" spans="1:17" ht="29.4" thickTop="1">
      <c r="A97" s="533"/>
      <c r="B97" s="537" t="s">
        <v>2674</v>
      </c>
      <c r="C97" s="553"/>
      <c r="D97" s="553"/>
      <c r="E97" s="553"/>
      <c r="F97" s="553"/>
      <c r="G97" s="553"/>
      <c r="H97" s="582"/>
      <c r="I97" s="582"/>
      <c r="J97" s="582"/>
      <c r="K97" s="583"/>
      <c r="L97" s="584"/>
      <c r="M97" s="585"/>
      <c r="N97" s="1134"/>
      <c r="O97" s="1134"/>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5"/>
      <c r="O98" s="1135"/>
      <c r="P98" s="45"/>
      <c r="Q98" s="503"/>
    </row>
    <row r="99" spans="1:17" ht="15" thickTop="1">
      <c r="A99" s="533"/>
      <c r="B99" s="537" t="s">
        <v>2729</v>
      </c>
      <c r="C99" s="582"/>
      <c r="D99" s="582"/>
      <c r="E99" s="582"/>
      <c r="F99" s="582"/>
      <c r="G99" s="582"/>
      <c r="H99" s="582"/>
      <c r="I99" s="582"/>
      <c r="J99" s="582"/>
      <c r="K99" s="583"/>
      <c r="L99" s="584"/>
      <c r="M99" s="585"/>
      <c r="N99" s="1134"/>
      <c r="O99" s="1134"/>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5"/>
      <c r="O100" s="1135"/>
      <c r="P100" s="45"/>
      <c r="Q100" s="503"/>
    </row>
    <row r="101" spans="1:17" ht="14.4" thickTop="1">
      <c r="A101" s="533"/>
      <c r="B101" s="545">
        <f>B31</f>
        <v>111</v>
      </c>
      <c r="C101" s="553"/>
      <c r="D101" s="553"/>
      <c r="E101" s="553"/>
      <c r="F101" s="553"/>
      <c r="G101" s="586"/>
      <c r="H101" s="586"/>
      <c r="I101" s="586"/>
      <c r="J101" s="586"/>
      <c r="K101" s="587"/>
      <c r="L101" s="588"/>
      <c r="M101" s="589"/>
      <c r="N101" s="1134"/>
      <c r="O101" s="1134"/>
      <c r="P101" s="45"/>
      <c r="Q101" s="503"/>
    </row>
    <row r="102" spans="1:17" ht="14.4" thickBot="1">
      <c r="A102" s="533"/>
      <c r="B102" s="568"/>
      <c r="C102" s="559"/>
      <c r="D102" s="535"/>
      <c r="E102" s="535"/>
      <c r="F102" s="535"/>
      <c r="G102" s="590"/>
      <c r="H102" s="590"/>
      <c r="I102" s="590"/>
      <c r="J102" s="590"/>
      <c r="K102" s="590"/>
      <c r="L102" s="590"/>
      <c r="M102" s="591"/>
      <c r="N102" s="1135"/>
      <c r="O102" s="1135"/>
      <c r="P102" s="45"/>
      <c r="Q102" s="503"/>
    </row>
    <row r="103" spans="1:17" ht="14.4" thickTop="1">
      <c r="A103" s="674"/>
      <c r="B103" s="537">
        <f>B32</f>
        <v>111</v>
      </c>
      <c r="C103" s="553"/>
      <c r="D103" s="553"/>
      <c r="E103" s="553"/>
      <c r="F103" s="553"/>
      <c r="G103" s="582"/>
      <c r="H103" s="582"/>
      <c r="I103" s="582"/>
      <c r="J103" s="582"/>
      <c r="K103" s="583"/>
      <c r="L103" s="584"/>
      <c r="M103" s="585"/>
      <c r="N103" s="1134"/>
      <c r="O103" s="1134"/>
      <c r="P103" s="45"/>
      <c r="Q103" s="503"/>
    </row>
    <row r="104" spans="1:17" ht="14.4" thickBot="1">
      <c r="A104" s="533"/>
      <c r="B104" s="542"/>
      <c r="C104" s="559"/>
      <c r="D104" s="559"/>
      <c r="E104" s="559"/>
      <c r="F104" s="559"/>
      <c r="G104" s="535"/>
      <c r="H104" s="535"/>
      <c r="I104" s="535"/>
      <c r="J104" s="535"/>
      <c r="K104" s="535"/>
      <c r="L104" s="535"/>
      <c r="M104" s="536"/>
      <c r="N104" s="1135"/>
      <c r="O104" s="1135"/>
      <c r="P104" s="45"/>
      <c r="Q104" s="503"/>
    </row>
    <row r="105" spans="1:17" s="470" customFormat="1" ht="14.4" thickTop="1">
      <c r="A105" s="592"/>
      <c r="B105" s="593">
        <f>B33</f>
        <v>111</v>
      </c>
      <c r="C105" s="522"/>
      <c r="D105" s="522"/>
      <c r="E105" s="522"/>
      <c r="F105" s="522"/>
      <c r="G105" s="594"/>
      <c r="H105" s="594"/>
      <c r="I105" s="594"/>
      <c r="J105" s="595"/>
      <c r="K105" s="595"/>
      <c r="L105" s="596"/>
      <c r="M105" s="597"/>
      <c r="N105" s="1136"/>
      <c r="O105" s="1136"/>
      <c r="P105" s="557"/>
      <c r="Q105" s="558"/>
    </row>
    <row r="106" spans="1:17" s="470" customFormat="1" ht="14.4" thickBot="1">
      <c r="A106" s="552"/>
      <c r="B106" s="545"/>
      <c r="C106" s="569"/>
      <c r="D106" s="569"/>
      <c r="E106" s="569"/>
      <c r="F106" s="569"/>
      <c r="G106" s="676"/>
      <c r="H106" s="676"/>
      <c r="I106" s="676"/>
      <c r="J106" s="676"/>
      <c r="K106" s="676"/>
      <c r="L106" s="676"/>
      <c r="M106" s="697"/>
      <c r="N106" s="1135"/>
      <c r="O106" s="1135"/>
      <c r="P106" s="557"/>
      <c r="Q106" s="558"/>
    </row>
    <row r="107" spans="1:17" ht="14.4">
      <c r="A107" s="526" t="s">
        <v>2546</v>
      </c>
      <c r="B107" s="527" t="s">
        <v>2765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4" t="str">
        <f t="shared" si="25"/>
        <v>(含)-</v>
      </c>
      <c r="L107" s="1744" t="str">
        <f t="shared" si="25"/>
        <v>(含)-</v>
      </c>
      <c r="M107" s="1745" t="str">
        <f>M108&amp;"(含)"&amp;"-"&amp;P108</f>
        <v>(含)-</v>
      </c>
      <c r="N107" s="1134"/>
      <c r="O107" s="1134"/>
      <c r="P107" s="45"/>
      <c r="Q107" s="503"/>
    </row>
    <row r="108" spans="1:17">
      <c r="A108" s="533"/>
      <c r="B108" s="545"/>
      <c r="C108" s="594"/>
      <c r="D108" s="594"/>
      <c r="E108" s="594"/>
      <c r="F108" s="594"/>
      <c r="G108" s="594"/>
      <c r="H108" s="594"/>
      <c r="I108" s="594"/>
      <c r="J108" s="595"/>
      <c r="K108" s="595"/>
      <c r="L108" s="596"/>
      <c r="M108" s="597"/>
      <c r="N108" s="1134"/>
      <c r="O108" s="1134"/>
      <c r="P108" s="45"/>
      <c r="Q108" s="503"/>
    </row>
    <row r="109" spans="1:17" ht="14.4" thickBot="1">
      <c r="A109" s="533"/>
      <c r="B109" s="542"/>
      <c r="C109" s="569"/>
      <c r="D109" s="590"/>
      <c r="E109" s="590"/>
      <c r="F109" s="590"/>
      <c r="G109" s="590"/>
      <c r="H109" s="590"/>
      <c r="I109" s="590"/>
      <c r="J109" s="590"/>
      <c r="K109" s="590"/>
      <c r="L109" s="590"/>
      <c r="M109" s="591"/>
      <c r="N109" s="1135"/>
      <c r="O109" s="1135"/>
      <c r="P109" s="45"/>
      <c r="Q109" s="503"/>
    </row>
    <row r="110" spans="1:17" ht="15" thickTop="1">
      <c r="A110" s="598"/>
      <c r="B110" s="537" t="s">
        <v>2766</v>
      </c>
      <c r="C110" s="582"/>
      <c r="D110" s="582"/>
      <c r="E110" s="582"/>
      <c r="F110" s="582"/>
      <c r="G110" s="582"/>
      <c r="H110" s="582"/>
      <c r="I110" s="582"/>
      <c r="J110" s="582"/>
      <c r="K110" s="583"/>
      <c r="L110" s="584"/>
      <c r="M110" s="585"/>
      <c r="N110" s="1134"/>
      <c r="O110" s="1134"/>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5"/>
      <c r="O111" s="1135"/>
      <c r="P111" s="45"/>
      <c r="Q111" s="503"/>
    </row>
    <row r="112" spans="1:17" s="470" customFormat="1" ht="15" thickTop="1">
      <c r="A112" s="592"/>
      <c r="B112" s="537" t="s">
        <v>2767</v>
      </c>
      <c r="C112" s="553"/>
      <c r="D112" s="553"/>
      <c r="E112" s="553"/>
      <c r="F112" s="553"/>
      <c r="G112" s="553"/>
      <c r="H112" s="582"/>
      <c r="I112" s="582"/>
      <c r="J112" s="582"/>
      <c r="K112" s="583"/>
      <c r="L112" s="584"/>
      <c r="M112" s="585"/>
      <c r="N112" s="1136"/>
      <c r="O112" s="1136"/>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6"/>
      <c r="O113" s="1136"/>
      <c r="P113" s="557"/>
      <c r="Q113" s="558"/>
    </row>
    <row r="114" spans="1:17" ht="15" thickTop="1">
      <c r="A114" s="598"/>
      <c r="B114" s="537" t="s">
        <v>2768</v>
      </c>
      <c r="C114" s="553"/>
      <c r="D114" s="553"/>
      <c r="E114" s="582"/>
      <c r="F114" s="582"/>
      <c r="G114" s="582"/>
      <c r="H114" s="582"/>
      <c r="I114" s="582"/>
      <c r="J114" s="582"/>
      <c r="K114" s="583"/>
      <c r="L114" s="584"/>
      <c r="M114" s="585"/>
      <c r="N114" s="1134"/>
      <c r="O114" s="1134"/>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5"/>
      <c r="O115" s="1135"/>
      <c r="P115" s="45"/>
      <c r="Q115" s="503"/>
    </row>
    <row r="116" spans="1:17" ht="14.4" thickTop="1">
      <c r="A116" s="598"/>
      <c r="B116" s="537">
        <f>B38</f>
        <v>111</v>
      </c>
      <c r="C116" s="553"/>
      <c r="D116" s="553"/>
      <c r="E116" s="553"/>
      <c r="F116" s="553"/>
      <c r="G116" s="553"/>
      <c r="H116" s="582"/>
      <c r="I116" s="582"/>
      <c r="J116" s="582"/>
      <c r="K116" s="583"/>
      <c r="L116" s="584"/>
      <c r="M116" s="585"/>
      <c r="N116" s="1134"/>
      <c r="O116" s="1134"/>
      <c r="P116" s="45"/>
      <c r="Q116" s="503"/>
    </row>
    <row r="117" spans="1:17" ht="14.4" thickBot="1">
      <c r="A117" s="533"/>
      <c r="B117" s="542"/>
      <c r="C117" s="559"/>
      <c r="D117" s="535"/>
      <c r="E117" s="535"/>
      <c r="F117" s="535"/>
      <c r="G117" s="535"/>
      <c r="H117" s="535"/>
      <c r="I117" s="535"/>
      <c r="J117" s="535"/>
      <c r="K117" s="535"/>
      <c r="L117" s="535"/>
      <c r="M117" s="536"/>
      <c r="N117" s="1135"/>
      <c r="O117" s="1135"/>
      <c r="P117" s="45"/>
      <c r="Q117" s="503"/>
    </row>
    <row r="118" spans="1:17" ht="14.4" thickTop="1">
      <c r="A118" s="598"/>
      <c r="B118" s="537">
        <f>B39</f>
        <v>111</v>
      </c>
      <c r="C118" s="553"/>
      <c r="D118" s="553"/>
      <c r="E118" s="553"/>
      <c r="F118" s="553"/>
      <c r="G118" s="582"/>
      <c r="H118" s="582"/>
      <c r="I118" s="582"/>
      <c r="J118" s="582"/>
      <c r="K118" s="583"/>
      <c r="L118" s="584"/>
      <c r="M118" s="585"/>
      <c r="N118" s="1134"/>
      <c r="O118" s="1134"/>
      <c r="P118" s="45"/>
      <c r="Q118" s="503"/>
    </row>
    <row r="119" spans="1:17" ht="14.4" thickBot="1">
      <c r="A119" s="533"/>
      <c r="B119" s="542"/>
      <c r="C119" s="559"/>
      <c r="D119" s="559"/>
      <c r="E119" s="559"/>
      <c r="F119" s="559"/>
      <c r="G119" s="535"/>
      <c r="H119" s="535"/>
      <c r="I119" s="535"/>
      <c r="J119" s="535"/>
      <c r="K119" s="535"/>
      <c r="L119" s="535"/>
      <c r="M119" s="536"/>
      <c r="N119" s="1135"/>
      <c r="O119" s="1135"/>
      <c r="P119" s="45"/>
      <c r="Q119" s="503"/>
    </row>
    <row r="120" spans="1:17" s="470" customFormat="1" ht="14.4" thickTop="1">
      <c r="A120" s="592"/>
      <c r="B120" s="537">
        <f>B40</f>
        <v>111</v>
      </c>
      <c r="C120" s="522"/>
      <c r="D120" s="522"/>
      <c r="E120" s="522"/>
      <c r="F120" s="522"/>
      <c r="G120" s="554"/>
      <c r="H120" s="554"/>
      <c r="I120" s="554"/>
      <c r="J120" s="554"/>
      <c r="K120" s="554"/>
      <c r="L120" s="555"/>
      <c r="M120" s="556"/>
      <c r="N120" s="1136"/>
      <c r="O120" s="1136"/>
      <c r="P120" s="557"/>
      <c r="Q120" s="558"/>
    </row>
    <row r="121" spans="1:17" s="470" customFormat="1" ht="14.4" thickBot="1">
      <c r="A121" s="567"/>
      <c r="B121" s="698"/>
      <c r="C121" s="569"/>
      <c r="D121" s="569"/>
      <c r="E121" s="569"/>
      <c r="F121" s="569"/>
      <c r="G121" s="590"/>
      <c r="H121" s="590"/>
      <c r="I121" s="590"/>
      <c r="J121" s="590"/>
      <c r="K121" s="590"/>
      <c r="L121" s="590"/>
      <c r="M121" s="591"/>
      <c r="N121" s="1136"/>
      <c r="O121" s="113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52" priority="14" stopIfTrue="1" operator="containsText" text="超过">
      <formula>NOT(ISERROR(SEARCH("超过",F46)))</formula>
    </cfRule>
  </conditionalFormatting>
  <conditionalFormatting sqref="J48">
    <cfRule type="containsText" dxfId="51" priority="13" stopIfTrue="1" operator="containsText" text="超过">
      <formula>NOT(ISERROR(SEARCH("超过",J48)))</formula>
    </cfRule>
  </conditionalFormatting>
  <conditionalFormatting sqref="H48">
    <cfRule type="containsText" dxfId="50" priority="12" stopIfTrue="1" operator="containsText" text="超过">
      <formula>NOT(ISERROR(SEARCH("超过",H48)))</formula>
    </cfRule>
  </conditionalFormatting>
  <conditionalFormatting sqref="F48">
    <cfRule type="containsText" dxfId="49" priority="11" stopIfTrue="1" operator="containsText" text="超过">
      <formula>NOT(ISERROR(SEARCH("超过",F48)))</formula>
    </cfRule>
  </conditionalFormatting>
  <conditionalFormatting sqref="F47 H47 J47">
    <cfRule type="containsText" dxfId="48" priority="10" stopIfTrue="1" operator="containsText" text="超过">
      <formula>NOT(ISERROR(SEARCH("超过",F47)))</formula>
    </cfRule>
  </conditionalFormatting>
  <conditionalFormatting sqref="E46">
    <cfRule type="expression" dxfId="47" priority="9" stopIfTrue="1">
      <formula>$F$46="超过30%"</formula>
    </cfRule>
  </conditionalFormatting>
  <conditionalFormatting sqref="G48">
    <cfRule type="expression" dxfId="46" priority="8" stopIfTrue="1">
      <formula>$H$48="超过30%"</formula>
    </cfRule>
  </conditionalFormatting>
  <conditionalFormatting sqref="E48">
    <cfRule type="expression" dxfId="45" priority="6" stopIfTrue="1">
      <formula>$F$48="超过30%"</formula>
    </cfRule>
  </conditionalFormatting>
  <conditionalFormatting sqref="G46">
    <cfRule type="expression" dxfId="44" priority="5" stopIfTrue="1">
      <formula>$H$46="超过30%"</formula>
    </cfRule>
  </conditionalFormatting>
  <conditionalFormatting sqref="G47">
    <cfRule type="expression" dxfId="43" priority="4" stopIfTrue="1">
      <formula>$H$47="超过20%"</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conditionalFormatting sqref="E47">
    <cfRule type="expression" dxfId="39" priority="49" stopIfTrue="1">
      <formula>#REF!+$F$47="超过20%"</formula>
    </cfRule>
  </conditionalFormatting>
  <dataValidations count="19">
    <dataValidation type="list" allowBlank="1" showInputMessage="1" showErrorMessage="1" sqref="B41" xr:uid="{00000000-0002-0000-2B00-000000000000}">
      <formula1>单价内涵</formula1>
    </dataValidation>
    <dataValidation type="list" allowBlank="1" showInputMessage="1" showErrorMessage="1" sqref="C22 E22 G22 I22" xr:uid="{00000000-0002-0000-2B00-000001000000}">
      <formula1>环境</formula1>
    </dataValidation>
    <dataValidation type="list" allowBlank="1" showInputMessage="1" showErrorMessage="1" sqref="E18 C18 G18 I18" xr:uid="{00000000-0002-0000-2B00-000002000000}">
      <formula1>交通便捷度</formula1>
    </dataValidation>
    <dataValidation type="list" allowBlank="1" showInputMessage="1" showErrorMessage="1" sqref="E24 C24 G24 I24" xr:uid="{00000000-0002-0000-2B00-000003000000}">
      <formula1>公共配套设施</formula1>
    </dataValidation>
    <dataValidation type="list" allowBlank="1" showInputMessage="1" showErrorMessage="1" sqref="C8 E8 G8 I8" xr:uid="{00000000-0002-0000-2B00-000004000000}">
      <formula1>套工交易情况</formula1>
    </dataValidation>
    <dataValidation type="list" allowBlank="1" showInputMessage="1" showErrorMessage="1" sqref="C9 E9 G9 I9" xr:uid="{00000000-0002-0000-2B00-000005000000}">
      <formula1>套工用途</formula1>
    </dataValidation>
    <dataValidation type="list" allowBlank="1" showInputMessage="1" showErrorMessage="1" sqref="I30 E30 G30" xr:uid="{00000000-0002-0000-2B00-000006000000}">
      <formula1>套工土地级别</formula1>
    </dataValidation>
    <dataValidation type="list" allowBlank="1" showInputMessage="1" showErrorMessage="1" sqref="C27 E27 G27 I27" xr:uid="{00000000-0002-0000-2B00-000007000000}">
      <formula1>临街状况</formula1>
    </dataValidation>
    <dataValidation type="list" allowBlank="1" showInputMessage="1" showErrorMessage="1" sqref="E20 G20 I20 C20" xr:uid="{00000000-0002-0000-2B00-000008000000}">
      <formula1>区域土地利用方向</formula1>
    </dataValidation>
    <dataValidation type="list" allowBlank="1" showInputMessage="1" showErrorMessage="1" sqref="C50" xr:uid="{00000000-0002-0000-2B00-000009000000}">
      <formula1>"北京市系数,其他省市系数"</formula1>
    </dataValidation>
    <dataValidation type="list" allowBlank="1" showInputMessage="1" showErrorMessage="1" sqref="C16 E16 G16 I16" xr:uid="{00000000-0002-0000-2B00-00000A000000}">
      <formula1>产业集聚程度</formula1>
    </dataValidation>
    <dataValidation type="list" allowBlank="1" showInputMessage="1" showErrorMessage="1" sqref="C29 E29 G29 I29" xr:uid="{00000000-0002-0000-2B00-00000B000000}">
      <formula1>套工道路等级</formula1>
    </dataValidation>
    <dataValidation type="list" allowBlank="1" showInputMessage="1" showErrorMessage="1" sqref="C35 E35 G35 I35" xr:uid="{00000000-0002-0000-2B00-00000C000000}">
      <formula1>套工宗地形状</formula1>
    </dataValidation>
    <dataValidation type="list" allowBlank="1" showInputMessage="1" showErrorMessage="1" sqref="C36 E36 G36 I36" xr:uid="{00000000-0002-0000-2B00-00000D000000}">
      <formula1>套工宗地开发程度</formula1>
    </dataValidation>
    <dataValidation type="list" allowBlank="1" showInputMessage="1" showErrorMessage="1" sqref="C37 E37 G37 I37" xr:uid="{00000000-0002-0000-2B00-00000E000000}">
      <formula1>套工地质条件</formula1>
    </dataValidation>
    <dataValidation type="list" allowBlank="1" showInputMessage="1" showErrorMessage="1" sqref="G58" xr:uid="{00000000-0002-0000-2B00-00000F000000}">
      <formula1>"住宅,工业"</formula1>
    </dataValidation>
    <dataValidation type="list" allowBlank="1" showInputMessage="1" showErrorMessage="1" sqref="G57" xr:uid="{00000000-0002-0000-2B00-000010000000}">
      <formula1>"商业,办公,住宅,工业"</formula1>
    </dataValidation>
    <dataValidation type="list" allowBlank="1" showInputMessage="1" showErrorMessage="1" sqref="D52:D60" xr:uid="{00000000-0002-0000-2B00-000011000000}">
      <formula1>"25%,1"</formula1>
    </dataValidation>
    <dataValidation type="list" allowBlank="1" showInputMessage="1" showErrorMessage="1" sqref="C26 E26 G26 I26" xr:uid="{00000000-0002-0000-2B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topLeftCell="A22" zoomScale="85" zoomScaleNormal="85" zoomScaleSheetLayoutView="90" workbookViewId="0">
      <selection activeCell="K41" sqref="K41"/>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48</v>
      </c>
      <c r="D1" s="1798" t="s">
        <v>70</v>
      </c>
      <c r="E1" s="1799" t="s">
        <v>1371</v>
      </c>
      <c r="F1" s="1264">
        <f ca="1">J53</f>
        <v>28.16</v>
      </c>
      <c r="G1" s="1814">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f ca="1">C40+J29+L46</f>
        <v>6838</v>
      </c>
      <c r="C2" s="1823" t="s">
        <v>1500</v>
      </c>
      <c r="D2" s="1823"/>
      <c r="E2" s="1824"/>
      <c r="F2" s="1825"/>
      <c r="G2" s="1826"/>
      <c r="H2" s="1818"/>
      <c r="I2" s="1818"/>
      <c r="J2" s="1818"/>
      <c r="K2" s="1819"/>
      <c r="L2" s="1818"/>
      <c r="M2" s="1818"/>
    </row>
    <row r="3" spans="1:37" ht="18" customHeight="1" thickBot="1">
      <c r="A3" s="1827" t="s">
        <v>1501</v>
      </c>
      <c r="B3" s="1828">
        <f ca="1">IF(ISERROR(B2*10000/F43),0,ROUND(B2*10000/F43,0))</f>
        <v>2004</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f ca="1">C6+C10+C12</f>
        <v>842</v>
      </c>
      <c r="D5" s="1800" t="s">
        <v>1386</v>
      </c>
      <c r="E5" s="1274"/>
      <c r="F5" s="1275"/>
      <c r="G5" s="1829"/>
      <c r="H5" s="344">
        <v>1</v>
      </c>
      <c r="I5" s="345" t="s">
        <v>1385</v>
      </c>
      <c r="J5" s="1273">
        <f ca="1">J6+J10+J12</f>
        <v>0</v>
      </c>
      <c r="K5" s="1800" t="s">
        <v>1386</v>
      </c>
      <c r="L5" s="1274"/>
      <c r="M5" s="1275"/>
    </row>
    <row r="6" spans="1:37" ht="18" customHeight="1">
      <c r="A6" s="1272" t="s">
        <v>1032</v>
      </c>
      <c r="B6" s="3693" t="s">
        <v>1387</v>
      </c>
      <c r="C6" s="1277">
        <f ca="1">ROUND(F6*F8*F7*(1-F9)/10000,0)</f>
        <v>842</v>
      </c>
      <c r="D6" s="164" t="s">
        <v>2999</v>
      </c>
      <c r="E6" s="347" t="s">
        <v>1389</v>
      </c>
      <c r="F6" s="348">
        <f ca="1">INDIRECT("'数据-取费表'!u"&amp;$G$1)</f>
        <v>1200</v>
      </c>
      <c r="G6" s="1829"/>
      <c r="H6" s="1272" t="s">
        <v>1032</v>
      </c>
      <c r="I6" s="3693" t="s">
        <v>1387</v>
      </c>
      <c r="J6" s="346">
        <f ca="1">ROUND(M6*M8*M7*(1-M9)/10000,0)</f>
        <v>0</v>
      </c>
      <c r="K6" s="164" t="s">
        <v>2998</v>
      </c>
      <c r="L6" s="347" t="s">
        <v>1389</v>
      </c>
      <c r="M6" s="348">
        <f ca="1">INDIRECT("'数据-取费表'!z"&amp;$G$1)</f>
        <v>0</v>
      </c>
    </row>
    <row r="7" spans="1:37" ht="18" customHeight="1">
      <c r="A7" s="1276"/>
      <c r="B7" s="3694"/>
      <c r="C7" s="1278"/>
      <c r="D7" s="352"/>
      <c r="E7" s="2998" t="s">
        <v>1390</v>
      </c>
      <c r="F7" s="348">
        <f ca="1">IF(INDIRECT("'数据-取费表'!ah"&amp;$G$1)="",INDIRECT("'数据-取费表'!k"&amp;$G$1),INDIRECT("'数据-取费表'!ah"&amp;$G$1))</f>
        <v>650</v>
      </c>
      <c r="G7" s="1829"/>
      <c r="H7" s="349"/>
      <c r="I7" s="3694"/>
      <c r="J7" s="351"/>
      <c r="K7" s="352"/>
      <c r="L7" s="347" t="s">
        <v>1390</v>
      </c>
      <c r="M7" s="348">
        <f ca="1">F7</f>
        <v>650</v>
      </c>
    </row>
    <row r="8" spans="1:37" ht="18" customHeight="1">
      <c r="A8" s="349"/>
      <c r="B8" s="3694"/>
      <c r="C8" s="351"/>
      <c r="D8" s="352"/>
      <c r="E8" s="347" t="s">
        <v>1391</v>
      </c>
      <c r="F8" s="348">
        <f ca="1">INDIRECT("'数据-取费表'!ai"&amp;$G$1)</f>
        <v>12</v>
      </c>
      <c r="G8" s="1829"/>
      <c r="H8" s="349"/>
      <c r="I8" s="3694"/>
      <c r="J8" s="351"/>
      <c r="K8" s="352"/>
      <c r="L8" s="347" t="s">
        <v>1391</v>
      </c>
      <c r="M8" s="348">
        <f ca="1">INDIRECT("'数据-取费表'!ai"&amp;$G$1)</f>
        <v>12</v>
      </c>
    </row>
    <row r="9" spans="1:37" ht="18" customHeight="1">
      <c r="A9" s="349"/>
      <c r="B9" s="3695"/>
      <c r="C9" s="351"/>
      <c r="D9" s="352"/>
      <c r="E9" s="347" t="s">
        <v>1392</v>
      </c>
      <c r="F9" s="357">
        <f ca="1">INDIRECT("'数据-取费表'!w"&amp;$G$1)</f>
        <v>0.1</v>
      </c>
      <c r="G9" s="1829"/>
      <c r="H9" s="349"/>
      <c r="I9" s="3695"/>
      <c r="J9" s="351"/>
      <c r="K9" s="352"/>
      <c r="L9" s="358" t="s">
        <v>1392</v>
      </c>
      <c r="M9" s="359">
        <f ca="1">INDIRECT("'数据-取费表'!ab"&amp;$G$1)</f>
        <v>0</v>
      </c>
    </row>
    <row r="10" spans="1:37" ht="18" customHeight="1">
      <c r="A10" s="1272" t="s">
        <v>1036</v>
      </c>
      <c r="B10" s="1801" t="s">
        <v>1393</v>
      </c>
      <c r="C10" s="361">
        <f ca="1">ROUND(IF(F10="押一",C6/12*F11,IF(F10="押二",C6/12*2*F11,IF(F10="押三",C6/12*3*F11,C11*F11))),0)</f>
        <v>0</v>
      </c>
      <c r="D10" s="1802" t="s">
        <v>3007</v>
      </c>
      <c r="E10" s="358" t="s">
        <v>1394</v>
      </c>
      <c r="F10" s="1347" t="s">
        <v>3376</v>
      </c>
      <c r="G10" s="1829"/>
      <c r="H10" s="1272" t="s">
        <v>1036</v>
      </c>
      <c r="I10" s="1801" t="s">
        <v>1393</v>
      </c>
      <c r="J10" s="346">
        <f ca="1">ROUND(IF(M10="押一",J6/12*M11,IF(M10="押二",J6/12*2*M11,IF(M10="押三",J6/12*3*M11,J11*M11))),0)</f>
        <v>0</v>
      </c>
      <c r="K10" s="1802" t="s">
        <v>3007</v>
      </c>
      <c r="L10" s="358" t="s">
        <v>1394</v>
      </c>
      <c r="M10" s="1347" t="s">
        <v>1395</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f ca="1">ROUND(C29*F13,0)</f>
        <v>0</v>
      </c>
      <c r="D13" s="1312" t="s">
        <v>1399</v>
      </c>
      <c r="E13" s="1312" t="s">
        <v>1400</v>
      </c>
      <c r="F13" s="1313">
        <f ca="1">INDIRECT("'数据-取费表'!y"&amp;$G$1)</f>
        <v>0</v>
      </c>
      <c r="G13" s="1829"/>
      <c r="H13" s="1310">
        <v>2</v>
      </c>
      <c r="I13" s="1311" t="s">
        <v>1398</v>
      </c>
      <c r="J13" s="1271">
        <f ca="1">ROUND(J14*J15,0)</f>
        <v>0</v>
      </c>
      <c r="K13" s="1318" t="s">
        <v>1399</v>
      </c>
      <c r="L13" s="1830"/>
      <c r="M13" s="1831"/>
    </row>
    <row r="14" spans="1:37" ht="18" customHeight="1">
      <c r="A14" s="1182" t="s">
        <v>1031</v>
      </c>
      <c r="B14" s="347" t="s">
        <v>1401</v>
      </c>
      <c r="C14" s="363">
        <f ca="1">INDIRECT("'数据-取费表'!m"&amp;$G$1)+INDIRECT("'数据-取费表'!t"&amp;$G$1)</f>
        <v>15357</v>
      </c>
      <c r="D14" s="3007" t="s">
        <v>1402</v>
      </c>
      <c r="E14" s="3006"/>
      <c r="F14" s="364"/>
      <c r="G14" s="1829"/>
      <c r="H14" s="1182" t="s">
        <v>1032</v>
      </c>
      <c r="I14" s="347" t="s">
        <v>1403</v>
      </c>
      <c r="J14" s="24">
        <f ca="1">C29</f>
        <v>21098</v>
      </c>
      <c r="K14" s="2997"/>
      <c r="L14" s="968"/>
      <c r="M14" s="969"/>
    </row>
    <row r="15" spans="1:37" s="1836" customFormat="1" ht="18" customHeight="1" thickBot="1">
      <c r="A15" s="1182" t="s">
        <v>1033</v>
      </c>
      <c r="B15" s="347" t="s">
        <v>1404</v>
      </c>
      <c r="C15" s="24">
        <f ca="1">ROUND(C14*F15,0)</f>
        <v>768</v>
      </c>
      <c r="D15" s="365" t="s">
        <v>1405</v>
      </c>
      <c r="E15" s="365" t="s">
        <v>1406</v>
      </c>
      <c r="F15" s="366">
        <f>'数据-取费表'!B33</f>
        <v>0.05</v>
      </c>
      <c r="G15" s="1832"/>
      <c r="H15" s="1320" t="s">
        <v>1036</v>
      </c>
      <c r="I15" s="1321" t="s">
        <v>1400</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f ca="1">ROUND(INDIRECT("'数据-取费表'!m"&amp;$G$1)*F16,0)</f>
        <v>0</v>
      </c>
      <c r="D16" s="347" t="s">
        <v>1405</v>
      </c>
      <c r="E16" s="347" t="s">
        <v>1406</v>
      </c>
      <c r="F16" s="367">
        <f ca="1">IF(INDIRECT("'数据-取费表'!c"&amp;$G$1)="住宅",'数据-取费表'!B34,0)</f>
        <v>0</v>
      </c>
      <c r="G16" s="1829"/>
      <c r="H16" s="1310" t="s">
        <v>1027</v>
      </c>
      <c r="I16" s="1311" t="s">
        <v>1408</v>
      </c>
      <c r="J16" s="355">
        <f ca="1">ROUND(J17+J22+J23+J24,0)</f>
        <v>346</v>
      </c>
      <c r="K16" s="1318" t="s">
        <v>1409</v>
      </c>
      <c r="L16" s="3010"/>
      <c r="M16" s="1275"/>
    </row>
    <row r="17" spans="1:37" s="1836" customFormat="1" ht="18" customHeight="1">
      <c r="A17" s="1182" t="s">
        <v>1374</v>
      </c>
      <c r="B17" s="347" t="s">
        <v>1410</v>
      </c>
      <c r="C17" s="24">
        <f ca="1">ROUND(F17*(F43+INDIRECT("'数据-取费表'!S"&amp;$G$1))/10000,0)</f>
        <v>683</v>
      </c>
      <c r="D17" s="347" t="s">
        <v>1411</v>
      </c>
      <c r="E17" s="347" t="s">
        <v>1412</v>
      </c>
      <c r="F17" s="26">
        <f>'数据-取费表'!B35</f>
        <v>200</v>
      </c>
      <c r="G17" s="1832"/>
      <c r="H17" s="1182" t="s">
        <v>1032</v>
      </c>
      <c r="I17" s="347" t="s">
        <v>1413</v>
      </c>
      <c r="J17" s="24">
        <f ca="1">ROUND(IF(项目基本情况!B11="自然人",J6*M17/(1+'数据-取费表'!C42),J18+J19+J20),1)</f>
        <v>29.2</v>
      </c>
      <c r="K17" s="3007" t="s">
        <v>1414</v>
      </c>
      <c r="L17" s="3009"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f ca="1">ROUND(C14*F18,0)</f>
        <v>230</v>
      </c>
      <c r="D18" s="347" t="s">
        <v>1405</v>
      </c>
      <c r="E18" s="347" t="s">
        <v>1406</v>
      </c>
      <c r="F18" s="367">
        <f>'数据-取费表'!B36</f>
        <v>1.4999999999999999E-2</v>
      </c>
      <c r="G18" s="1832"/>
      <c r="H18" s="1182" t="s">
        <v>1031</v>
      </c>
      <c r="I18" s="347" t="s">
        <v>1417</v>
      </c>
      <c r="J18" s="24">
        <f ca="1">ROUND(J6*M18/(1+'数据-取费表'!C42),2)</f>
        <v>0</v>
      </c>
      <c r="K18" s="3009"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f ca="1">SUM(C14:C18)</f>
        <v>17038</v>
      </c>
      <c r="D19" s="140" t="s">
        <v>1420</v>
      </c>
      <c r="E19" s="2995"/>
      <c r="F19" s="26"/>
      <c r="G19" s="1829"/>
      <c r="H19" s="1182" t="s">
        <v>1033</v>
      </c>
      <c r="I19" s="347" t="s">
        <v>1421</v>
      </c>
      <c r="J19" s="24">
        <f ca="1">IF(K19="按租金收入计税",ROUND(J6*M19/(1+'数据-取费表'!C42),2),ROUND(C29*M19*0.7,2))</f>
        <v>0</v>
      </c>
      <c r="K19" s="1806" t="s">
        <v>3050</v>
      </c>
      <c r="L19" s="347" t="s">
        <v>1406</v>
      </c>
      <c r="M19" s="367">
        <f>IF(K19="按租金收入计税",'数据-取费表'!B51,'数据-取费表'!B50)</f>
        <v>0.12</v>
      </c>
    </row>
    <row r="20" spans="1:37" s="1836" customFormat="1" ht="18" customHeight="1">
      <c r="A20" s="1182" t="s">
        <v>1036</v>
      </c>
      <c r="B20" s="347" t="s">
        <v>1423</v>
      </c>
      <c r="C20" s="24">
        <f ca="1">ROUND(C19*F20,0)</f>
        <v>341</v>
      </c>
      <c r="D20" s="369" t="s">
        <v>1424</v>
      </c>
      <c r="E20" s="347" t="s">
        <v>1406</v>
      </c>
      <c r="F20" s="367">
        <f>'数据-取费表'!B37</f>
        <v>0.02</v>
      </c>
      <c r="G20" s="1832"/>
      <c r="H20" s="1182" t="s">
        <v>1373</v>
      </c>
      <c r="I20" s="164" t="s">
        <v>1425</v>
      </c>
      <c r="J20" s="25">
        <f ca="1">ROUND(M20*M21/10000,2)</f>
        <v>29.17</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v>
      </c>
      <c r="D21" s="369" t="s">
        <v>1429</v>
      </c>
      <c r="E21" s="347" t="s">
        <v>1430</v>
      </c>
      <c r="F21" s="367">
        <f>'数据-取费表'!B38</f>
        <v>0.02</v>
      </c>
      <c r="G21" s="1832"/>
      <c r="H21" s="372"/>
      <c r="I21" s="356"/>
      <c r="J21" s="29"/>
      <c r="K21" s="373"/>
      <c r="L21" s="347" t="s">
        <v>1431</v>
      </c>
      <c r="M21" s="348">
        <f ca="1">INDIRECT("'数据-取费表'!r"&amp;$G$1)</f>
        <v>9724.5499999999993</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2995"/>
      <c r="F22" s="26"/>
      <c r="G22" s="1829"/>
      <c r="H22" s="1182" t="s">
        <v>1036</v>
      </c>
      <c r="I22" s="347" t="s">
        <v>1433</v>
      </c>
      <c r="J22" s="24">
        <f ca="1">ROUND(J14*M22,1)</f>
        <v>316.5</v>
      </c>
      <c r="K22" s="3009" t="s">
        <v>1434</v>
      </c>
      <c r="L22" s="347" t="s">
        <v>1406</v>
      </c>
      <c r="M22" s="374">
        <f ca="1">INDIRECT("'数据-取费表'!Ak"&amp;$G$1)</f>
        <v>1.4999999999999999E-2</v>
      </c>
    </row>
    <row r="23" spans="1:37" s="1836" customFormat="1" ht="18" customHeight="1">
      <c r="A23" s="1182" t="s">
        <v>1031</v>
      </c>
      <c r="B23" s="347" t="s">
        <v>1435</v>
      </c>
      <c r="C23" s="24">
        <f ca="1">IF('数据-取费表'!B22&lt;=1,ROUND(C19*F24*F23/2,0)+ROUND(C20*F24*F23/2,0),ROUND(C19*(POWER((1+F24),F23/2)-1),0)+ROUND(C20*(POWER((1+F24),F23/2)-1),0))</f>
        <v>1253</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f ca="1">ROUND(J13*M23,1)</f>
        <v>0</v>
      </c>
      <c r="K23" s="3009" t="s">
        <v>1438</v>
      </c>
      <c r="L23" s="347" t="s">
        <v>1406</v>
      </c>
      <c r="M23" s="376">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1033</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1376</v>
      </c>
      <c r="I24" s="1321" t="s">
        <v>1423</v>
      </c>
      <c r="J24" s="1322">
        <f ca="1">ROUND(J5*M24,1)</f>
        <v>0</v>
      </c>
      <c r="K24" s="1323" t="s">
        <v>1443</v>
      </c>
      <c r="L24" s="1321" t="s">
        <v>1406</v>
      </c>
      <c r="M24" s="1317">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2995"/>
      <c r="F25" s="26"/>
      <c r="G25" s="1829"/>
      <c r="H25" s="1310" t="s">
        <v>1028</v>
      </c>
      <c r="I25" s="1325" t="s">
        <v>1447</v>
      </c>
      <c r="J25" s="355">
        <f ca="1">J5-J16</f>
        <v>-346</v>
      </c>
      <c r="K25" s="1326" t="s">
        <v>1448</v>
      </c>
      <c r="L25" s="1327"/>
      <c r="M25" s="1328"/>
    </row>
    <row r="26" spans="1:37">
      <c r="A26" s="1182" t="s">
        <v>1031</v>
      </c>
      <c r="B26" s="347" t="s">
        <v>1449</v>
      </c>
      <c r="C26" s="24">
        <f ca="1">ROUND((C19+C20)*F26,0)</f>
        <v>869</v>
      </c>
      <c r="D26" s="369" t="s">
        <v>1450</v>
      </c>
      <c r="E26" s="358" t="s">
        <v>1451</v>
      </c>
      <c r="F26" s="357">
        <f ca="1">INDIRECT("'数据-取费表'!q"&amp;$G$1)</f>
        <v>0.05</v>
      </c>
      <c r="G26" s="1829"/>
      <c r="H26" s="344" t="s">
        <v>1029</v>
      </c>
      <c r="I26" s="345" t="s">
        <v>1452</v>
      </c>
      <c r="J26" s="346">
        <f ca="1">IF(J5&lt;&gt;0,ROUND(J25*(1-((1+M28)/(1+M26))^M27)/(M26-M28),0),0)</f>
        <v>0</v>
      </c>
      <c r="K26" s="370" t="s">
        <v>1453</v>
      </c>
      <c r="L26" s="347" t="s">
        <v>1454</v>
      </c>
      <c r="M26" s="357">
        <f ca="1">INDIRECT("'数据-取费表'!I"&amp;$G$1)</f>
        <v>0.05</v>
      </c>
    </row>
    <row r="27" spans="1:37" ht="18" customHeight="1">
      <c r="A27" s="1182" t="s">
        <v>1033</v>
      </c>
      <c r="B27" s="347" t="s">
        <v>1455</v>
      </c>
      <c r="C27" s="24">
        <f ca="1">ROUND(F21*F26,4)</f>
        <v>1E-3</v>
      </c>
      <c r="D27" s="369" t="s">
        <v>1456</v>
      </c>
      <c r="E27" s="365"/>
      <c r="F27" s="366"/>
      <c r="G27" s="1829"/>
      <c r="H27" s="349"/>
      <c r="I27" s="350"/>
      <c r="J27" s="351"/>
      <c r="K27" s="378" t="s">
        <v>1457</v>
      </c>
      <c r="L27" s="347" t="s">
        <v>1458</v>
      </c>
      <c r="M27" s="379">
        <f ca="1">INDIRECT("'数据-取费表'!ag"&amp;$G$1)</f>
        <v>0</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f ca="1">ROUND((C19+C20+C23+C26)/(1-F21-C24-C27-C28),0)</f>
        <v>21098</v>
      </c>
      <c r="D29" s="1323"/>
      <c r="E29" s="1321"/>
      <c r="F29" s="1324"/>
      <c r="G29" s="1832"/>
      <c r="H29" s="380" t="s">
        <v>1030</v>
      </c>
      <c r="I29" s="381" t="s">
        <v>1463</v>
      </c>
      <c r="J29" s="382">
        <f ca="1">ROUND(J26/(1+F40)^F41,0)</f>
        <v>0</v>
      </c>
      <c r="K29" s="383" t="s">
        <v>1464</v>
      </c>
      <c r="L29" s="384"/>
      <c r="M29" s="385">
        <f ca="1">INDIRECT("'数据-取费表'!k"&amp;$G$1)</f>
        <v>34125.879999999997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f ca="1">ROUND(C31+C36+C37+C38,0)</f>
        <v>495</v>
      </c>
      <c r="D30" s="1318" t="s">
        <v>1409</v>
      </c>
      <c r="E30" s="3010"/>
      <c r="F30" s="1275"/>
      <c r="G30" s="1829"/>
      <c r="H30" s="741"/>
      <c r="I30" s="742"/>
      <c r="J30" s="743"/>
      <c r="K30" s="744"/>
      <c r="L30" s="745"/>
      <c r="M30" s="746"/>
    </row>
    <row r="31" spans="1:37" ht="18" customHeight="1">
      <c r="A31" s="1182" t="s">
        <v>1032</v>
      </c>
      <c r="B31" s="347" t="s">
        <v>1413</v>
      </c>
      <c r="C31" s="24">
        <f ca="1">ROUND(IF(项目基本情况!B11="自然人",C6*F31/(1+'数据-取费表'!C42),C32+C33+C34),1)</f>
        <v>170.3</v>
      </c>
      <c r="D31" s="3007" t="s">
        <v>1414</v>
      </c>
      <c r="E31" s="3009"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f ca="1">IF(项目基本情况!B11="自然人","——",ROUND(C6*F32/(1+'数据-取费表'!C42),2))</f>
        <v>44.91</v>
      </c>
      <c r="D32" s="3009" t="s">
        <v>1418</v>
      </c>
      <c r="E32" s="347" t="s">
        <v>1406</v>
      </c>
      <c r="F32" s="377">
        <f>'数据-取费表'!B41</f>
        <v>5.6000000000000001E-2</v>
      </c>
      <c r="G32" s="1829"/>
      <c r="H32" s="741"/>
      <c r="I32" s="742"/>
      <c r="J32" s="743"/>
      <c r="K32" s="744"/>
      <c r="L32" s="745"/>
      <c r="M32" s="746"/>
    </row>
    <row r="33" spans="1:18" ht="18" customHeight="1">
      <c r="A33" s="1182" t="s">
        <v>1033</v>
      </c>
      <c r="B33" s="347" t="s">
        <v>1421</v>
      </c>
      <c r="C33" s="24">
        <f ca="1">IF(项目基本情况!B11="自然人","——",IF(D33="按租金收入计税",ROUND(C6*F33/(1+'数据-取费表'!C42),2),IF(D33="按房产原值计税",ROUND(C29*F33*0.7,2),INDIRECT("'数据-取费表'!Aj"&amp;$G$1))))</f>
        <v>96.23</v>
      </c>
      <c r="D33" s="1806" t="s">
        <v>3050</v>
      </c>
      <c r="E33" s="347" t="s">
        <v>1406</v>
      </c>
      <c r="F33" s="367">
        <f>IF(D33="按票据","——",IF(D33="按租金收入计税",'数据-取费表'!B51,'数据-取费表'!B50))</f>
        <v>0.12</v>
      </c>
      <c r="G33" s="1829"/>
      <c r="H33" s="1837"/>
      <c r="I33" s="1838"/>
      <c r="J33" s="1839"/>
      <c r="K33" s="1840"/>
      <c r="L33" s="1837"/>
      <c r="M33" s="1837"/>
    </row>
    <row r="34" spans="1:18" ht="18" customHeight="1">
      <c r="A34" s="1272" t="s">
        <v>1373</v>
      </c>
      <c r="B34" s="164" t="s">
        <v>1425</v>
      </c>
      <c r="C34" s="25">
        <f ca="1">IF(项目基本情况!B11="自然人","——",ROUND(F34*F35/10000,2))</f>
        <v>29.17</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f ca="1">INDIRECT("'数据-取费表'!r"&amp;$G$1)</f>
        <v>9724.5499999999993</v>
      </c>
      <c r="G35" s="1829"/>
      <c r="H35" s="741"/>
      <c r="I35" s="1838"/>
      <c r="J35" s="1839"/>
      <c r="K35" s="1840"/>
      <c r="L35" s="1837"/>
      <c r="M35" s="1837"/>
    </row>
    <row r="36" spans="1:18" ht="18" customHeight="1">
      <c r="A36" s="1333" t="s">
        <v>1036</v>
      </c>
      <c r="B36" s="347" t="s">
        <v>1433</v>
      </c>
      <c r="C36" s="24">
        <f ca="1">ROUND(C29*F36,1)</f>
        <v>316.5</v>
      </c>
      <c r="D36" s="3009" t="s">
        <v>1466</v>
      </c>
      <c r="E36" s="347" t="s">
        <v>1406</v>
      </c>
      <c r="F36" s="374">
        <f ca="1">INDIRECT("'数据-取费表'!Ak"&amp;$G$1)</f>
        <v>1.4999999999999999E-2</v>
      </c>
      <c r="G36" s="1829"/>
      <c r="H36" s="1837"/>
      <c r="I36" s="1838"/>
      <c r="J36" s="1839"/>
      <c r="K36" s="747"/>
      <c r="L36" s="1837"/>
      <c r="M36" s="1837"/>
    </row>
    <row r="37" spans="1:18" ht="18" customHeight="1">
      <c r="A37" s="1182" t="s">
        <v>1072</v>
      </c>
      <c r="B37" s="347" t="s">
        <v>1437</v>
      </c>
      <c r="C37" s="24">
        <f ca="1">ROUND(C13*F37,1)</f>
        <v>0</v>
      </c>
      <c r="D37" s="3009" t="s">
        <v>1438</v>
      </c>
      <c r="E37" s="347" t="s">
        <v>1406</v>
      </c>
      <c r="F37" s="376">
        <f ca="1">INDIRECT("'数据-取费表'!Al"&amp;$G$1)</f>
        <v>1.5E-3</v>
      </c>
      <c r="G37" s="1829"/>
      <c r="H37" s="1837"/>
      <c r="I37" s="1838"/>
      <c r="J37" s="1839"/>
      <c r="K37" s="747"/>
      <c r="L37" s="1837"/>
      <c r="M37" s="1837"/>
    </row>
    <row r="38" spans="1:18" ht="18" customHeight="1" thickBot="1">
      <c r="A38" s="1320" t="s">
        <v>1376</v>
      </c>
      <c r="B38" s="1321" t="s">
        <v>1423</v>
      </c>
      <c r="C38" s="1322">
        <f ca="1">ROUND(C5*F38,1)</f>
        <v>8.4</v>
      </c>
      <c r="D38" s="1323" t="s">
        <v>1443</v>
      </c>
      <c r="E38" s="1321" t="s">
        <v>1406</v>
      </c>
      <c r="F38" s="1317">
        <f ca="1">INDIRECT("'数据-取费表'!Am"&amp;$G$1)</f>
        <v>0.01</v>
      </c>
      <c r="G38" s="1829"/>
      <c r="H38" s="1837"/>
      <c r="I38" s="1838"/>
      <c r="J38" s="1839"/>
      <c r="K38" s="1843"/>
      <c r="L38" s="1837"/>
      <c r="M38" s="1837"/>
    </row>
    <row r="39" spans="1:18" ht="24.6" customHeight="1" thickTop="1">
      <c r="A39" s="1310" t="s">
        <v>1028</v>
      </c>
      <c r="B39" s="1325" t="s">
        <v>1447</v>
      </c>
      <c r="C39" s="355">
        <f ca="1">C5-C30</f>
        <v>347</v>
      </c>
      <c r="D39" s="1326" t="s">
        <v>1448</v>
      </c>
      <c r="E39" s="1327"/>
      <c r="F39" s="1328"/>
      <c r="G39" s="1829"/>
      <c r="H39" s="1837"/>
      <c r="I39" s="1838"/>
      <c r="J39" s="1839"/>
      <c r="K39" s="1843"/>
      <c r="L39" s="1837"/>
      <c r="M39" s="1837"/>
    </row>
    <row r="40" spans="1:18" ht="18" customHeight="1">
      <c r="A40" s="344" t="s">
        <v>1029</v>
      </c>
      <c r="B40" s="345" t="s">
        <v>1469</v>
      </c>
      <c r="C40" s="346">
        <f ca="1">ROUND(C39*(1-((1+F42)/(1+F40))^F41)/(F40-F42),0)</f>
        <v>6838</v>
      </c>
      <c r="D40" s="370" t="s">
        <v>1453</v>
      </c>
      <c r="E40" s="347" t="s">
        <v>1454</v>
      </c>
      <c r="F40" s="357">
        <f ca="1">INDIRECT("'数据-取费表'!I"&amp;$G$1)</f>
        <v>0.05</v>
      </c>
      <c r="G40" s="1829"/>
      <c r="H40" s="1817"/>
      <c r="I40" s="1838"/>
      <c r="J40" s="1839"/>
      <c r="K40" s="1843"/>
      <c r="L40" s="1817"/>
      <c r="M40" s="1817"/>
    </row>
    <row r="41" spans="1:18" ht="18" customHeight="1">
      <c r="A41" s="349"/>
      <c r="B41" s="350"/>
      <c r="C41" s="351"/>
      <c r="D41" s="378" t="s">
        <v>1470</v>
      </c>
      <c r="E41" s="347" t="s">
        <v>1458</v>
      </c>
      <c r="F41" s="379">
        <f ca="1">IF(INDIRECT("'数据-取费表'!af"&amp;$G$1)=0,INDIRECT("'数据-取费表'!ae"&amp;$G$1),INDIRECT("'数据-取费表'!af"&amp;$G$1))</f>
        <v>28.16</v>
      </c>
      <c r="G41" s="1829"/>
      <c r="H41" s="728"/>
      <c r="I41" s="1838"/>
      <c r="J41" s="1839"/>
      <c r="K41" s="747"/>
      <c r="L41" s="728"/>
      <c r="M41" s="728"/>
    </row>
    <row r="42" spans="1:18" ht="18" customHeight="1">
      <c r="A42" s="353"/>
      <c r="B42" s="354"/>
      <c r="C42" s="355"/>
      <c r="D42" s="373"/>
      <c r="E42" s="347" t="s">
        <v>1461</v>
      </c>
      <c r="F42" s="357">
        <f ca="1">INDIRECT("'数据-取费表'!v"&amp;$G$1)</f>
        <v>2.5000000000000001E-2</v>
      </c>
      <c r="G42" s="1829"/>
      <c r="H42" s="728"/>
      <c r="I42" s="1838"/>
      <c r="J42" s="1839"/>
      <c r="K42" s="747"/>
      <c r="L42" s="728"/>
      <c r="M42" s="728"/>
    </row>
    <row r="43" spans="1:18" ht="18" customHeight="1" thickBot="1">
      <c r="A43" s="380" t="s">
        <v>1030</v>
      </c>
      <c r="B43" s="381" t="s">
        <v>1471</v>
      </c>
      <c r="C43" s="382">
        <f ca="1">ROUND(C40*10000/F43,0)</f>
        <v>2004</v>
      </c>
      <c r="D43" s="383" t="s">
        <v>1472</v>
      </c>
      <c r="E43" s="384" t="s">
        <v>1473</v>
      </c>
      <c r="F43" s="385">
        <f ca="1">INDIRECT("'数据-取费表'!k"&amp;$G$1)</f>
        <v>34125.879999999997</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f ca="1">C68-C40</f>
        <v>-38476</v>
      </c>
      <c r="D46" s="1850" t="str">
        <f>C2</f>
        <v>万元</v>
      </c>
      <c r="E46" s="1844"/>
      <c r="F46" s="1844"/>
      <c r="I46" s="1851" t="s">
        <v>1505</v>
      </c>
      <c r="J46" s="1852"/>
      <c r="K46" s="1853"/>
      <c r="L46" s="1854" t="str">
        <f ca="1">IF(M47="住宅",0,IF(L48&gt;J51,L60,J60))</f>
        <v>0</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f ca="1">INDIRECT("'数据-取费表'!d"&amp;$G$1)</f>
        <v>40</v>
      </c>
      <c r="M47" s="1816" t="str">
        <f>IF(ISNUMBER(FIND("住宅",C1)),"住宅","非住宅")</f>
        <v>非住宅</v>
      </c>
      <c r="O47" s="1862" t="s">
        <v>1037</v>
      </c>
      <c r="P47" s="1863" t="s">
        <v>1512</v>
      </c>
      <c r="Q47" s="1864">
        <f ca="1">C40+J29</f>
        <v>6838</v>
      </c>
      <c r="R47" s="1864" t="s">
        <v>1513</v>
      </c>
    </row>
    <row r="48" spans="1:18" s="1820" customFormat="1" ht="40.200000000000003" thickBot="1">
      <c r="A48" s="1341" t="s">
        <v>1125</v>
      </c>
      <c r="B48" s="345" t="s">
        <v>1385</v>
      </c>
      <c r="C48" s="2994">
        <f ca="1">C49+C53+C55</f>
        <v>0</v>
      </c>
      <c r="D48" s="1343"/>
      <c r="E48" s="1344"/>
      <c r="F48" s="1162"/>
      <c r="G48" s="787"/>
      <c r="H48" s="788"/>
      <c r="I48" s="1865" t="s">
        <v>1514</v>
      </c>
      <c r="J48" s="1866" t="s">
        <v>3035</v>
      </c>
      <c r="K48" s="1867" t="s">
        <v>1515</v>
      </c>
      <c r="L48" s="1868">
        <f ca="1">INDIRECT("'数据-取费表'!f"&amp;$G$1)</f>
        <v>28.16</v>
      </c>
      <c r="O48" s="1862" t="s">
        <v>1038</v>
      </c>
      <c r="P48" s="1863" t="s">
        <v>1516</v>
      </c>
      <c r="Q48" s="1864" t="str">
        <f ca="1">J60</f>
        <v>0</v>
      </c>
      <c r="R48" s="1864" t="s">
        <v>1517</v>
      </c>
    </row>
    <row r="49" spans="1:18" s="1820" customFormat="1" ht="13.8" thickBot="1">
      <c r="A49" s="1175" t="s">
        <v>1126</v>
      </c>
      <c r="B49" s="1807" t="s">
        <v>1474</v>
      </c>
      <c r="C49" s="1345">
        <f ca="1">ROUND(F49*F51*F50*(1-F52)/10000,0)</f>
        <v>0</v>
      </c>
      <c r="D49" s="1257" t="s">
        <v>2998</v>
      </c>
      <c r="E49" s="1808" t="s">
        <v>1475</v>
      </c>
      <c r="F49" s="1262"/>
      <c r="G49" s="1869"/>
      <c r="H49" s="788"/>
      <c r="I49" s="1865" t="s">
        <v>1518</v>
      </c>
      <c r="J49" s="1870">
        <v>1997</v>
      </c>
      <c r="K49" s="1867" t="s">
        <v>1519</v>
      </c>
      <c r="L49" s="1871"/>
      <c r="O49" s="1872" t="s">
        <v>1039</v>
      </c>
      <c r="P49" s="1863" t="s">
        <v>1520</v>
      </c>
      <c r="Q49" s="1864">
        <f ca="1">C29</f>
        <v>21098</v>
      </c>
      <c r="R49" s="1864" t="s">
        <v>1513</v>
      </c>
    </row>
    <row r="50" spans="1:18" s="1820" customFormat="1" ht="13.8" thickBot="1">
      <c r="A50" s="1176"/>
      <c r="B50" s="1179"/>
      <c r="C50" s="1349"/>
      <c r="D50" s="1153"/>
      <c r="E50" s="1258" t="s">
        <v>1390</v>
      </c>
      <c r="F50" s="1259">
        <f ca="1">F7</f>
        <v>650</v>
      </c>
      <c r="H50" s="788"/>
      <c r="I50" s="1865" t="s">
        <v>1521</v>
      </c>
      <c r="J50" s="1873">
        <f>SUMPRODUCT((I63:I65=J47)*(J62:L62=J48)*(J63:L65))</f>
        <v>60</v>
      </c>
      <c r="K50" s="1867" t="s">
        <v>1522</v>
      </c>
      <c r="L50" s="1871"/>
      <c r="M50" s="1874"/>
      <c r="O50" s="1872" t="s">
        <v>1040</v>
      </c>
      <c r="P50" s="1863" t="s">
        <v>1523</v>
      </c>
      <c r="Q50" s="1875" t="e">
        <f ca="1">J58</f>
        <v>#VALUE!</v>
      </c>
      <c r="R50" s="1864"/>
    </row>
    <row r="51" spans="1:18" s="1820" customFormat="1" ht="13.8" thickBot="1">
      <c r="A51" s="1177"/>
      <c r="B51" s="1179"/>
      <c r="C51" s="1180"/>
      <c r="D51" s="1153"/>
      <c r="E51" s="1181" t="s">
        <v>1391</v>
      </c>
      <c r="F51" s="348">
        <f ca="1">F8</f>
        <v>12</v>
      </c>
      <c r="I51" s="1876" t="s">
        <v>1524</v>
      </c>
      <c r="J51" s="1877">
        <f>IF(J49="",J50,J49+J50-YEAR('数据-取费表'!B2))</f>
        <v>37</v>
      </c>
      <c r="K51" s="1878" t="s">
        <v>1525</v>
      </c>
      <c r="L51" s="1879">
        <f ca="1">ROUND(-PV(INDIRECT("'数据-取费表'!h"&amp;$G$1),L48,(C39-C13*C76),0),0)</f>
        <v>5479</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f ca="1">J53</f>
        <v>28.16</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f ca="1">IF(M47="住宅",IF(D1="——",MAX(J51,L48),MAX(J51,L48-'数据-取费表'!B24)),IF(D1="——",MIN(J51,L48),MIN(J51,L48-'数据-取费表'!B24)))</f>
        <v>28.16</v>
      </c>
      <c r="K53" s="3696" t="s">
        <v>1532</v>
      </c>
      <c r="L53" s="3697"/>
      <c r="O53" s="1862" t="s">
        <v>1043</v>
      </c>
      <c r="P53" s="1863" t="s">
        <v>1533</v>
      </c>
      <c r="Q53" s="1864">
        <f ca="1">Q47+Q48</f>
        <v>6838</v>
      </c>
      <c r="R53" s="1864" t="s">
        <v>1044</v>
      </c>
    </row>
    <row r="54" spans="1:18" s="1820" customFormat="1" ht="24.6" thickBot="1">
      <c r="A54" s="1386"/>
      <c r="B54" s="1803" t="s">
        <v>1372</v>
      </c>
      <c r="C54" s="1159"/>
      <c r="D54" s="1802"/>
      <c r="E54" s="2999"/>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1534</v>
      </c>
      <c r="P54" s="1817"/>
      <c r="Q54" s="1817"/>
      <c r="R54" s="1817"/>
    </row>
    <row r="55" spans="1:18" s="1820" customFormat="1" ht="13.8" thickBot="1">
      <c r="A55" s="1314" t="s">
        <v>1072</v>
      </c>
      <c r="B55" s="1805" t="s">
        <v>1397</v>
      </c>
      <c r="C55" s="1315"/>
      <c r="D55" s="1802"/>
      <c r="E55" s="2999"/>
      <c r="F55" s="1884"/>
      <c r="I55" s="1887" t="s">
        <v>1535</v>
      </c>
      <c r="J55" s="1888" t="e">
        <f ca="1">ROUND(IF(J47="钢混",J57/J50,1-(1-2%)*(J50-J57)/J50),3)</f>
        <v>#VALUE!</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f ca="1">C13</f>
        <v>0</v>
      </c>
      <c r="D56" s="1891"/>
      <c r="E56" s="1892"/>
      <c r="F56" s="1884"/>
      <c r="I56" s="1893" t="s">
        <v>1538</v>
      </c>
      <c r="J56" s="1894" t="s">
        <v>3033</v>
      </c>
      <c r="K56" s="1865" t="s">
        <v>1539</v>
      </c>
      <c r="L56" s="1868" t="str">
        <f ca="1">IF(L48&lt;J51,"——",L48-J53)</f>
        <v>——</v>
      </c>
      <c r="O56" s="1862" t="s">
        <v>1037</v>
      </c>
      <c r="P56" s="1863" t="s">
        <v>1512</v>
      </c>
      <c r="Q56" s="1864">
        <f ca="1">C40+J29</f>
        <v>6838</v>
      </c>
      <c r="R56" s="1864" t="s">
        <v>1513</v>
      </c>
    </row>
    <row r="57" spans="1:18" s="1820" customFormat="1" ht="24.6" thickBot="1">
      <c r="A57" s="1895"/>
      <c r="B57" s="1150" t="s">
        <v>1462</v>
      </c>
      <c r="C57" s="282">
        <f ca="1">C29</f>
        <v>21098</v>
      </c>
      <c r="D57" s="1896"/>
      <c r="E57" s="1897"/>
      <c r="F57" s="1898"/>
      <c r="I57" s="1899" t="s">
        <v>1540</v>
      </c>
      <c r="J57" s="1900" t="str">
        <f ca="1">IF(OR(M47="住宅",J51&lt;L48,J56="是"),"——",J51-L48)</f>
        <v>——</v>
      </c>
      <c r="K57" s="1865" t="s">
        <v>1541</v>
      </c>
      <c r="L57" s="1868" t="str">
        <f ca="1">IF(L48&lt;J51,"——",IF(L55="比较法",L49,IF(L55="基准地价",L50,L51)))</f>
        <v>——</v>
      </c>
      <c r="O57" s="1862" t="s">
        <v>1038</v>
      </c>
      <c r="P57" s="1863" t="s">
        <v>1542</v>
      </c>
      <c r="Q57" s="1864">
        <f ca="1">L60</f>
        <v>0</v>
      </c>
      <c r="R57" s="1864" t="s">
        <v>1543</v>
      </c>
    </row>
    <row r="58" spans="1:18" s="1820" customFormat="1" ht="24.6" thickBot="1">
      <c r="A58" s="360" t="s">
        <v>1027</v>
      </c>
      <c r="B58" s="1158" t="s">
        <v>1408</v>
      </c>
      <c r="C58" s="361">
        <f ca="1">ROUND(C59+C64+C65+C66,0)</f>
        <v>2118</v>
      </c>
      <c r="D58" s="1160" t="s">
        <v>1409</v>
      </c>
      <c r="E58" s="1161"/>
      <c r="F58" s="1162"/>
      <c r="I58" s="1899" t="s">
        <v>1544</v>
      </c>
      <c r="J58" s="1901" t="e">
        <f ca="1">IF(J55&lt;0.4,0.4,J55)</f>
        <v>#VALUE!</v>
      </c>
      <c r="K58" s="1878" t="s">
        <v>1545</v>
      </c>
      <c r="L58" s="1868" t="e">
        <f ca="1">ROUND(POWER(1+L52,L47-L48)*(POWER(1+L52,L48)-1)/(POWER(1+L52,L47)-1),4)</f>
        <v>#DIV/0!</v>
      </c>
      <c r="O58" s="1872" t="s">
        <v>1039</v>
      </c>
      <c r="P58" s="1863" t="s">
        <v>1546</v>
      </c>
      <c r="Q58" s="1864">
        <f>IF(L55="比较法",L49,IF(L55="基准地价",L50,0))</f>
        <v>0</v>
      </c>
      <c r="R58" s="1864" t="s">
        <v>1513</v>
      </c>
    </row>
    <row r="59" spans="1:18" s="1820" customFormat="1" ht="24.6" thickBot="1">
      <c r="A59" s="1182" t="s">
        <v>1032</v>
      </c>
      <c r="B59" s="1150" t="s">
        <v>1413</v>
      </c>
      <c r="C59" s="24">
        <f ca="1">ROUND(IF(项目基本情况!B11="自然人",C48*F59,C60+C61+C62),1)</f>
        <v>1801.4</v>
      </c>
      <c r="D59" s="1163" t="s">
        <v>1414</v>
      </c>
      <c r="E59" s="1164" t="s">
        <v>1415</v>
      </c>
      <c r="F59" s="368" t="str">
        <f ca="1">IF(项目基本情况!B11="企业","",IF(INDIRECT("'数据-取费表'!c"&amp;$G$1)="住宅",5%,IF(F49*F50*F51/12/(1+'数据-取费表'!C42)&gt;20000,12%,7%)))</f>
        <v/>
      </c>
      <c r="I59" s="1899" t="s">
        <v>1547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1548</v>
      </c>
      <c r="Q59" s="1875">
        <f>L52</f>
        <v>0</v>
      </c>
      <c r="R59" s="1864"/>
    </row>
    <row r="60" spans="1:18" s="1820" customFormat="1" ht="16.2" thickBot="1">
      <c r="A60" s="1182" t="s">
        <v>1031</v>
      </c>
      <c r="B60" s="1150" t="s">
        <v>1417</v>
      </c>
      <c r="C60" s="24">
        <f ca="1">IF(项目基本情况!B11="自然人","——",ROUND(C48*F60/(1+'数据-取费表'!C42),2))</f>
        <v>0</v>
      </c>
      <c r="D60" s="1164" t="s">
        <v>1418</v>
      </c>
      <c r="E60" s="1150" t="s">
        <v>1406</v>
      </c>
      <c r="F60" s="377">
        <f t="shared" ref="F60:F66" si="0">F32</f>
        <v>5.6000000000000001E-2</v>
      </c>
      <c r="I60" s="1902" t="s">
        <v>1549</v>
      </c>
      <c r="J60" s="1903" t="str">
        <f ca="1">IF(OR(M47="住宅",J51&lt;L48,J56="是"),"0",ROUND(J59/(1+J52)^J53,0))</f>
        <v>0</v>
      </c>
      <c r="K60" s="1904" t="s">
        <v>1550</v>
      </c>
      <c r="L60" s="1903">
        <f ca="1">IF(OR(M47="住宅",L48&lt;J51),0,ROUND(L57*(L58/L59-1),0))</f>
        <v>0</v>
      </c>
      <c r="O60" s="1872" t="s">
        <v>1041</v>
      </c>
      <c r="P60" s="1863" t="s">
        <v>1551</v>
      </c>
      <c r="Q60" s="1864" t="e">
        <f ca="1">L58</f>
        <v>#DIV/0!</v>
      </c>
      <c r="R60" s="1864" t="s">
        <v>1552</v>
      </c>
    </row>
    <row r="61" spans="1:18" s="1820" customFormat="1" ht="13.8" thickBot="1">
      <c r="A61" s="1182" t="s">
        <v>1476</v>
      </c>
      <c r="B61" s="1150" t="s">
        <v>1421</v>
      </c>
      <c r="C61" s="24">
        <f ca="1">IF(项目基本情况!B11="自然人","——",IF(D61="按租金收入计税",ROUND(C48*F61,2),IF(D61="按房产原值计税",ROUND(C57*F61*0.7,2),INDIRECT("'数据-取费表'!Aj"&amp;$G$1))))</f>
        <v>1772.23</v>
      </c>
      <c r="D61" s="1806" t="s">
        <v>1422</v>
      </c>
      <c r="E61" s="1150" t="s">
        <v>1406</v>
      </c>
      <c r="F61" s="367">
        <f t="shared" si="0"/>
        <v>0.12</v>
      </c>
      <c r="I61" s="1905"/>
      <c r="J61" s="1905"/>
      <c r="K61" s="1905"/>
      <c r="L61" s="1905"/>
      <c r="O61" s="1872" t="s">
        <v>1042</v>
      </c>
      <c r="P61" s="1863" t="str">
        <f>K59</f>
        <v>建筑物剩余耐用年限下的土地年期修正系数Kn</v>
      </c>
      <c r="Q61" s="1864" t="e">
        <f ca="1">L59</f>
        <v>#DIV/0!</v>
      </c>
      <c r="R61" s="1864" t="s">
        <v>1553</v>
      </c>
    </row>
    <row r="62" spans="1:18" s="1820" customFormat="1" ht="13.8" thickBot="1">
      <c r="A62" s="1182" t="s">
        <v>1479</v>
      </c>
      <c r="B62" s="1149" t="s">
        <v>1425</v>
      </c>
      <c r="C62" s="25">
        <f ca="1">IF(项目基本情况!B11="自然人","——",ROUND(F62*F63/10000,2))</f>
        <v>29.17</v>
      </c>
      <c r="D62" s="1165" t="s">
        <v>1426</v>
      </c>
      <c r="E62" s="1150" t="s">
        <v>1427</v>
      </c>
      <c r="F62" s="371">
        <f t="shared" si="0"/>
        <v>30</v>
      </c>
      <c r="I62" s="1906" t="s">
        <v>1554</v>
      </c>
      <c r="J62" s="1907" t="s">
        <v>1555</v>
      </c>
      <c r="K62" s="1907" t="s">
        <v>1556</v>
      </c>
      <c r="L62" s="1907" t="s">
        <v>1557</v>
      </c>
      <c r="M62" s="1908" t="s">
        <v>1558</v>
      </c>
      <c r="O62" s="1862" t="s">
        <v>1043</v>
      </c>
      <c r="P62" s="1863" t="s">
        <v>1533</v>
      </c>
      <c r="Q62" s="1864">
        <f ca="1">Q56+Q57</f>
        <v>6838</v>
      </c>
      <c r="R62" s="1864" t="s">
        <v>1044</v>
      </c>
    </row>
    <row r="63" spans="1:18" s="1820" customFormat="1" ht="13.8" thickBot="1">
      <c r="A63" s="372"/>
      <c r="B63" s="1156"/>
      <c r="C63" s="29"/>
      <c r="D63" s="1166"/>
      <c r="E63" s="1150" t="s">
        <v>1431</v>
      </c>
      <c r="F63" s="348">
        <f t="shared" ca="1" si="0"/>
        <v>9724.5499999999993</v>
      </c>
      <c r="I63" s="1906" t="s">
        <v>1560</v>
      </c>
      <c r="J63" s="1907">
        <v>70</v>
      </c>
      <c r="K63" s="1907">
        <v>50</v>
      </c>
      <c r="L63" s="1907">
        <v>80</v>
      </c>
      <c r="M63" s="1909">
        <v>0.02</v>
      </c>
      <c r="O63" s="1847" t="s">
        <v>1561</v>
      </c>
      <c r="P63" s="1817"/>
      <c r="Q63" s="1817"/>
      <c r="R63" s="1817"/>
    </row>
    <row r="64" spans="1:18" s="1820" customFormat="1" ht="13.8" thickBot="1">
      <c r="A64" s="1182" t="s">
        <v>1036</v>
      </c>
      <c r="B64" s="1150" t="s">
        <v>1433</v>
      </c>
      <c r="C64" s="24">
        <f ca="1">ROUND(C57*F64,1)</f>
        <v>316.5</v>
      </c>
      <c r="D64" s="1164" t="s">
        <v>1466</v>
      </c>
      <c r="E64" s="1150" t="s">
        <v>1406</v>
      </c>
      <c r="F64" s="374">
        <f t="shared" ca="1" si="0"/>
        <v>1.4999999999999999E-2</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f ca="1">ROUND(C56*F65,1)</f>
        <v>0</v>
      </c>
      <c r="D65" s="1164" t="s">
        <v>1438</v>
      </c>
      <c r="E65" s="1150" t="s">
        <v>1406</v>
      </c>
      <c r="F65" s="376">
        <f t="shared" ca="1" si="0"/>
        <v>1.5E-3</v>
      </c>
      <c r="I65" s="1906" t="s">
        <v>1563</v>
      </c>
      <c r="J65" s="1907">
        <v>40</v>
      </c>
      <c r="K65" s="1907">
        <v>30</v>
      </c>
      <c r="L65" s="1907">
        <v>50</v>
      </c>
      <c r="M65" s="1909">
        <v>0.02</v>
      </c>
      <c r="O65" s="1862" t="s">
        <v>1037</v>
      </c>
      <c r="P65" s="1863" t="s">
        <v>1512</v>
      </c>
      <c r="Q65" s="1864">
        <f ca="1">C40+J29</f>
        <v>6838</v>
      </c>
      <c r="R65" s="1864" t="s">
        <v>1513</v>
      </c>
    </row>
    <row r="66" spans="1:18" s="1820" customFormat="1" ht="16.2" thickBot="1">
      <c r="A66" s="1182" t="s">
        <v>1488</v>
      </c>
      <c r="B66" s="1150" t="s">
        <v>1423</v>
      </c>
      <c r="C66" s="24">
        <f ca="1">ROUND(C48*F66,1)</f>
        <v>0</v>
      </c>
      <c r="D66" s="1164" t="s">
        <v>1443</v>
      </c>
      <c r="E66" s="1150" t="s">
        <v>1406</v>
      </c>
      <c r="F66" s="357">
        <f t="shared" ca="1" si="0"/>
        <v>0.01</v>
      </c>
      <c r="O66" s="1862" t="s">
        <v>1038</v>
      </c>
      <c r="P66" s="1863" t="s">
        <v>1542</v>
      </c>
      <c r="Q66" s="1864">
        <f ca="1">L60</f>
        <v>0</v>
      </c>
      <c r="R66" s="1864" t="s">
        <v>1565</v>
      </c>
    </row>
    <row r="67" spans="1:18" s="1820" customFormat="1" ht="24.6" thickBot="1">
      <c r="A67" s="1157" t="s">
        <v>1028</v>
      </c>
      <c r="B67" s="1167" t="s">
        <v>1447</v>
      </c>
      <c r="C67" s="361">
        <f ca="1">C48-C58</f>
        <v>-2118</v>
      </c>
      <c r="D67" s="1163" t="s">
        <v>1448</v>
      </c>
      <c r="E67" s="1168"/>
      <c r="F67" s="1169"/>
      <c r="O67" s="1872" t="s">
        <v>1039</v>
      </c>
      <c r="P67" s="1863" t="s">
        <v>1546</v>
      </c>
      <c r="Q67" s="1910">
        <f ca="1">L51</f>
        <v>5479</v>
      </c>
      <c r="R67" s="1864" t="s">
        <v>1566</v>
      </c>
    </row>
    <row r="68" spans="1:18" s="1820" customFormat="1" ht="16.2" thickBot="1">
      <c r="A68" s="1147" t="s">
        <v>1029</v>
      </c>
      <c r="B68" s="1148" t="s">
        <v>1469</v>
      </c>
      <c r="C68" s="346">
        <f ca="1">ROUND(C67*(1-((1+F70)/(1+F68))^F69)/(F68-F70),0)</f>
        <v>-31638</v>
      </c>
      <c r="D68" s="1165" t="s">
        <v>1453</v>
      </c>
      <c r="E68" s="1150" t="s">
        <v>1454</v>
      </c>
      <c r="F68" s="357">
        <f ca="1">F40</f>
        <v>0.05</v>
      </c>
      <c r="O68" s="1872" t="s">
        <v>1040</v>
      </c>
      <c r="P68" s="1911" t="s">
        <v>1567</v>
      </c>
      <c r="Q68" s="1864">
        <f ca="1">ROUND(Q69-Q70*Q71,0)</f>
        <v>347</v>
      </c>
      <c r="R68" s="1864" t="s">
        <v>1048</v>
      </c>
    </row>
    <row r="69" spans="1:18" s="1820" customFormat="1" ht="13.8" thickBot="1">
      <c r="A69" s="1151"/>
      <c r="B69" s="1152"/>
      <c r="C69" s="351"/>
      <c r="D69" s="1170" t="s">
        <v>1457</v>
      </c>
      <c r="E69" s="1150" t="s">
        <v>1458</v>
      </c>
      <c r="F69" s="379">
        <f ca="1">F41</f>
        <v>28.16</v>
      </c>
      <c r="O69" s="1872" t="s">
        <v>1045</v>
      </c>
      <c r="P69" s="1911" t="s">
        <v>1568</v>
      </c>
      <c r="Q69" s="1864">
        <f ca="1">C39</f>
        <v>347</v>
      </c>
      <c r="R69" s="1864" t="s">
        <v>1513</v>
      </c>
    </row>
    <row r="70" spans="1:18" s="1820" customFormat="1" ht="13.8" thickBot="1">
      <c r="A70" s="1154"/>
      <c r="B70" s="1155"/>
      <c r="C70" s="355"/>
      <c r="D70" s="1166"/>
      <c r="E70" s="1150" t="s">
        <v>1461</v>
      </c>
      <c r="F70" s="1256"/>
      <c r="O70" s="1872" t="s">
        <v>1046</v>
      </c>
      <c r="P70" s="1911" t="s">
        <v>1569</v>
      </c>
      <c r="Q70" s="1864">
        <f ca="1">C13</f>
        <v>0</v>
      </c>
      <c r="R70" s="1864" t="s">
        <v>1513</v>
      </c>
    </row>
    <row r="71" spans="1:18" s="1820" customFormat="1" ht="13.8" thickBot="1">
      <c r="A71" s="1171" t="s">
        <v>1030</v>
      </c>
      <c r="B71" s="1172" t="s">
        <v>1471</v>
      </c>
      <c r="C71" s="382">
        <f ca="1">ROUND(C68*10000/F71,0)</f>
        <v>-9271</v>
      </c>
      <c r="D71" s="1173" t="s">
        <v>1472</v>
      </c>
      <c r="E71" s="1174" t="s">
        <v>1473</v>
      </c>
      <c r="F71" s="385">
        <f ca="1">F43</f>
        <v>34125.879999999997</v>
      </c>
      <c r="O71" s="1872" t="s">
        <v>1047</v>
      </c>
      <c r="P71" s="1911" t="s">
        <v>1570</v>
      </c>
      <c r="Q71" s="1875">
        <f ca="1">C76</f>
        <v>8.5000000000000006E-2</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#DIV/0!</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#DIV/0!</v>
      </c>
      <c r="R74" s="1864" t="s">
        <v>1553</v>
      </c>
    </row>
    <row r="75" spans="1:18" ht="13.8" thickBot="1">
      <c r="A75" s="1820"/>
      <c r="B75" s="386" t="s">
        <v>1490</v>
      </c>
      <c r="C75" s="387">
        <f ca="1">ROUND(C13*C76,0)</f>
        <v>0</v>
      </c>
      <c r="D75" s="1820"/>
      <c r="E75" s="1820"/>
      <c r="F75" s="1820"/>
      <c r="K75" s="1846"/>
      <c r="L75" s="1820"/>
      <c r="O75" s="1862" t="s">
        <v>1043</v>
      </c>
      <c r="P75" s="1863" t="s">
        <v>1533</v>
      </c>
      <c r="Q75" s="1864">
        <f ca="1">Q65+Q66</f>
        <v>6838</v>
      </c>
      <c r="R75" s="1864" t="s">
        <v>1044</v>
      </c>
    </row>
    <row r="76" spans="1:18">
      <c r="B76" s="388" t="s">
        <v>1491</v>
      </c>
      <c r="C76" s="389">
        <f ca="1">INDIRECT("'数据-取费表'!j"&amp;$G$1)</f>
        <v>8.5000000000000006E-2</v>
      </c>
      <c r="I76" s="1820"/>
      <c r="J76" s="1820"/>
      <c r="K76" s="1846"/>
      <c r="L76" s="1820"/>
    </row>
    <row r="77" spans="1:18">
      <c r="B77" s="390" t="s">
        <v>1492</v>
      </c>
      <c r="C77" s="391"/>
      <c r="I77" s="1820"/>
      <c r="J77" s="1820"/>
      <c r="K77" s="1846"/>
      <c r="L77" s="1820"/>
    </row>
    <row r="78" spans="1:18">
      <c r="B78" s="314" t="s">
        <v>1493</v>
      </c>
      <c r="C78" s="392"/>
    </row>
    <row r="79" spans="1:18">
      <c r="B79" s="386" t="s">
        <v>1494</v>
      </c>
      <c r="C79" s="318">
        <f ca="1">1-C80</f>
        <v>1</v>
      </c>
    </row>
    <row r="80" spans="1:18">
      <c r="B80" s="386" t="s">
        <v>1495</v>
      </c>
      <c r="C80" s="318">
        <f ca="1">ROUND(C75/C39,3)</f>
        <v>0</v>
      </c>
    </row>
    <row r="81" spans="2:3">
      <c r="B81" s="314" t="s">
        <v>1496</v>
      </c>
      <c r="C81" s="282"/>
    </row>
    <row r="82" spans="2:3">
      <c r="B82" s="317" t="s">
        <v>1497</v>
      </c>
      <c r="C82" s="319">
        <f ca="1">1-C83</f>
        <v>1</v>
      </c>
    </row>
    <row r="83" spans="2:3">
      <c r="B83" s="317" t="s">
        <v>1498</v>
      </c>
      <c r="C83" s="318">
        <f ca="1">ROUND(C13/C40,3)</f>
        <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I512"/>
  <sheetViews>
    <sheetView view="pageBreakPreview" zoomScaleNormal="100" zoomScaleSheetLayoutView="100" zoomScalePageLayoutView="80" workbookViewId="0">
      <selection activeCell="I25" sqref="I25"/>
    </sheetView>
  </sheetViews>
  <sheetFormatPr defaultColWidth="12.6640625" defaultRowHeight="21.75" customHeight="1"/>
  <cols>
    <col min="1" max="2" width="12.6640625" style="2392"/>
    <col min="3" max="4" width="12.6640625" style="2392" customWidth="1"/>
    <col min="5" max="9" width="12.6640625" style="2392"/>
    <col min="10" max="11" width="12.6640625" style="790" customWidth="1"/>
    <col min="12" max="12" width="12.6640625" style="790"/>
    <col min="13" max="13" width="14.109375" style="790" bestFit="1" customWidth="1"/>
    <col min="14" max="26" width="12.6640625" style="790"/>
    <col min="27" max="35" width="12.6640625" style="2391"/>
    <col min="36" max="16384" width="12.6640625" style="2392"/>
  </cols>
  <sheetData>
    <row r="1" spans="1:12" ht="21.75" customHeight="1" thickBot="1">
      <c r="A1" s="2197" t="s">
        <v>2100</v>
      </c>
      <c r="B1" s="2386"/>
      <c r="C1" s="2387" t="s">
        <v>3350</v>
      </c>
      <c r="D1" s="2386"/>
      <c r="E1" s="2386"/>
      <c r="F1" s="2388" t="s">
        <v>2101</v>
      </c>
      <c r="G1" s="2042" t="s">
        <v>3041</v>
      </c>
      <c r="H1" s="2389" t="str">
        <f>IF(G1="现房","——","估价对象范围")</f>
        <v>——</v>
      </c>
      <c r="I1" s="2390"/>
    </row>
    <row r="2" spans="1:12" ht="21.75" customHeight="1" thickBot="1">
      <c r="A2" s="3579" t="str">
        <f>项目基本情况!S2</f>
        <v>四川省成都市青羊区西御街3号、5号房地产</v>
      </c>
      <c r="B2" s="3580"/>
      <c r="C2" s="3580"/>
      <c r="D2" s="3580"/>
      <c r="E2" s="3580"/>
      <c r="F2" s="3580"/>
      <c r="G2" s="3580"/>
      <c r="H2" s="3580"/>
      <c r="I2" s="3581"/>
    </row>
    <row r="3" spans="1:12" ht="13.2">
      <c r="A3" s="3583" t="s">
        <v>2102</v>
      </c>
      <c r="B3" s="3584"/>
      <c r="C3" s="3584"/>
      <c r="D3" s="3584"/>
      <c r="E3" s="3584"/>
      <c r="F3" s="3584"/>
      <c r="G3" s="3584"/>
      <c r="H3" s="3584"/>
      <c r="I3" s="3584"/>
    </row>
    <row r="4" spans="1:12" ht="14.4">
      <c r="A4" s="2393" t="s">
        <v>2103</v>
      </c>
      <c r="B4" s="2394" t="s">
        <v>2104</v>
      </c>
      <c r="C4" s="2395" t="s">
        <v>3366</v>
      </c>
      <c r="D4" s="2395" t="s">
        <v>3362</v>
      </c>
      <c r="E4" s="3576" t="s">
        <v>2105</v>
      </c>
      <c r="F4" s="3577"/>
      <c r="G4" s="3577"/>
      <c r="H4" s="3577"/>
      <c r="I4" s="3585"/>
      <c r="K4" s="2396" t="str">
        <f>IF(ISNUMBER(FIND("比较法",结果表酒店!C4)),"比较法",IF(ISNUMBER(FIND("成本法",结果表酒店!C4)),"成本法",IF(ISNUMBER(FIND("假设开发法",结果表酒店!C4)),"假设开发法",IF(ISNUMBER(FIND("收益法",结果表酒店!C4)),"收益法","基准地价系数修正法"))))</f>
        <v>成本法</v>
      </c>
      <c r="L4" s="2396"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559" t="s">
        <v>2106</v>
      </c>
      <c r="B5" s="3486">
        <v>25</v>
      </c>
      <c r="C5" s="3562"/>
      <c r="D5" s="3582"/>
      <c r="E5" s="140" t="s">
        <v>2107</v>
      </c>
      <c r="F5" s="2397"/>
      <c r="G5" s="2397"/>
      <c r="H5" s="2397"/>
      <c r="I5" s="1809"/>
    </row>
    <row r="6" spans="1:12" ht="13.2">
      <c r="A6" s="3559"/>
      <c r="B6" s="3486"/>
      <c r="C6" s="3563"/>
      <c r="D6" s="3582"/>
      <c r="E6" s="140" t="s">
        <v>2108</v>
      </c>
      <c r="F6" s="2397"/>
      <c r="G6" s="2397"/>
      <c r="H6" s="2397"/>
      <c r="I6" s="1809"/>
    </row>
    <row r="7" spans="1:12" ht="13.2">
      <c r="A7" s="3559"/>
      <c r="B7" s="3486"/>
      <c r="C7" s="3564"/>
      <c r="D7" s="3582"/>
      <c r="E7" s="140" t="s">
        <v>2109</v>
      </c>
      <c r="F7" s="2397"/>
      <c r="G7" s="2397"/>
      <c r="H7" s="2397"/>
      <c r="I7" s="1809"/>
    </row>
    <row r="8" spans="1:12" ht="13.2">
      <c r="A8" s="3559" t="s">
        <v>2110</v>
      </c>
      <c r="B8" s="3486">
        <v>15</v>
      </c>
      <c r="C8" s="3562"/>
      <c r="D8" s="3582"/>
      <c r="E8" s="140" t="s">
        <v>2111</v>
      </c>
      <c r="F8" s="2397"/>
      <c r="G8" s="2397"/>
      <c r="H8" s="2397"/>
      <c r="I8" s="1809"/>
    </row>
    <row r="9" spans="1:12" ht="13.2">
      <c r="A9" s="3559"/>
      <c r="B9" s="3486"/>
      <c r="C9" s="3564"/>
      <c r="D9" s="3582"/>
      <c r="E9" s="140" t="s">
        <v>2112</v>
      </c>
      <c r="F9" s="2397"/>
      <c r="G9" s="2397"/>
      <c r="H9" s="2397"/>
      <c r="I9" s="1809"/>
    </row>
    <row r="10" spans="1:12" ht="13.2">
      <c r="A10" s="3559" t="s">
        <v>2113</v>
      </c>
      <c r="B10" s="3486">
        <v>15</v>
      </c>
      <c r="C10" s="3562"/>
      <c r="D10" s="3582"/>
      <c r="E10" s="140" t="s">
        <v>2114</v>
      </c>
      <c r="F10" s="2397"/>
      <c r="G10" s="2397"/>
      <c r="H10" s="2397"/>
      <c r="I10" s="1809"/>
    </row>
    <row r="11" spans="1:12" ht="13.2">
      <c r="A11" s="3559"/>
      <c r="B11" s="3486"/>
      <c r="C11" s="3564"/>
      <c r="D11" s="3582"/>
      <c r="E11" s="140" t="s">
        <v>2115</v>
      </c>
      <c r="F11" s="2397"/>
      <c r="G11" s="2397"/>
      <c r="H11" s="2397"/>
      <c r="I11" s="1809"/>
    </row>
    <row r="12" spans="1:12" ht="13.2">
      <c r="A12" s="3559" t="s">
        <v>2116</v>
      </c>
      <c r="B12" s="3486">
        <v>15</v>
      </c>
      <c r="C12" s="3562"/>
      <c r="D12" s="3582"/>
      <c r="E12" s="140" t="s">
        <v>2117</v>
      </c>
      <c r="F12" s="2397"/>
      <c r="G12" s="2397"/>
      <c r="H12" s="2397"/>
      <c r="I12" s="1809"/>
    </row>
    <row r="13" spans="1:12" ht="13.2">
      <c r="A13" s="3559"/>
      <c r="B13" s="3486"/>
      <c r="C13" s="3564"/>
      <c r="D13" s="3582"/>
      <c r="E13" s="140" t="s">
        <v>2118</v>
      </c>
      <c r="F13" s="2397"/>
      <c r="G13" s="2397"/>
      <c r="H13" s="2397"/>
      <c r="I13" s="1809"/>
    </row>
    <row r="14" spans="1:12" ht="13.2">
      <c r="A14" s="3559" t="s">
        <v>2119</v>
      </c>
      <c r="B14" s="3486">
        <v>30</v>
      </c>
      <c r="C14" s="3562">
        <v>5</v>
      </c>
      <c r="D14" s="3582">
        <v>5</v>
      </c>
      <c r="E14" s="140" t="s">
        <v>2120</v>
      </c>
      <c r="F14" s="2397"/>
      <c r="G14" s="2397"/>
      <c r="H14" s="2397"/>
      <c r="I14" s="1809"/>
    </row>
    <row r="15" spans="1:12" ht="13.2">
      <c r="A15" s="3559"/>
      <c r="B15" s="3486"/>
      <c r="C15" s="3563"/>
      <c r="D15" s="3582"/>
      <c r="E15" s="140" t="s">
        <v>2121</v>
      </c>
      <c r="F15" s="2397"/>
      <c r="G15" s="2397"/>
      <c r="H15" s="2397"/>
      <c r="I15" s="1809"/>
    </row>
    <row r="16" spans="1:12" ht="13.2">
      <c r="A16" s="3559"/>
      <c r="B16" s="3486"/>
      <c r="C16" s="3564"/>
      <c r="D16" s="3582"/>
      <c r="E16" s="140" t="s">
        <v>2122</v>
      </c>
      <c r="F16" s="2397"/>
      <c r="G16" s="2397"/>
      <c r="H16" s="2397"/>
      <c r="I16" s="1809"/>
    </row>
    <row r="17" spans="1:35" ht="14.4">
      <c r="A17" s="2398" t="s">
        <v>2123</v>
      </c>
      <c r="B17" s="64"/>
      <c r="C17" s="141">
        <f>SUM(C5:C16)</f>
        <v>5</v>
      </c>
      <c r="D17" s="141">
        <f>SUM(D5:D16)</f>
        <v>5</v>
      </c>
      <c r="E17" s="138"/>
      <c r="F17" s="138"/>
      <c r="G17" s="138"/>
      <c r="H17" s="138"/>
      <c r="I17" s="138"/>
      <c r="K17" s="2396"/>
      <c r="L17" s="2399" t="s">
        <v>2124</v>
      </c>
      <c r="M17" s="2399" t="s">
        <v>2125</v>
      </c>
    </row>
    <row r="18" spans="1:35" ht="15" thickBot="1">
      <c r="A18" s="2400" t="s">
        <v>2126</v>
      </c>
      <c r="B18" s="2401"/>
      <c r="C18" s="142">
        <f>ROUND(C17/SUM(C17:D17),2)</f>
        <v>0.5</v>
      </c>
      <c r="D18" s="142">
        <f>1-C18</f>
        <v>0.5</v>
      </c>
      <c r="E18" s="138"/>
      <c r="F18" s="138"/>
      <c r="G18" s="138"/>
      <c r="H18" s="138"/>
      <c r="I18" s="138"/>
      <c r="K18" s="2396" t="s">
        <v>2127</v>
      </c>
      <c r="L18" s="2396">
        <f>IF(C1="",'数据-汇总表'!E3,SUMIF(项目类型,C1,'数据-汇总表'!E17:E26)+SUMIF(项目类型,C1,'数据-汇总表'!I17:I26))</f>
        <v>39633.210000000006</v>
      </c>
      <c r="M18" s="2396">
        <f>IF(C1="",'数据-汇总表'!E3,SUMIF(项目类型,C1,'数据-汇总表'!E17:E26))</f>
        <v>39599.300000000003</v>
      </c>
    </row>
    <row r="19" spans="1:35" ht="14.4">
      <c r="A19" s="2402" t="s">
        <v>2128</v>
      </c>
      <c r="B19" s="2403" t="s">
        <v>2129</v>
      </c>
      <c r="C19" s="143">
        <f ca="1">SUMIF(INDIRECT("'"&amp;C4&amp;"'"&amp;"!A:A"),结果表酒店!B19,INDIRECT("'"&amp;C4&amp;"'"&amp;"!B:B"))</f>
        <v>126606</v>
      </c>
      <c r="D19" s="144">
        <f ca="1">SUMIF(INDIRECT("'"&amp;D4&amp;"'"&amp;"!A:A"),结果表酒店!B19,INDIRECT("'"&amp;D4&amp;"'"&amp;"!B:B"))</f>
        <v>117536</v>
      </c>
      <c r="E19" s="2402" t="s">
        <v>2130</v>
      </c>
      <c r="F19" s="2403" t="s">
        <v>2129</v>
      </c>
      <c r="G19" s="145">
        <f ca="1">ROUND(C19*$C$18+D19*$D$18,0)</f>
        <v>122071</v>
      </c>
      <c r="H19" s="2404" t="s">
        <v>2131</v>
      </c>
      <c r="I19" s="138"/>
      <c r="K19" s="2396" t="s">
        <v>2132</v>
      </c>
      <c r="L19" s="2396">
        <f>IF(C1="",'数据-汇总表'!D3,SUMIF(项目类型,C1,'数据-汇总表'!D17:D26)+SUMIF(项目类型,C1,'数据-汇总表'!H17:H27))</f>
        <v>4736.16</v>
      </c>
      <c r="M19" s="2396">
        <f>IF(C1="",'数据-汇总表'!D3,SUMIF(项目类型,C1,'数据-汇总表'!D17:D26))</f>
        <v>2908.34</v>
      </c>
    </row>
    <row r="20" spans="1:35" ht="14.4">
      <c r="A20" s="2405"/>
      <c r="B20" s="1228" t="s">
        <v>2133</v>
      </c>
      <c r="C20" s="146">
        <f ca="1">SUMIF(INDIRECT("'"&amp;C4&amp;"'"&amp;"!A:A"),结果表酒店!B20,INDIRECT("'"&amp;C4&amp;"'"&amp;"!B:B"))</f>
        <v>31972</v>
      </c>
      <c r="D20" s="147">
        <f ca="1">SUMIF(INDIRECT("'"&amp;D4&amp;"'"&amp;"!A:A"),结果表酒店!B20,INDIRECT("'"&amp;D4&amp;"'"&amp;"!B:B"))</f>
        <v>29681</v>
      </c>
      <c r="E20" s="2405"/>
      <c r="F20" s="1228" t="s">
        <v>2133</v>
      </c>
      <c r="G20" s="148">
        <f ca="1">ROUND(C20*$C$18+D20*$D$18,0)</f>
        <v>30827</v>
      </c>
      <c r="H20" s="969" t="s">
        <v>2134</v>
      </c>
      <c r="I20" s="138"/>
    </row>
    <row r="21" spans="1:35" ht="15" customHeight="1" thickBot="1">
      <c r="A21" s="989"/>
      <c r="B21" s="2406" t="s">
        <v>2135</v>
      </c>
      <c r="C21" s="784">
        <f ca="1">ROUND(C19*10000/L19,0)</f>
        <v>267318</v>
      </c>
      <c r="D21" s="785">
        <f ca="1">ROUND(D19*10000/L19,0)</f>
        <v>248167</v>
      </c>
      <c r="E21" s="989"/>
      <c r="F21" s="2406" t="s">
        <v>2135</v>
      </c>
      <c r="G21" s="149">
        <f ca="1">ROUND(G19*10000/L19,0)</f>
        <v>257743</v>
      </c>
      <c r="H21" s="2407" t="s">
        <v>2134</v>
      </c>
      <c r="I21" s="138"/>
    </row>
    <row r="22" spans="1:35" ht="15" thickBot="1">
      <c r="A22" s="2252" t="s">
        <v>2136</v>
      </c>
      <c r="B22" s="2408"/>
      <c r="C22" s="2409"/>
      <c r="D22" s="786">
        <f ca="1">IF(C19&lt;D19,D19/C19-1,C19/D19-1)</f>
        <v>7.7167846447045996E-2</v>
      </c>
      <c r="E22" s="138"/>
      <c r="F22" s="138"/>
      <c r="G22" s="138"/>
      <c r="H22" s="138"/>
      <c r="I22" s="138"/>
    </row>
    <row r="23" spans="1:35" ht="13.8" thickBot="1">
      <c r="A23" s="2386"/>
      <c r="B23" s="2386"/>
      <c r="C23" s="2386"/>
      <c r="D23" s="2386"/>
      <c r="E23" s="138"/>
      <c r="F23" s="138"/>
      <c r="G23" s="138"/>
      <c r="H23" s="138"/>
      <c r="I23" s="138"/>
    </row>
    <row r="24" spans="1:35" ht="14.4">
      <c r="A24" s="3553" t="s">
        <v>2137</v>
      </c>
      <c r="B24" s="2403" t="s">
        <v>2129</v>
      </c>
      <c r="C24" s="145">
        <f>IF(B30=0,0,D30)</f>
        <v>0</v>
      </c>
      <c r="D24" s="2410"/>
      <c r="E24" s="138"/>
      <c r="F24" s="138"/>
      <c r="G24" s="138"/>
      <c r="H24" s="138"/>
      <c r="I24" s="138"/>
    </row>
    <row r="25" spans="1:35" ht="14.4">
      <c r="A25" s="3554"/>
      <c r="B25" s="1228" t="s">
        <v>2133</v>
      </c>
      <c r="C25" s="150">
        <f>IF(B30=0,0,C30)</f>
        <v>0</v>
      </c>
      <c r="D25" s="2411"/>
      <c r="E25" s="138"/>
      <c r="F25" s="138"/>
      <c r="G25" s="138"/>
      <c r="H25" s="138"/>
      <c r="I25" s="138"/>
    </row>
    <row r="26" spans="1:35" ht="13.5" customHeight="1">
      <c r="A26" s="2412" t="s">
        <v>2138</v>
      </c>
      <c r="B26" s="151" t="s">
        <v>2139</v>
      </c>
      <c r="C26" s="151" t="s">
        <v>2140</v>
      </c>
      <c r="D26" s="152" t="s">
        <v>2141</v>
      </c>
      <c r="E26" s="138"/>
      <c r="F26" s="138"/>
      <c r="G26" s="138"/>
      <c r="H26" s="138"/>
      <c r="I26" s="138"/>
    </row>
    <row r="27" spans="1:35" ht="13.8">
      <c r="A27" s="2412"/>
      <c r="B27" s="151">
        <v>0</v>
      </c>
      <c r="C27" s="151">
        <v>0</v>
      </c>
      <c r="D27" s="152">
        <f>ROUND(C27*B27/10000,0)</f>
        <v>0</v>
      </c>
      <c r="E27" s="138"/>
      <c r="F27" s="138"/>
      <c r="G27" s="138"/>
      <c r="H27" s="138"/>
      <c r="I27" s="138"/>
    </row>
    <row r="28" spans="1:35" ht="13.8">
      <c r="A28" s="2412"/>
      <c r="B28" s="151"/>
      <c r="C28" s="151"/>
      <c r="D28" s="152"/>
      <c r="E28" s="138"/>
      <c r="F28" s="138"/>
      <c r="G28" s="138"/>
      <c r="H28" s="138"/>
      <c r="I28" s="138"/>
    </row>
    <row r="29" spans="1:35" ht="13.8">
      <c r="A29" s="2412"/>
      <c r="B29" s="151"/>
      <c r="C29" s="151"/>
      <c r="D29" s="152"/>
      <c r="E29" s="138"/>
      <c r="F29" s="138"/>
      <c r="G29" s="138"/>
      <c r="H29" s="138"/>
      <c r="I29" s="138"/>
    </row>
    <row r="30" spans="1:35" ht="14.4">
      <c r="A30" s="151" t="s">
        <v>2142</v>
      </c>
      <c r="B30" s="151"/>
      <c r="C30" s="151"/>
      <c r="D30" s="151"/>
      <c r="E30" s="2883" t="s">
        <v>3003</v>
      </c>
      <c r="F30" s="138"/>
      <c r="G30" s="138"/>
      <c r="H30" s="138"/>
      <c r="I30" s="138"/>
    </row>
    <row r="31" spans="1:35" s="2414" customFormat="1" ht="14.4" thickBot="1">
      <c r="A31" s="2413"/>
      <c r="B31" s="2413"/>
      <c r="C31" s="2413"/>
      <c r="D31" s="2413"/>
      <c r="E31" s="138"/>
      <c r="F31" s="138"/>
      <c r="G31" s="138"/>
      <c r="H31" s="138"/>
      <c r="I31" s="138"/>
      <c r="J31" s="790"/>
      <c r="K31" s="790"/>
      <c r="L31" s="790"/>
      <c r="M31" s="790"/>
      <c r="N31" s="790"/>
      <c r="O31" s="790"/>
      <c r="P31" s="790"/>
      <c r="Q31" s="790"/>
      <c r="R31" s="790"/>
      <c r="S31" s="790"/>
      <c r="T31" s="790"/>
      <c r="U31" s="790"/>
      <c r="V31" s="790"/>
      <c r="W31" s="790"/>
      <c r="X31" s="790"/>
      <c r="Y31" s="790"/>
      <c r="Z31" s="790"/>
      <c r="AA31" s="2391"/>
      <c r="AB31" s="2391"/>
      <c r="AC31" s="2391"/>
      <c r="AD31" s="2391"/>
      <c r="AE31" s="2391"/>
      <c r="AF31" s="2391"/>
      <c r="AG31" s="2391"/>
      <c r="AH31" s="2391"/>
      <c r="AI31" s="2391"/>
    </row>
    <row r="32" spans="1:35" ht="15" thickBot="1">
      <c r="A32" s="2415" t="s">
        <v>2143</v>
      </c>
      <c r="B32" s="2416"/>
      <c r="C32" s="153">
        <f ca="1">IF(D32="总价",G19-C24,G20-C25)</f>
        <v>122071</v>
      </c>
      <c r="D32" s="2417" t="s">
        <v>2144</v>
      </c>
      <c r="E32" s="138"/>
      <c r="F32" s="138"/>
      <c r="G32" s="138"/>
      <c r="H32" s="138"/>
      <c r="I32" s="138"/>
    </row>
    <row r="33" spans="1:15" ht="14.4">
      <c r="A33" s="946" t="s">
        <v>2145</v>
      </c>
      <c r="B33" s="2418"/>
      <c r="C33" s="2419" t="s">
        <v>3379</v>
      </c>
      <c r="D33" s="2420" t="s">
        <v>3362</v>
      </c>
      <c r="E33" s="2421" t="s">
        <v>2146</v>
      </c>
      <c r="F33" s="2921" t="str">
        <f>IF(D32="楼面单价","取值（单价）","取值（总价）")</f>
        <v>取值（总价）</v>
      </c>
      <c r="G33" s="138"/>
      <c r="H33" s="138"/>
      <c r="I33" s="138"/>
    </row>
    <row r="34" spans="1:15" ht="14.4">
      <c r="A34" s="2423"/>
      <c r="B34" s="2424" t="s">
        <v>2147</v>
      </c>
      <c r="C34" s="157">
        <f ca="1">IF(C33="自定义",F34,C32-C35)</f>
        <v>122071</v>
      </c>
      <c r="D34" s="1044">
        <f ca="1">IF(C33="自定义",ROUND(C34/C32,3),IF(C33="收益比率",SUMIF(INDIRECT("'"&amp;D33&amp;"'"&amp;"!b:b"),"土地收益比率",INDIRECT("'"&amp;D33&amp;"'"&amp;"!c:c")),SUMIF(INDIRECT("'"&amp;D33&amp;"'"&amp;"!b:b"),"土地成本比率",INDIRECT("'"&amp;D33&amp;"'"&amp;"!c:c"))))</f>
        <v>1</v>
      </c>
      <c r="E34" s="2425" t="s">
        <v>2148</v>
      </c>
      <c r="F34" s="1715"/>
      <c r="G34" s="138"/>
      <c r="H34" s="138"/>
      <c r="I34" s="138"/>
    </row>
    <row r="35" spans="1:15" ht="15" thickBot="1">
      <c r="A35" s="2426"/>
      <c r="B35" s="2427" t="s">
        <v>2149</v>
      </c>
      <c r="C35" s="1421">
        <f ca="1">IF(C33="自定义",F35,ROUND(C32*D35,0))</f>
        <v>0</v>
      </c>
      <c r="D35" s="1422">
        <f ca="1">IF(C33="自定义",ROUND(C35/C32,3),IF(C33="收益比率",SUMIF(INDIRECT("'"&amp;D33&amp;"'"&amp;"!b:b"),"建筑物收益比率",INDIRECT("'"&amp;D33&amp;"'"&amp;"!c:c")),SUMIF(INDIRECT("'"&amp;D33&amp;"'"&amp;"!b:b"),"建筑物成本比率",INDIRECT("'"&amp;D33&amp;"'"&amp;"!c:c"))))</f>
        <v>0</v>
      </c>
      <c r="E35" s="2428" t="s">
        <v>2150</v>
      </c>
      <c r="F35" s="163"/>
      <c r="G35" s="138"/>
      <c r="H35" s="138"/>
      <c r="I35" s="138"/>
    </row>
    <row r="36" spans="1:15" ht="15" thickBot="1">
      <c r="A36" s="3571" t="s">
        <v>2151</v>
      </c>
      <c r="B36" s="2429" t="s">
        <v>2152</v>
      </c>
      <c r="C36" s="154"/>
      <c r="D36" s="2430"/>
      <c r="E36" s="2431"/>
      <c r="F36" s="2432"/>
      <c r="G36" s="138"/>
      <c r="H36" s="138"/>
      <c r="I36" s="138"/>
    </row>
    <row r="37" spans="1:15" ht="15" thickBot="1">
      <c r="A37" s="3572"/>
      <c r="B37" s="2238" t="s">
        <v>2153</v>
      </c>
      <c r="C37" s="156"/>
      <c r="D37" s="1372"/>
      <c r="E37" s="1372"/>
      <c r="F37" s="2432"/>
      <c r="G37" s="138"/>
      <c r="H37" s="138"/>
      <c r="I37" s="138"/>
    </row>
    <row r="38" spans="1:15" ht="15" thickBot="1">
      <c r="A38" s="3573"/>
      <c r="B38" s="2433" t="s">
        <v>2154</v>
      </c>
      <c r="C38" s="723"/>
      <c r="D38" s="2434" t="s">
        <v>2155</v>
      </c>
      <c r="E38" s="1372"/>
      <c r="F38" s="2432"/>
      <c r="G38" s="138"/>
      <c r="H38" s="138"/>
      <c r="I38" s="138"/>
    </row>
    <row r="39" spans="1:15" ht="14.4">
      <c r="A39" s="2405" t="s">
        <v>2156</v>
      </c>
      <c r="B39" s="2435" t="s">
        <v>2139</v>
      </c>
      <c r="C39" s="2436" t="s">
        <v>2140</v>
      </c>
      <c r="D39" s="2436" t="s">
        <v>2159</v>
      </c>
      <c r="E39" s="2437" t="s">
        <v>2141</v>
      </c>
      <c r="F39" s="2432"/>
      <c r="G39" s="138"/>
      <c r="H39" s="138"/>
      <c r="I39" s="138"/>
    </row>
    <row r="40" spans="1:15" ht="13.8">
      <c r="A40" s="2438" t="s">
        <v>2161</v>
      </c>
      <c r="B40" s="158"/>
      <c r="C40" s="159"/>
      <c r="D40" s="159"/>
      <c r="E40" s="160"/>
      <c r="F40" s="2432"/>
      <c r="G40" s="138"/>
      <c r="H40" s="138"/>
      <c r="I40" s="138"/>
    </row>
    <row r="41" spans="1:15" ht="13.8">
      <c r="A41" s="2438" t="s">
        <v>2162</v>
      </c>
      <c r="B41" s="158"/>
      <c r="C41" s="159"/>
      <c r="D41" s="159"/>
      <c r="E41" s="160"/>
      <c r="F41" s="2432"/>
      <c r="G41" s="138"/>
      <c r="H41" s="138"/>
      <c r="I41" s="138"/>
    </row>
    <row r="42" spans="1:15" ht="14.4" thickBot="1">
      <c r="A42" s="2439"/>
      <c r="B42" s="161"/>
      <c r="C42" s="162"/>
      <c r="D42" s="162"/>
      <c r="E42" s="163"/>
      <c r="F42" s="2432"/>
      <c r="G42" s="138"/>
      <c r="H42" s="138"/>
      <c r="I42" s="138"/>
    </row>
    <row r="43" spans="1:15" ht="13.2">
      <c r="A43" s="2137"/>
      <c r="B43" s="2137"/>
      <c r="C43" s="2137"/>
      <c r="D43" s="2137"/>
      <c r="E43" s="2137"/>
      <c r="F43" s="2440"/>
      <c r="G43" s="2440"/>
      <c r="H43" s="2440"/>
      <c r="I43" s="2441"/>
    </row>
    <row r="44" spans="1:15" ht="17.399999999999999">
      <c r="A44" s="2442" t="s">
        <v>2163</v>
      </c>
      <c r="B44" s="2443"/>
      <c r="C44" s="2443"/>
      <c r="D44" s="2444"/>
      <c r="E44" s="2444"/>
      <c r="F44" s="2445"/>
      <c r="G44" s="2445"/>
      <c r="H44" s="2445"/>
      <c r="I44" s="2445"/>
      <c r="J44" s="2446" t="s">
        <v>2164</v>
      </c>
      <c r="K44" s="2447"/>
      <c r="L44" s="2447"/>
      <c r="M44" s="2447"/>
      <c r="N44" s="2447"/>
      <c r="O44" s="2447"/>
    </row>
    <row r="45" spans="1:15" ht="14.25" customHeight="1" thickBot="1">
      <c r="A45" s="3550" t="s">
        <v>2165</v>
      </c>
      <c r="B45" s="3551"/>
      <c r="C45" s="3552"/>
      <c r="D45" s="164">
        <f ca="1">ROUND(H101*F45,0)</f>
        <v>122071</v>
      </c>
      <c r="E45" s="165" t="s">
        <v>2166</v>
      </c>
      <c r="F45" s="166">
        <v>1</v>
      </c>
      <c r="G45" s="167" t="s">
        <v>2167</v>
      </c>
      <c r="H45" s="138"/>
      <c r="I45" s="138"/>
      <c r="J45" s="3610" t="s">
        <v>2168</v>
      </c>
      <c r="K45" s="3610"/>
      <c r="L45" s="3610"/>
      <c r="M45" s="3610"/>
      <c r="N45" s="3610"/>
      <c r="O45" s="3610"/>
    </row>
    <row r="46" spans="1:15" ht="14.25" customHeight="1">
      <c r="A46" s="3547" t="s">
        <v>2169</v>
      </c>
      <c r="B46" s="3548"/>
      <c r="C46" s="3548"/>
      <c r="D46" s="3548"/>
      <c r="E46" s="3548"/>
      <c r="F46" s="3548"/>
      <c r="G46" s="3549"/>
      <c r="H46" s="2448"/>
      <c r="I46" s="168"/>
      <c r="J46" s="2933">
        <v>1</v>
      </c>
      <c r="K46" s="3610" t="s">
        <v>2170</v>
      </c>
      <c r="L46" s="3610"/>
      <c r="M46" s="3630"/>
      <c r="N46" s="3630"/>
      <c r="O46" s="3630"/>
    </row>
    <row r="47" spans="1:15" ht="12" customHeight="1">
      <c r="A47" s="169" t="s">
        <v>2171</v>
      </c>
      <c r="B47" s="170"/>
      <c r="C47" s="171"/>
      <c r="D47" s="172" t="s">
        <v>2172</v>
      </c>
      <c r="E47" s="24" t="s">
        <v>2173</v>
      </c>
      <c r="F47" s="173" t="s">
        <v>2174</v>
      </c>
      <c r="G47" s="174" t="s">
        <v>2175</v>
      </c>
      <c r="H47" s="2448"/>
      <c r="I47" s="168"/>
      <c r="J47" s="2933">
        <v>2</v>
      </c>
      <c r="K47" s="3610" t="s">
        <v>2176</v>
      </c>
      <c r="L47" s="3610"/>
      <c r="M47" s="3631">
        <f>'数据-取费表'!B2</f>
        <v>43903</v>
      </c>
      <c r="N47" s="3631"/>
      <c r="O47" s="3631"/>
    </row>
    <row r="48" spans="1:15" ht="26.4">
      <c r="A48" s="3578" t="s">
        <v>2177</v>
      </c>
      <c r="B48" s="3561"/>
      <c r="C48" s="3561"/>
      <c r="D48" s="140">
        <f>IF(H48="情况1",0,IF(H48="情况2",D52,IF(H48="情况3",D53,IF(H48="情况4",D54))))</f>
        <v>0</v>
      </c>
      <c r="E48" s="2925" t="str">
        <f>IF(H48="情况4","(销售额-原购置价)×税（费）率","销售额×税（费）率")</f>
        <v>销售额×税（费）率</v>
      </c>
      <c r="F48" s="175" t="str">
        <f>IF(H48="情况1","免征",'数据-取费表'!B41)</f>
        <v>免征</v>
      </c>
      <c r="G48" s="2449" t="s">
        <v>2178</v>
      </c>
      <c r="H48" s="2450" t="s">
        <v>2179</v>
      </c>
      <c r="I48" s="2448"/>
      <c r="J48" s="2933">
        <v>3</v>
      </c>
      <c r="K48" s="3610" t="s">
        <v>2180</v>
      </c>
      <c r="L48" s="3610"/>
      <c r="M48" s="3632">
        <f ca="1">H101</f>
        <v>122071</v>
      </c>
      <c r="N48" s="3632"/>
      <c r="O48" s="3632"/>
    </row>
    <row r="49" spans="1:35" ht="25.5" customHeight="1">
      <c r="A49" s="176" t="s">
        <v>2181</v>
      </c>
      <c r="B49" s="3546" t="s">
        <v>2182</v>
      </c>
      <c r="C49" s="3546"/>
      <c r="D49" s="177">
        <v>0</v>
      </c>
      <c r="E49" s="23" t="s">
        <v>2183</v>
      </c>
      <c r="F49" s="28" t="s">
        <v>34</v>
      </c>
      <c r="G49" s="3616"/>
      <c r="H49" s="138"/>
      <c r="I49" s="2451"/>
      <c r="J49" s="2933">
        <v>4</v>
      </c>
      <c r="K49" s="3610" t="str">
        <f>IF(项目基本情况!E8="房地产抵押价值","房地产抵押价值","抵押担保权已注销时的房地产抵押价值")</f>
        <v>抵押担保权已注销时的房地产抵押价值</v>
      </c>
      <c r="L49" s="3610"/>
      <c r="M49" s="3632" t="str">
        <f>IF(项目基本情况!E8="房地产抵押价值",H107,H109)</f>
        <v>——</v>
      </c>
      <c r="N49" s="3632"/>
      <c r="O49" s="3632"/>
    </row>
    <row r="50" spans="1:35" ht="25.5" customHeight="1">
      <c r="A50" s="178"/>
      <c r="B50" s="3546" t="s">
        <v>2184</v>
      </c>
      <c r="C50" s="3546"/>
      <c r="D50" s="179"/>
      <c r="E50" s="31"/>
      <c r="F50" s="180"/>
      <c r="G50" s="3617"/>
      <c r="H50" s="138"/>
      <c r="I50" s="2451"/>
      <c r="J50" s="3610" t="s">
        <v>2185</v>
      </c>
      <c r="K50" s="3610"/>
      <c r="L50" s="3610"/>
      <c r="M50" s="3610"/>
      <c r="N50" s="3610"/>
      <c r="O50" s="3610"/>
    </row>
    <row r="51" spans="1:35" ht="12" customHeight="1">
      <c r="A51" s="181"/>
      <c r="B51" s="3546" t="s">
        <v>2186</v>
      </c>
      <c r="C51" s="3546"/>
      <c r="D51" s="182"/>
      <c r="E51" s="30"/>
      <c r="F51" s="180"/>
      <c r="G51" s="3618"/>
      <c r="H51" s="138"/>
      <c r="I51" s="2451"/>
      <c r="J51" s="2932" t="s">
        <v>2187</v>
      </c>
      <c r="K51" s="3610" t="s">
        <v>2188</v>
      </c>
      <c r="L51" s="3610"/>
      <c r="M51" s="2932" t="s">
        <v>2189</v>
      </c>
      <c r="N51" s="2932" t="s">
        <v>2190</v>
      </c>
      <c r="O51" s="2932" t="s">
        <v>2191</v>
      </c>
    </row>
    <row r="52" spans="1:35" ht="24" customHeight="1">
      <c r="A52" s="183" t="s">
        <v>2192</v>
      </c>
      <c r="B52" s="3546" t="s">
        <v>2193</v>
      </c>
      <c r="C52" s="3546"/>
      <c r="D52" s="182">
        <f ca="1">ROUND(D45*'数据-取费表'!B41/(1+'数据-取费表'!C42),0)</f>
        <v>6510</v>
      </c>
      <c r="E52" s="11" t="s">
        <v>2194</v>
      </c>
      <c r="F52" s="184">
        <f>'数据-取费表'!B41</f>
        <v>5.6000000000000001E-2</v>
      </c>
      <c r="G52" s="2453"/>
      <c r="H52" s="138"/>
      <c r="I52" s="2451"/>
      <c r="J52" s="2933">
        <v>1</v>
      </c>
      <c r="K52" s="3611" t="s">
        <v>2195</v>
      </c>
      <c r="L52" s="3611"/>
      <c r="M52" s="1730">
        <f>D48</f>
        <v>0</v>
      </c>
      <c r="N52" s="2933" t="str">
        <f>E48</f>
        <v>销售额×税（费）率</v>
      </c>
      <c r="O52" s="1731" t="str">
        <f>F48</f>
        <v>免征</v>
      </c>
    </row>
    <row r="53" spans="1:35" ht="12" customHeight="1">
      <c r="A53" s="183" t="s">
        <v>2196</v>
      </c>
      <c r="B53" s="3569" t="s">
        <v>2197</v>
      </c>
      <c r="C53" s="3570"/>
      <c r="D53" s="182">
        <f ca="1">ROUND(D45*'数据-取费表'!B41/(1+'数据-取费表'!C42),0)</f>
        <v>6510</v>
      </c>
      <c r="E53" s="11" t="s">
        <v>2194</v>
      </c>
      <c r="F53" s="184">
        <f>'数据-取费表'!B41</f>
        <v>5.6000000000000001E-2</v>
      </c>
      <c r="G53" s="2453"/>
      <c r="H53" s="138"/>
      <c r="I53" s="2451"/>
      <c r="J53" s="2933">
        <v>2</v>
      </c>
      <c r="K53" s="3611" t="s">
        <v>2198</v>
      </c>
      <c r="L53" s="3611"/>
      <c r="M53" s="1730">
        <f t="shared" ref="M53:O54" ca="1" si="0">D55</f>
        <v>61</v>
      </c>
      <c r="N53" s="2933" t="str">
        <f t="shared" si="0"/>
        <v>销售额×税（费）率</v>
      </c>
      <c r="O53" s="1731">
        <f t="shared" si="0"/>
        <v>5.0000000000000001E-4</v>
      </c>
    </row>
    <row r="54" spans="1:35" ht="12" customHeight="1">
      <c r="A54" s="183" t="s">
        <v>2199</v>
      </c>
      <c r="B54" s="3569" t="s">
        <v>2200</v>
      </c>
      <c r="C54" s="3570"/>
      <c r="D54" s="182">
        <f ca="1">C68</f>
        <v>6510</v>
      </c>
      <c r="E54" s="30" t="s">
        <v>2201</v>
      </c>
      <c r="F54" s="184">
        <f>'数据-取费表'!B41</f>
        <v>5.6000000000000001E-2</v>
      </c>
      <c r="G54" s="2453"/>
      <c r="H54" s="2454"/>
      <c r="I54" s="2451"/>
      <c r="J54" s="2933">
        <v>3</v>
      </c>
      <c r="K54" s="3611" t="s">
        <v>2202</v>
      </c>
      <c r="L54" s="3611"/>
      <c r="M54" s="1730">
        <f t="shared" ca="1" si="0"/>
        <v>69092</v>
      </c>
      <c r="N54" s="2933" t="str">
        <f t="shared" si="0"/>
        <v>增值额×税（费）率</v>
      </c>
      <c r="O54" s="1732" t="str">
        <f t="shared" si="0"/>
        <v>——</v>
      </c>
    </row>
    <row r="55" spans="1:35" ht="24" customHeight="1">
      <c r="A55" s="3560" t="s">
        <v>2203</v>
      </c>
      <c r="B55" s="3561"/>
      <c r="C55" s="3561"/>
      <c r="D55" s="185">
        <f ca="1">IF(H55="个人住宅",0,ROUND(D45*I55,0))</f>
        <v>61</v>
      </c>
      <c r="E55" s="11" t="s">
        <v>2204</v>
      </c>
      <c r="F55" s="184">
        <f>IF(H55="正常",I55,"免征")</f>
        <v>5.0000000000000001E-4</v>
      </c>
      <c r="G55" s="2453"/>
      <c r="H55" s="2450" t="s">
        <v>2205</v>
      </c>
      <c r="I55" s="186">
        <f>'数据-取费表'!B49</f>
        <v>5.0000000000000001E-4</v>
      </c>
      <c r="J55" s="2933" t="str">
        <f>IF(H59="非个人房产","",4)</f>
        <v/>
      </c>
      <c r="K55" s="3611" t="str">
        <f>IF(H59="非个人房产","——","个人所得税")</f>
        <v>——</v>
      </c>
      <c r="L55" s="3611"/>
      <c r="M55" s="1733" t="str">
        <f>D59</f>
        <v>——</v>
      </c>
      <c r="N55" s="2934" t="str">
        <f>E59</f>
        <v>——</v>
      </c>
      <c r="O55" s="1734" t="str">
        <f>F59</f>
        <v>——</v>
      </c>
    </row>
    <row r="56" spans="1:35" ht="25.2">
      <c r="A56" s="3560" t="s">
        <v>2206</v>
      </c>
      <c r="B56" s="3561"/>
      <c r="C56" s="3561"/>
      <c r="D56" s="185">
        <f ca="1">IF(H56="个人住宅",D57,D58)</f>
        <v>69092</v>
      </c>
      <c r="E56" s="11" t="s">
        <v>2207</v>
      </c>
      <c r="F56" s="184" t="str">
        <f>IF(H56="正常",F58,"免征")</f>
        <v>——</v>
      </c>
      <c r="G56" s="2455" t="s">
        <v>2208</v>
      </c>
      <c r="H56" s="2456" t="s">
        <v>2205</v>
      </c>
      <c r="I56" s="2457"/>
      <c r="J56" s="2933" t="str">
        <f>IF(项目基本情况!K6="上海银行",IF(J55="",4,J55+1),"")</f>
        <v/>
      </c>
      <c r="K56" s="3634" t="str">
        <f>IF(项目基本情况!K6="上海银行","其他处置费用","")</f>
        <v/>
      </c>
      <c r="L56" s="3635"/>
      <c r="M56" s="1730" t="str">
        <f>IF(项目基本情况!K6="上海银行",M69,"")</f>
        <v/>
      </c>
      <c r="N56" s="3637" t="str">
        <f>IF(项目基本情况!K6="上海银行","包含处置中涉及的律师、诉讼、拍卖、评估等费用","")</f>
        <v/>
      </c>
      <c r="O56" s="3638"/>
    </row>
    <row r="57" spans="1:35" ht="13.2">
      <c r="A57" s="183" t="s">
        <v>2181</v>
      </c>
      <c r="B57" s="3576" t="s">
        <v>2209</v>
      </c>
      <c r="C57" s="3585"/>
      <c r="D57" s="187">
        <v>0</v>
      </c>
      <c r="E57" s="23" t="s">
        <v>2183</v>
      </c>
      <c r="F57" s="155"/>
      <c r="G57" s="2453"/>
      <c r="H57" s="2457"/>
      <c r="I57" s="2457"/>
      <c r="J57" s="3611">
        <f>IF(AND(J55="",J56=""),4,IF(项目基本情况!K6="上海银行",结果表酒店!J56+1,结果表酒店!J55+1))</f>
        <v>4</v>
      </c>
      <c r="K57" s="3611" t="s">
        <v>2210</v>
      </c>
      <c r="L57" s="2458" t="s">
        <v>2211</v>
      </c>
      <c r="M57" s="1735"/>
      <c r="N57" s="1736">
        <f ca="1">SUMIF(M52:M56,"&lt;9e307")</f>
        <v>69153</v>
      </c>
      <c r="O57" s="2459"/>
      <c r="P57" s="1729" t="e">
        <f ca="1">N57/M49</f>
        <v>#VALUE!</v>
      </c>
    </row>
    <row r="58" spans="1:35" ht="25.2">
      <c r="A58" s="183" t="s">
        <v>2192</v>
      </c>
      <c r="B58" s="3576" t="s">
        <v>2212</v>
      </c>
      <c r="C58" s="3577"/>
      <c r="D58" s="185">
        <f ca="1">IF(H58="转让取得",C81,C97)</f>
        <v>69092</v>
      </c>
      <c r="E58" s="11" t="s">
        <v>2207</v>
      </c>
      <c r="F58" s="24" t="s">
        <v>34</v>
      </c>
      <c r="G58" s="2453"/>
      <c r="H58" s="2456" t="s">
        <v>2213</v>
      </c>
      <c r="I58" s="2457"/>
      <c r="J58" s="3611"/>
      <c r="K58" s="3611"/>
      <c r="L58" s="2458" t="s">
        <v>2214</v>
      </c>
      <c r="M58" s="1737"/>
      <c r="N58" s="2460" t="str">
        <f ca="1">NUMBERSTRING(INT(N57*10000),2)&amp;"元整"</f>
        <v>陆亿玖仟壹佰伍拾叁万元整</v>
      </c>
      <c r="O58" s="2461"/>
    </row>
    <row r="59" spans="1:35" ht="24.6" thickBot="1">
      <c r="A59" s="3614" t="s">
        <v>2215</v>
      </c>
      <c r="B59" s="3615"/>
      <c r="C59" s="3615"/>
      <c r="D59" s="188" t="str">
        <f>IF(H59="非个人房产","——",IF(H59="个人住宅",0,ROUND(D45*I59,0)))</f>
        <v>——</v>
      </c>
      <c r="E59" s="189" t="str">
        <f>IF(H59="非个人房产","——","销售额×税（费）率")</f>
        <v>——</v>
      </c>
      <c r="F59" s="190" t="str">
        <f>IF(H59="非个人房产","——",IF(H59="个人住宅","免征",I59))</f>
        <v>——</v>
      </c>
      <c r="G59" s="2462" t="s">
        <v>2208</v>
      </c>
      <c r="H59" s="2456" t="s">
        <v>2216</v>
      </c>
      <c r="I59" s="191">
        <v>0.01</v>
      </c>
      <c r="J59" s="3612">
        <f>J57+1</f>
        <v>5</v>
      </c>
      <c r="K59" s="3611" t="s">
        <v>2217</v>
      </c>
      <c r="L59" s="2933" t="s">
        <v>2211</v>
      </c>
      <c r="M59" s="1738"/>
      <c r="N59" s="1739" t="e">
        <f ca="1">M49-N57</f>
        <v>#VALUE!</v>
      </c>
      <c r="O59" s="2463"/>
    </row>
    <row r="60" spans="1:35" ht="12" customHeight="1">
      <c r="A60" s="2464"/>
      <c r="B60" s="2386"/>
      <c r="C60" s="2386"/>
      <c r="D60" s="2386"/>
      <c r="E60" s="2138"/>
      <c r="F60" s="2457"/>
      <c r="G60" s="2457"/>
      <c r="H60" s="2465"/>
      <c r="I60" s="138"/>
      <c r="J60" s="3613"/>
      <c r="K60" s="3611"/>
      <c r="L60" s="2458" t="s">
        <v>2214</v>
      </c>
      <c r="M60" s="1737"/>
      <c r="N60" s="2460" t="e">
        <f ca="1">NUMBERSTRING(INT(N59*10000),2)&amp;"元整"</f>
        <v>#VALUE!</v>
      </c>
      <c r="O60" s="2461"/>
    </row>
    <row r="61" spans="1:35" ht="13.8" thickBot="1">
      <c r="A61" s="3558" t="s">
        <v>2218</v>
      </c>
      <c r="B61" s="3558"/>
      <c r="C61" s="3558"/>
      <c r="D61" s="3558"/>
      <c r="E61" s="3558"/>
      <c r="F61" s="2457"/>
      <c r="G61" s="2457"/>
      <c r="H61" s="2465"/>
      <c r="I61" s="138"/>
      <c r="J61" s="2933">
        <f>J59+1</f>
        <v>6</v>
      </c>
      <c r="K61" s="3611" t="s">
        <v>2219</v>
      </c>
      <c r="L61" s="3611"/>
      <c r="M61" s="1740"/>
      <c r="N61" s="1741" t="e">
        <f ca="1">ROUND(N59*10000/'数据-汇总表'!E3,0)</f>
        <v>#VALUE!</v>
      </c>
      <c r="O61" s="2466"/>
    </row>
    <row r="62" spans="1:35" ht="13.2">
      <c r="A62" s="3574" t="s">
        <v>2220</v>
      </c>
      <c r="B62" s="3575"/>
      <c r="C62" s="2928"/>
      <c r="D62" s="2928" t="s">
        <v>2221</v>
      </c>
      <c r="E62" s="192" t="s">
        <v>2222</v>
      </c>
      <c r="F62" s="2457"/>
      <c r="G62" s="2457"/>
      <c r="H62" s="2465"/>
      <c r="I62" s="138"/>
    </row>
    <row r="63" spans="1:35" ht="13.2">
      <c r="A63" s="203" t="s">
        <v>775</v>
      </c>
      <c r="B63" s="193" t="s">
        <v>2223</v>
      </c>
      <c r="C63" s="194">
        <f ca="1">ROUND((C64+C65)/(1+'数据-取费表'!C42),0)</f>
        <v>116258</v>
      </c>
      <c r="D63" s="195"/>
      <c r="E63" s="196"/>
      <c r="F63" s="2457"/>
      <c r="G63" s="2457"/>
      <c r="H63" s="2465"/>
      <c r="I63" s="138"/>
      <c r="J63" s="3636" t="s">
        <v>2224</v>
      </c>
      <c r="K63" s="2937" t="s">
        <v>2225</v>
      </c>
      <c r="L63" s="1728" t="e">
        <f>IF(M49&gt;10000,M49*0.5%,IF(AND(M49&gt;1000,M49&lt;=10000),M49*1%,IF(AND(M49&gt;100,M49&lt;=1000),M49*3%,IF(AND(M49&gt;10,M49&lt;=100),M49*5%,M49*8%))))</f>
        <v>#VALUE!</v>
      </c>
      <c r="M63" s="24" t="e">
        <f>ROUND(L63,1)</f>
        <v>#VALUE!</v>
      </c>
      <c r="Z63" s="2391"/>
      <c r="AI63" s="2392"/>
    </row>
    <row r="64" spans="1:35" ht="14.25" customHeight="1">
      <c r="A64" s="197" t="s">
        <v>770</v>
      </c>
      <c r="B64" s="198" t="s">
        <v>2226</v>
      </c>
      <c r="C64" s="199">
        <f ca="1">D45</f>
        <v>122071</v>
      </c>
      <c r="D64" s="200" t="s">
        <v>32</v>
      </c>
      <c r="E64" s="201"/>
      <c r="F64" s="2457"/>
      <c r="G64" s="2457"/>
      <c r="H64" s="2465"/>
      <c r="I64" s="138"/>
      <c r="J64" s="3636"/>
      <c r="K64" s="2937" t="s">
        <v>2227</v>
      </c>
      <c r="L64" s="172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2228</v>
      </c>
      <c r="Z64" s="2391"/>
      <c r="AI64" s="2392"/>
    </row>
    <row r="65" spans="1:35" ht="14.25" customHeight="1">
      <c r="A65" s="197" t="s">
        <v>771</v>
      </c>
      <c r="B65" s="198" t="s">
        <v>2229</v>
      </c>
      <c r="C65" s="202"/>
      <c r="D65" s="200"/>
      <c r="E65" s="201"/>
      <c r="F65" s="2457"/>
      <c r="G65" s="2457"/>
      <c r="H65" s="2465"/>
      <c r="I65" s="138"/>
      <c r="J65" s="3636"/>
      <c r="K65" s="2937" t="s">
        <v>2230</v>
      </c>
      <c r="L65" s="1728" t="e">
        <f>IF(M49&gt;1000,M49*0.1%,IF(AND(M49&gt;500,M49&lt;=1000),M49*0.5%,IF(AND(M49&gt;50,M49&lt;=500),M49*1%,IF(AND(M49&gt;1,M49&lt;=50),M49*1.5%))))</f>
        <v>#VALUE!</v>
      </c>
      <c r="M65" s="24" t="e">
        <f t="shared" si="1"/>
        <v>#VALUE!</v>
      </c>
      <c r="N65" s="138" t="s">
        <v>2228</v>
      </c>
      <c r="Z65" s="2391"/>
      <c r="AI65" s="2392"/>
    </row>
    <row r="66" spans="1:35" ht="14.25" customHeight="1">
      <c r="A66" s="203" t="s">
        <v>772</v>
      </c>
      <c r="B66" s="204" t="s">
        <v>2231</v>
      </c>
      <c r="C66" s="205"/>
      <c r="D66" s="206" t="s">
        <v>32</v>
      </c>
      <c r="E66" s="1751" t="s">
        <v>1356</v>
      </c>
      <c r="F66" s="2457"/>
      <c r="G66" s="2457"/>
      <c r="H66" s="2465"/>
      <c r="I66" s="138"/>
      <c r="J66" s="3636"/>
      <c r="K66" s="2937" t="s">
        <v>2232</v>
      </c>
      <c r="L66" s="1728" t="e">
        <f>M49*0.5%</f>
        <v>#VALUE!</v>
      </c>
      <c r="M66" s="24" t="e">
        <f>IF(L66&gt;0.5,0.5,ROUND(L66,0))</f>
        <v>#VALUE!</v>
      </c>
      <c r="N66" s="138" t="s">
        <v>2233</v>
      </c>
      <c r="Z66" s="2391"/>
      <c r="AI66" s="2392"/>
    </row>
    <row r="67" spans="1:35" ht="14.25" customHeight="1">
      <c r="A67" s="203" t="s">
        <v>773</v>
      </c>
      <c r="B67" s="204" t="s">
        <v>2234</v>
      </c>
      <c r="C67" s="207">
        <f ca="1">C63-C66</f>
        <v>116258</v>
      </c>
      <c r="D67" s="200" t="s">
        <v>32</v>
      </c>
      <c r="E67" s="201"/>
      <c r="F67" s="2457"/>
      <c r="G67" s="2457"/>
      <c r="H67" s="2465"/>
      <c r="I67" s="138"/>
      <c r="J67" s="3636"/>
      <c r="K67" s="2937" t="s">
        <v>2235</v>
      </c>
      <c r="L67" s="172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391"/>
      <c r="AI67" s="2392"/>
    </row>
    <row r="68" spans="1:35" ht="14.25" customHeight="1" thickBot="1">
      <c r="A68" s="208" t="s">
        <v>774</v>
      </c>
      <c r="B68" s="209" t="s">
        <v>2236</v>
      </c>
      <c r="C68" s="210">
        <f ca="1">IF(C67&lt;=0,0,ROUND(C67*D68,0))</f>
        <v>6510</v>
      </c>
      <c r="D68" s="211">
        <f>'数据-取费表'!B41</f>
        <v>5.6000000000000001E-2</v>
      </c>
      <c r="E68" s="212"/>
      <c r="F68" s="2457"/>
      <c r="G68" s="2457"/>
      <c r="H68" s="2465"/>
      <c r="I68" s="138"/>
      <c r="J68" s="3636"/>
      <c r="K68" s="2937" t="s">
        <v>2237</v>
      </c>
      <c r="L68" s="1728" t="e">
        <f>IF(M49&gt;10000,M49*0.5%,IF(AND(M49&gt;5000,M49&lt;=10000),M49*1%,IF(AND(M49&gt;1000,M49&lt;=5000),M49*2%,IF(AND(M49&gt;200,M49&lt;=1000),M49*3%,M49*5%))))</f>
        <v>#VALUE!</v>
      </c>
      <c r="M68" s="24" t="e">
        <f>ROUND(L68,1)</f>
        <v>#VALUE!</v>
      </c>
      <c r="Z68" s="2391"/>
      <c r="AI68" s="2392"/>
    </row>
    <row r="69" spans="1:35" s="2414" customFormat="1" ht="16.5" customHeight="1">
      <c r="A69" s="2468"/>
      <c r="B69" s="2469"/>
      <c r="C69" s="2470"/>
      <c r="D69" s="2471"/>
      <c r="E69" s="2472"/>
      <c r="F69" s="2138"/>
      <c r="G69" s="2138"/>
      <c r="H69" s="2137"/>
      <c r="I69" s="2386"/>
      <c r="J69" s="3636"/>
      <c r="K69" s="2937" t="s">
        <v>2238</v>
      </c>
      <c r="L69" s="2473"/>
      <c r="M69" s="24" t="e">
        <f>ROUND(SUM(M63:M68),0)</f>
        <v>#VALUE!</v>
      </c>
      <c r="N69" s="1729" t="e">
        <f>M69/M49</f>
        <v>#VALUE!</v>
      </c>
      <c r="O69" s="790"/>
      <c r="P69" s="790"/>
      <c r="Q69" s="790"/>
      <c r="R69" s="790"/>
      <c r="S69" s="790"/>
      <c r="T69" s="790"/>
      <c r="U69" s="790"/>
      <c r="V69" s="790"/>
      <c r="W69" s="790"/>
      <c r="X69" s="790"/>
      <c r="Y69" s="790"/>
      <c r="Z69" s="2391"/>
      <c r="AA69" s="2391"/>
      <c r="AB69" s="2391"/>
      <c r="AC69" s="2391"/>
      <c r="AD69" s="2391"/>
      <c r="AE69" s="2391"/>
      <c r="AF69" s="2391"/>
      <c r="AG69" s="2391"/>
      <c r="AH69" s="2391"/>
    </row>
    <row r="70" spans="1:35" s="2475" customFormat="1" ht="14.4" thickBot="1">
      <c r="A70" s="3595" t="s">
        <v>2239</v>
      </c>
      <c r="B70" s="3596"/>
      <c r="C70" s="3596"/>
      <c r="D70" s="3596"/>
      <c r="E70" s="3596"/>
      <c r="F70" s="3596"/>
      <c r="G70" s="3596"/>
      <c r="H70" s="3596"/>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574" t="s">
        <v>2220</v>
      </c>
      <c r="B71" s="3575"/>
      <c r="C71" s="2928"/>
      <c r="D71" s="2928" t="s">
        <v>2221</v>
      </c>
      <c r="E71" s="213" t="s">
        <v>2222</v>
      </c>
      <c r="F71" s="214"/>
      <c r="G71" s="214"/>
      <c r="H71" s="215"/>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203" t="s">
        <v>775</v>
      </c>
      <c r="B72" s="204" t="s">
        <v>2240</v>
      </c>
      <c r="C72" s="207">
        <f ca="1">ROUND(D45/(1+'数据-取费表'!C42),0)</f>
        <v>116258</v>
      </c>
      <c r="D72" s="200" t="s">
        <v>32</v>
      </c>
      <c r="E72" s="2927"/>
      <c r="F72" s="2922"/>
      <c r="G72" s="2922"/>
      <c r="H72" s="216"/>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203" t="s">
        <v>772</v>
      </c>
      <c r="B73" s="173" t="s">
        <v>2241</v>
      </c>
      <c r="C73" s="207">
        <f ca="1">C74+C78</f>
        <v>698</v>
      </c>
      <c r="D73" s="200" t="s">
        <v>32</v>
      </c>
      <c r="E73" s="2927"/>
      <c r="F73" s="2922"/>
      <c r="G73" s="2922"/>
      <c r="H73" s="216"/>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17" t="s">
        <v>770</v>
      </c>
      <c r="B74" s="198" t="s">
        <v>2242</v>
      </c>
      <c r="C74" s="200">
        <f>ROUND(IF(G77="2016年5月1日后购买",C75/(1+'数据-取费表'!C42)+C76+C77,C75+C76+C77),0)</f>
        <v>0</v>
      </c>
      <c r="D74" s="200" t="s">
        <v>32</v>
      </c>
      <c r="E74" s="2927"/>
      <c r="F74" s="2922"/>
      <c r="G74" s="2922"/>
      <c r="H74" s="216"/>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17" t="s">
        <v>776</v>
      </c>
      <c r="B75" s="198" t="s">
        <v>2243</v>
      </c>
      <c r="C75" s="218"/>
      <c r="D75" s="200" t="s">
        <v>32</v>
      </c>
      <c r="E75" s="219" t="s">
        <v>2244</v>
      </c>
      <c r="F75" s="2479" t="s">
        <v>2245</v>
      </c>
      <c r="G75" s="219" t="s">
        <v>2246</v>
      </c>
      <c r="H75" s="220"/>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17" t="s">
        <v>777</v>
      </c>
      <c r="B76" s="221" t="s">
        <v>2247</v>
      </c>
      <c r="C76" s="200">
        <f>IF(F75="购房发票",ROUND(C75*H75*D76,0),0)</f>
        <v>0</v>
      </c>
      <c r="D76" s="222">
        <v>0.05</v>
      </c>
      <c r="E76" s="3569" t="s">
        <v>2248</v>
      </c>
      <c r="F76" s="3546"/>
      <c r="G76" s="3546"/>
      <c r="H76" s="3594"/>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17" t="s">
        <v>778</v>
      </c>
      <c r="B77" s="198" t="s">
        <v>2249</v>
      </c>
      <c r="C77" s="200">
        <f>ROUND(IF(G77="个人住宅",0,IF(G77="2016年5月1日前购买",C75*D77,C75*D77/(1+'数据-取费表'!C42))),0)</f>
        <v>0</v>
      </c>
      <c r="D77" s="223">
        <f>'数据-取费表'!B48+'数据-取费表'!B49</f>
        <v>3.0499999999999999E-2</v>
      </c>
      <c r="E77" s="2938" t="s">
        <v>2250</v>
      </c>
      <c r="F77" s="224"/>
      <c r="G77" s="2481" t="s">
        <v>2251</v>
      </c>
      <c r="H77" s="2930"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17" t="s">
        <v>771</v>
      </c>
      <c r="B78" s="198" t="s">
        <v>2252</v>
      </c>
      <c r="C78" s="225">
        <f ca="1">ROUND(D45*D78/(1+'数据-取费表'!C42),0)</f>
        <v>698</v>
      </c>
      <c r="D78" s="226">
        <f>'数据-取费表'!B43</f>
        <v>6.000000000000001E-3</v>
      </c>
      <c r="E78" s="3555" t="s">
        <v>2253</v>
      </c>
      <c r="F78" s="3556"/>
      <c r="G78" s="3556"/>
      <c r="H78" s="3565"/>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773</v>
      </c>
      <c r="B79" s="204" t="s">
        <v>2254</v>
      </c>
      <c r="C79" s="207">
        <f ca="1">C72-C73</f>
        <v>115560</v>
      </c>
      <c r="D79" s="200" t="s">
        <v>32</v>
      </c>
      <c r="E79" s="2927"/>
      <c r="F79" s="2922"/>
      <c r="G79" s="2922"/>
      <c r="H79" s="216"/>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204" t="s">
        <v>2255</v>
      </c>
      <c r="C80" s="227">
        <f ca="1">IF(C79&lt;=0,0,C79/C73)</f>
        <v>165.55873925501433</v>
      </c>
      <c r="D80" s="200" t="s">
        <v>32</v>
      </c>
      <c r="E80" s="2938" t="str">
        <f ca="1">IF(C80&gt;=200%,"增值额超过扣除项目金额200%",IF(C80&gt;=100%,"增值额超过扣除项目金额100%，未超过200%",IF(C80&gt;=50%,"增值额超过扣除项目金额50%，未超过100%",IF(C80&lt;50%,"增值额未超过扣除项目金额50%"))))</f>
        <v>增值额超过扣除项目金额200%</v>
      </c>
      <c r="F80" s="2922"/>
      <c r="G80" s="2922"/>
      <c r="H80" s="216"/>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209" t="s">
        <v>2256</v>
      </c>
      <c r="C81" s="228">
        <f ca="1">ROUND(IF(C79&lt;=0,0,IF(C80&gt;=200%,C79*60%-C73*35%,IF(C80&gt;=100%,C79*50%-C73*15%,IF(C80&gt;=50%,C79*40%-C73*5%,IF(C80&lt;50%,C79*30%,0))))),0)</f>
        <v>69092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29"/>
      <c r="B82" s="730"/>
      <c r="C82" s="7"/>
      <c r="D82" s="7"/>
      <c r="E82" s="730"/>
      <c r="F82" s="730"/>
      <c r="G82" s="730"/>
      <c r="H82" s="731"/>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595" t="s">
        <v>2257</v>
      </c>
      <c r="B83" s="3596"/>
      <c r="C83" s="3596"/>
      <c r="D83" s="3596"/>
      <c r="E83" s="3596"/>
      <c r="F83" s="3596"/>
      <c r="G83" s="3596"/>
      <c r="H83" s="3596"/>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574" t="s">
        <v>2220</v>
      </c>
      <c r="B84" s="3575"/>
      <c r="C84" s="2928"/>
      <c r="D84" s="2928" t="s">
        <v>2221</v>
      </c>
      <c r="E84" s="213" t="s">
        <v>2222</v>
      </c>
      <c r="F84" s="214"/>
      <c r="G84" s="214"/>
      <c r="H84" s="233"/>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203" t="s">
        <v>775</v>
      </c>
      <c r="B85" s="204" t="s">
        <v>2240</v>
      </c>
      <c r="C85" s="207">
        <f ca="1">ROUND(D45/(1+'数据-取费表'!C42),0)</f>
        <v>116258</v>
      </c>
      <c r="D85" s="200" t="s">
        <v>32</v>
      </c>
      <c r="E85" s="2927"/>
      <c r="F85" s="2922"/>
      <c r="G85" s="2922"/>
      <c r="H85" s="234"/>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203" t="s">
        <v>772</v>
      </c>
      <c r="B86" s="173" t="s">
        <v>2241</v>
      </c>
      <c r="C86" s="207">
        <f ca="1">IF(H88="仅含出让金",C87+C90+C91+C92+C93+C94,C87+C91+C92+C93+C94)</f>
        <v>698</v>
      </c>
      <c r="D86" s="235"/>
      <c r="E86" s="2927"/>
      <c r="F86" s="2922"/>
      <c r="G86" s="2922"/>
      <c r="H86" s="234"/>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17" t="s">
        <v>770</v>
      </c>
      <c r="B87" s="198" t="s">
        <v>2258</v>
      </c>
      <c r="C87" s="225">
        <f>C88+C89</f>
        <v>0</v>
      </c>
      <c r="D87" s="226"/>
      <c r="E87" s="2923"/>
      <c r="F87" s="2924"/>
      <c r="G87" s="2924"/>
      <c r="H87" s="2926"/>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17" t="s">
        <v>776</v>
      </c>
      <c r="B88" s="198" t="s">
        <v>2259</v>
      </c>
      <c r="C88" s="236"/>
      <c r="D88" s="226"/>
      <c r="E88" s="237" t="s">
        <v>2260</v>
      </c>
      <c r="F88" s="2924"/>
      <c r="G88" s="238" t="s">
        <v>2261</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17" t="s">
        <v>777</v>
      </c>
      <c r="B89" s="198" t="s">
        <v>2249</v>
      </c>
      <c r="C89" s="225">
        <f>ROUND(C88*D89,0)</f>
        <v>0</v>
      </c>
      <c r="D89" s="226">
        <f>'数据-取费表'!B48+'数据-取费表'!B49</f>
        <v>3.0499999999999999E-2</v>
      </c>
      <c r="E89" s="237" t="s">
        <v>2262</v>
      </c>
      <c r="F89" s="2924"/>
      <c r="G89" s="2924"/>
      <c r="H89" s="2926"/>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17" t="s">
        <v>771</v>
      </c>
      <c r="B90" s="198" t="s">
        <v>2263</v>
      </c>
      <c r="C90" s="236"/>
      <c r="D90" s="226"/>
      <c r="E90" s="237" t="str">
        <f>IF(H88="-","土地取得成本中已包含该笔费用"," ")</f>
        <v xml:space="preserve"> </v>
      </c>
      <c r="F90" s="2924"/>
      <c r="G90" s="2924"/>
      <c r="H90" s="2926"/>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17" t="s">
        <v>2264</v>
      </c>
      <c r="B91" s="198" t="s">
        <v>2265</v>
      </c>
      <c r="C91" s="225">
        <f>IF(H91="——",成本法商租!C33,I91)</f>
        <v>0</v>
      </c>
      <c r="D91" s="226"/>
      <c r="E91" s="3555" t="s">
        <v>2266</v>
      </c>
      <c r="F91" s="3556"/>
      <c r="G91" s="3556"/>
      <c r="H91" s="2486" t="s">
        <v>2267</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17" t="s">
        <v>2268</v>
      </c>
      <c r="B92" s="198" t="s">
        <v>2269</v>
      </c>
      <c r="C92" s="225">
        <f>ROUND((C87+C90+C91)*D92,0)</f>
        <v>0</v>
      </c>
      <c r="D92" s="226">
        <v>0.1</v>
      </c>
      <c r="E92" s="3555" t="s">
        <v>2270</v>
      </c>
      <c r="F92" s="3556"/>
      <c r="G92" s="3556"/>
      <c r="H92" s="3565"/>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17" t="s">
        <v>2271</v>
      </c>
      <c r="B93" s="198" t="s">
        <v>2252</v>
      </c>
      <c r="C93" s="225">
        <f ca="1">ROUND(D45*D93/(1+'数据-取费表'!C42),0)</f>
        <v>698</v>
      </c>
      <c r="D93" s="226">
        <f>'数据-取费表'!B43</f>
        <v>6.000000000000001E-3</v>
      </c>
      <c r="E93" s="3555" t="s">
        <v>2253</v>
      </c>
      <c r="F93" s="3556"/>
      <c r="G93" s="3556"/>
      <c r="H93" s="3565"/>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17" t="s">
        <v>2272</v>
      </c>
      <c r="B94" s="198" t="s">
        <v>2273</v>
      </c>
      <c r="C94" s="236">
        <f>ROUND((C87+C90+C91)*D94,0)</f>
        <v>0</v>
      </c>
      <c r="D94" s="226">
        <v>0.2</v>
      </c>
      <c r="E94" s="3566" t="s">
        <v>2274</v>
      </c>
      <c r="F94" s="3567"/>
      <c r="G94" s="3567"/>
      <c r="H94" s="3568"/>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773</v>
      </c>
      <c r="B95" s="204" t="s">
        <v>2254</v>
      </c>
      <c r="C95" s="207">
        <f ca="1">ROUND(C85-C86,0)</f>
        <v>115560</v>
      </c>
      <c r="D95" s="200" t="s">
        <v>32</v>
      </c>
      <c r="E95" s="2927"/>
      <c r="F95" s="2922"/>
      <c r="G95" s="2922"/>
      <c r="H95" s="234"/>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204" t="s">
        <v>2255</v>
      </c>
      <c r="C96" s="227">
        <f ca="1">IF(C95&lt;=0,0,C95/C86)</f>
        <v>165.55873925501433</v>
      </c>
      <c r="D96" s="200" t="s">
        <v>32</v>
      </c>
      <c r="E96" s="2938" t="str">
        <f ca="1">IF(C96&gt;=200%,"增值额超过扣除项目金额200%",IF(C96&gt;=100%,"增值额超过扣除项目金额100%，未超过200%",IF(C96&gt;=50%,"增值额超过扣除项目金额50%，未超过100%",IF(C96&lt;50%,"增值额未超过扣除项目金额50%"))))</f>
        <v>增值额超过扣除项目金额200%</v>
      </c>
      <c r="F96" s="2922"/>
      <c r="G96" s="2922"/>
      <c r="H96" s="234"/>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209" t="s">
        <v>2256</v>
      </c>
      <c r="C97" s="228">
        <f ca="1">ROUND(IF(C95&lt;=0,0,IF(C96&gt;=200%,C95*60%-C86*35%,IF(C96&gt;=100%,C95*50%-C86*15%,IF(C96&gt;=50%,C95*40%-C86*5%,IF(C96&lt;50%,C95*30%,0))))),0)</f>
        <v>69092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8"/>
      <c r="F98" s="2138"/>
      <c r="G98" s="2138"/>
      <c r="H98" s="2137"/>
      <c r="I98" s="138"/>
    </row>
    <row r="99" spans="1:35" ht="21.75" customHeight="1" thickBot="1">
      <c r="A99" s="2442" t="s">
        <v>2275</v>
      </c>
      <c r="B99" s="2386"/>
      <c r="C99" s="2386"/>
      <c r="D99" s="2386"/>
      <c r="E99" s="2138"/>
      <c r="F99" s="2138"/>
      <c r="G99" s="2138"/>
      <c r="H99" s="2137"/>
      <c r="I99" s="138"/>
    </row>
    <row r="100" spans="1:35" ht="18.75" customHeight="1">
      <c r="A100" s="3530" t="s">
        <v>2276</v>
      </c>
      <c r="B100" s="3531"/>
      <c r="C100" s="3531"/>
      <c r="D100" s="3557"/>
      <c r="E100" s="3531" t="s">
        <v>2277</v>
      </c>
      <c r="F100" s="3531"/>
      <c r="G100" s="3531"/>
      <c r="H100" s="3557"/>
      <c r="I100" s="138"/>
    </row>
    <row r="101" spans="1:35" ht="18.75" customHeight="1">
      <c r="A101" s="3619" t="s">
        <v>2278</v>
      </c>
      <c r="B101" s="3620"/>
      <c r="C101" s="732" t="str">
        <f>C4</f>
        <v>成本法酒店</v>
      </c>
      <c r="D101" s="733" t="str">
        <f>D4</f>
        <v>收益法酒店</v>
      </c>
      <c r="E101" s="3633" t="s">
        <v>2279</v>
      </c>
      <c r="F101" s="3587"/>
      <c r="G101" s="2488" t="s">
        <v>2280</v>
      </c>
      <c r="H101" s="1034">
        <f ca="1">H118</f>
        <v>122071</v>
      </c>
      <c r="I101" s="138"/>
    </row>
    <row r="102" spans="1:35" ht="18.75" customHeight="1">
      <c r="A102" s="3589" t="s">
        <v>2281</v>
      </c>
      <c r="B102" s="2488" t="s">
        <v>2280</v>
      </c>
      <c r="C102" s="732">
        <f ca="1">C19</f>
        <v>126606</v>
      </c>
      <c r="D102" s="733">
        <f ca="1">D19</f>
        <v>117536</v>
      </c>
      <c r="E102" s="3633"/>
      <c r="F102" s="3587"/>
      <c r="G102" s="2488" t="s">
        <v>2282</v>
      </c>
      <c r="H102" s="371">
        <f ca="1">I118</f>
        <v>30827</v>
      </c>
      <c r="I102" s="138"/>
    </row>
    <row r="103" spans="1:35" ht="42.75" customHeight="1">
      <c r="A103" s="3589"/>
      <c r="B103" s="2488" t="s">
        <v>2282</v>
      </c>
      <c r="C103" s="734">
        <f ca="1">C20</f>
        <v>31972</v>
      </c>
      <c r="D103" s="735">
        <f ca="1">D20</f>
        <v>29681</v>
      </c>
      <c r="E103" s="3628" t="s">
        <v>2283</v>
      </c>
      <c r="F103" s="3629"/>
      <c r="G103" s="2489" t="s">
        <v>2284</v>
      </c>
      <c r="H103" s="1034">
        <f>IF(D36="正常操作",H104+H105+H106,H105+H106)</f>
        <v>0</v>
      </c>
      <c r="I103" s="138"/>
    </row>
    <row r="104" spans="1:35" ht="18.75" customHeight="1">
      <c r="A104" s="3589" t="s">
        <v>2285</v>
      </c>
      <c r="B104" s="2490" t="s">
        <v>2280</v>
      </c>
      <c r="C104" s="736">
        <f ca="1">H118</f>
        <v>122071</v>
      </c>
      <c r="D104" s="737"/>
      <c r="E104" s="2238" t="s">
        <v>2286</v>
      </c>
      <c r="F104" s="2230"/>
      <c r="G104" s="2489" t="s">
        <v>2284</v>
      </c>
      <c r="H104" s="1035">
        <f>IF(D36="同一抵押权人同一抵押物续贷",C36&amp;"（未扣减，详见特别提示）",C36)</f>
        <v>0</v>
      </c>
      <c r="I104" s="138"/>
    </row>
    <row r="105" spans="1:35" ht="18.75" customHeight="1" thickBot="1">
      <c r="A105" s="3590"/>
      <c r="B105" s="2491" t="s">
        <v>2282</v>
      </c>
      <c r="C105" s="738">
        <f ca="1">I118</f>
        <v>30827</v>
      </c>
      <c r="D105" s="739"/>
      <c r="E105" s="2238" t="s">
        <v>2287</v>
      </c>
      <c r="F105" s="2230"/>
      <c r="G105" s="2489" t="s">
        <v>2284</v>
      </c>
      <c r="H105" s="1035">
        <f>C37</f>
        <v>0</v>
      </c>
      <c r="I105" s="138"/>
    </row>
    <row r="106" spans="1:35" ht="18.75" customHeight="1">
      <c r="A106" s="2386" t="s">
        <v>2288</v>
      </c>
      <c r="B106" s="2386"/>
      <c r="C106" s="2386"/>
      <c r="D106" s="2386"/>
      <c r="E106" s="2492" t="s">
        <v>2289</v>
      </c>
      <c r="F106" s="2230"/>
      <c r="G106" s="2489" t="s">
        <v>2284</v>
      </c>
      <c r="H106" s="1035">
        <f>C38</f>
        <v>0</v>
      </c>
      <c r="I106" s="138"/>
    </row>
    <row r="107" spans="1:35" ht="18.75" customHeight="1">
      <c r="A107" s="138"/>
      <c r="B107" s="138"/>
      <c r="C107" s="138"/>
      <c r="D107" s="138"/>
      <c r="E107" s="3586" t="str">
        <f>IF(项目基本情况!E8="已注销","——","3.房地产抵押价值")</f>
        <v>3.房地产抵押价值</v>
      </c>
      <c r="F107" s="3587"/>
      <c r="G107" s="2488" t="s">
        <v>2280</v>
      </c>
      <c r="H107" s="1034">
        <f ca="1">IF(E107="——","——",H101-H103)</f>
        <v>122071</v>
      </c>
      <c r="I107" s="138"/>
    </row>
    <row r="108" spans="1:35" ht="18.75" customHeight="1">
      <c r="A108" s="138"/>
      <c r="B108" s="138"/>
      <c r="C108" s="138"/>
      <c r="D108" s="138"/>
      <c r="E108" s="3586"/>
      <c r="F108" s="3587"/>
      <c r="G108" s="2488" t="s">
        <v>2282</v>
      </c>
      <c r="H108" s="371">
        <f ca="1">ROUND(H107*10000/'数据-汇总表'!E3,0)</f>
        <v>7334</v>
      </c>
      <c r="I108" s="138"/>
    </row>
    <row r="109" spans="1:35" ht="18.75" customHeight="1">
      <c r="A109" s="138"/>
      <c r="B109" s="138"/>
      <c r="C109" s="138"/>
      <c r="D109" s="138"/>
      <c r="E109" s="3586" t="str">
        <f>IF(项目基本情况!E8="已注销及未注销","4.抵押担保权已注销时的房地产抵押价值",IF(项目基本情况!E8="已注销","3.抵押担保权已注销时的房地产抵押价值","——"))</f>
        <v>——</v>
      </c>
      <c r="F109" s="3587"/>
      <c r="G109" s="2488" t="s">
        <v>2280</v>
      </c>
      <c r="H109" s="348" t="str">
        <f>IF(E109="——","——",H101-H105-H106)</f>
        <v>——</v>
      </c>
      <c r="I109" s="138"/>
    </row>
    <row r="110" spans="1:35" ht="18.75" customHeight="1">
      <c r="A110" s="138"/>
      <c r="B110" s="138"/>
      <c r="C110" s="138"/>
      <c r="D110" s="138"/>
      <c r="E110" s="3586"/>
      <c r="F110" s="3587"/>
      <c r="G110" s="2488" t="s">
        <v>2282</v>
      </c>
      <c r="H110" s="371" t="str">
        <f>IF(H109="——","——",ROUND(H109*10000/'数据-汇总表'!E3,0))</f>
        <v>——</v>
      </c>
      <c r="I110" s="138"/>
    </row>
    <row r="111" spans="1:35" ht="18.75" customHeight="1">
      <c r="A111" s="138"/>
      <c r="B111" s="138"/>
      <c r="C111" s="138"/>
      <c r="D111" s="138"/>
      <c r="E111" s="3621" t="str">
        <f>IF(项目基本情况!E9="抵押净值",IF(OR(项目基本情况!E8="已注销",项目基本情况!E8="房地产抵押价值"),"4.抵押净值","5.抵押净值"),"——")</f>
        <v>——</v>
      </c>
      <c r="F111" s="3622"/>
      <c r="G111" s="2488" t="s">
        <v>2280</v>
      </c>
      <c r="H111" s="1034" t="str">
        <f>IF(E111="——","——",N59)</f>
        <v>——</v>
      </c>
      <c r="I111" s="138"/>
    </row>
    <row r="112" spans="1:35" ht="18.75" customHeight="1" thickBot="1">
      <c r="A112" s="138"/>
      <c r="B112" s="138"/>
      <c r="C112" s="138"/>
      <c r="D112" s="138"/>
      <c r="E112" s="3623"/>
      <c r="F112" s="3624"/>
      <c r="G112" s="2493" t="s">
        <v>2282</v>
      </c>
      <c r="H112" s="785" t="str">
        <f>IF(E111="——","——",N61)</f>
        <v>——</v>
      </c>
      <c r="I112" s="138"/>
    </row>
    <row r="113" spans="1:11" ht="18.75" customHeight="1">
      <c r="A113" s="138"/>
      <c r="B113" s="138"/>
      <c r="C113" s="138"/>
      <c r="D113" s="138"/>
      <c r="E113" s="3591" t="s">
        <v>2288</v>
      </c>
      <c r="F113" s="3591"/>
      <c r="G113" s="3591"/>
      <c r="H113" s="3591"/>
      <c r="I113" s="138"/>
    </row>
    <row r="114" spans="1:11" ht="3.75" customHeight="1">
      <c r="A114" s="2386"/>
      <c r="B114" s="2386"/>
      <c r="C114" s="2386"/>
      <c r="D114" s="2386"/>
      <c r="E114" s="2464"/>
      <c r="F114" s="2464"/>
      <c r="G114" s="2464"/>
      <c r="H114" s="2464"/>
      <c r="I114" s="2386"/>
    </row>
    <row r="115" spans="1:11" ht="18.75" customHeight="1">
      <c r="A115" s="3604" t="s">
        <v>2290</v>
      </c>
      <c r="B115" s="3605"/>
      <c r="C115" s="3605"/>
      <c r="D115" s="3605"/>
      <c r="E115" s="3605"/>
      <c r="F115" s="3605"/>
      <c r="G115" s="3605"/>
      <c r="H115" s="3605"/>
      <c r="I115" s="3606"/>
    </row>
    <row r="116" spans="1:11" ht="27" customHeight="1">
      <c r="A116" s="3486" t="s">
        <v>2291</v>
      </c>
      <c r="B116" s="3592" t="s">
        <v>2292</v>
      </c>
      <c r="C116" s="3592" t="s">
        <v>2293</v>
      </c>
      <c r="D116" s="3608" t="s">
        <v>2294</v>
      </c>
      <c r="E116" s="3609"/>
      <c r="F116" s="3600" t="s">
        <v>3146</v>
      </c>
      <c r="G116" s="3600"/>
      <c r="H116" s="3486" t="s">
        <v>2296</v>
      </c>
      <c r="I116" s="3486"/>
    </row>
    <row r="117" spans="1:11" ht="18.75" customHeight="1">
      <c r="A117" s="3486"/>
      <c r="B117" s="3593"/>
      <c r="C117" s="3593"/>
      <c r="D117" s="2920" t="s">
        <v>2297</v>
      </c>
      <c r="E117" s="2920" t="s">
        <v>2298</v>
      </c>
      <c r="F117" s="2920" t="s">
        <v>2297</v>
      </c>
      <c r="G117" s="2920" t="s">
        <v>2299</v>
      </c>
      <c r="H117" s="2920" t="s">
        <v>2297</v>
      </c>
      <c r="I117" s="2920" t="s">
        <v>2299</v>
      </c>
    </row>
    <row r="118" spans="1:11" ht="24.75" customHeight="1">
      <c r="A118" s="2494" t="str">
        <f>项目基本情况!S2</f>
        <v>四川省成都市青羊区西御街3号、5号房地产</v>
      </c>
      <c r="B118" s="2920">
        <f>M18</f>
        <v>39599.300000000003</v>
      </c>
      <c r="C118" s="2920">
        <f>M19</f>
        <v>2908.34</v>
      </c>
      <c r="D118" s="2920">
        <f ca="1">ROUND(IF(D32="总价",C34,E118*B118/10000),0)</f>
        <v>122071</v>
      </c>
      <c r="E118" s="2920">
        <f ca="1">ROUND(IF(C33="自定义",IF(D32="楼面单价",C34,D118*10000/B118),I118-G118),0)</f>
        <v>30827</v>
      </c>
      <c r="F118" s="2920">
        <f ca="1">ROUND(IF(D32="总价",C35,G118*B118/10000),0)</f>
        <v>0</v>
      </c>
      <c r="G118" s="2920">
        <f ca="1">ROUND(IF(D32="楼面单价",C35,F118*10000/B118),0)</f>
        <v>0</v>
      </c>
      <c r="H118" s="2920">
        <f ca="1">ROUND(IF(D32="总价",C32,I118*B118/10000),0)</f>
        <v>122071</v>
      </c>
      <c r="I118" s="2920">
        <f ca="1">ROUND(IF(D32="楼面单价",C32,H118*10000/B118),0)</f>
        <v>30827</v>
      </c>
    </row>
    <row r="119" spans="1:11" ht="18.75" customHeight="1">
      <c r="A119" s="3486" t="s">
        <v>2300</v>
      </c>
      <c r="B119" s="3486"/>
      <c r="C119" s="3486"/>
      <c r="D119" s="3597" t="str">
        <f ca="1">NUMBERSTRING(INT(D118*10000),2)&amp;"元整"</f>
        <v>壹拾贰亿贰仟零柒拾壹万元整</v>
      </c>
      <c r="E119" s="3599"/>
      <c r="F119" s="3597" t="str">
        <f ca="1">NUMBERSTRING(INT(F118*10000),2)&amp;"元整"</f>
        <v>零元整</v>
      </c>
      <c r="G119" s="3599"/>
      <c r="H119" s="3597" t="str">
        <f ca="1">NUMBERSTRING(INT(H118*10000),2)&amp;"元整"</f>
        <v>壹拾贰亿贰仟零柒拾壹万元整</v>
      </c>
      <c r="I119" s="3599"/>
    </row>
    <row r="120" spans="1:11" ht="18.75" customHeight="1">
      <c r="A120" s="3625" t="str">
        <f>IF(项目基本情况!B9="房地产市场价值","",MID(E103,3,LEN(E103)-2))</f>
        <v/>
      </c>
      <c r="B120" s="3626"/>
      <c r="C120" s="3627"/>
      <c r="D120" s="3625">
        <f>H103</f>
        <v>0</v>
      </c>
      <c r="E120" s="3626"/>
      <c r="F120" s="3626"/>
      <c r="G120" s="3626"/>
      <c r="H120" s="3626"/>
      <c r="I120" s="3627"/>
      <c r="K120" s="2391" t="str">
        <f>IF(D120=0,"故，本次评估不存在"&amp;A120,"故，本次评估"&amp;A120&amp;"为人民币"&amp;D120&amp;"万元整。")</f>
        <v>故，本次评估不存在</v>
      </c>
    </row>
    <row r="121" spans="1:11" ht="18.75" customHeight="1">
      <c r="A121" s="3601" t="s">
        <v>2300</v>
      </c>
      <c r="B121" s="3602"/>
      <c r="C121" s="3603"/>
      <c r="D121" s="3597" t="str">
        <f>IF(D120=0,"零元整",NUMBERSTRING(INT(D120*10000),2)&amp;"元整")</f>
        <v>零元整</v>
      </c>
      <c r="E121" s="3598"/>
      <c r="F121" s="3598"/>
      <c r="G121" s="3598"/>
      <c r="H121" s="3598"/>
      <c r="I121" s="3599"/>
    </row>
    <row r="122" spans="1:11" ht="18.75" customHeight="1">
      <c r="A122" s="3588" t="str">
        <f>IF(项目基本情况!B9="房地产市场价值","",MID(E107,3,LEN(E107)-2))</f>
        <v/>
      </c>
      <c r="B122" s="3588"/>
      <c r="C122" s="3588"/>
      <c r="D122" s="3625">
        <f ca="1">H107</f>
        <v>122071</v>
      </c>
      <c r="E122" s="3626"/>
      <c r="F122" s="3626"/>
      <c r="G122" s="3626"/>
      <c r="H122" s="3626"/>
      <c r="I122" s="3627"/>
    </row>
    <row r="123" spans="1:11" ht="18.75" customHeight="1">
      <c r="A123" s="3486" t="s">
        <v>2300</v>
      </c>
      <c r="B123" s="3486"/>
      <c r="C123" s="3486"/>
      <c r="D123" s="3597" t="str">
        <f ca="1">NUMBERSTRING(INT(D122*10000),2)&amp;"元整"</f>
        <v>壹拾贰亿贰仟零柒拾壹万元整</v>
      </c>
      <c r="E123" s="3598"/>
      <c r="F123" s="3598"/>
      <c r="G123" s="3598"/>
      <c r="H123" s="3598"/>
      <c r="I123" s="3599"/>
    </row>
    <row r="124" spans="1:11" ht="18.75" customHeight="1">
      <c r="A124" s="3588" t="str">
        <f>IF(项目基本情况!B9="房地产市场价值","",MID(E109,3,LEN(E109)-2))</f>
        <v/>
      </c>
      <c r="B124" s="3588"/>
      <c r="C124" s="3588"/>
      <c r="D124" s="3625" t="str">
        <f>H109</f>
        <v>——</v>
      </c>
      <c r="E124" s="3626"/>
      <c r="F124" s="3626"/>
      <c r="G124" s="3626"/>
      <c r="H124" s="3626"/>
      <c r="I124" s="3627"/>
    </row>
    <row r="125" spans="1:11" ht="18.75" customHeight="1">
      <c r="A125" s="3486" t="s">
        <v>2300</v>
      </c>
      <c r="B125" s="3486"/>
      <c r="C125" s="3486"/>
      <c r="D125" s="3597" t="e">
        <f>NUMBERSTRING(INT(D124*10000),2)&amp;"元整"</f>
        <v>#VALUE!</v>
      </c>
      <c r="E125" s="3598"/>
      <c r="F125" s="3598"/>
      <c r="G125" s="3598"/>
      <c r="H125" s="3598"/>
      <c r="I125" s="3599"/>
    </row>
    <row r="126" spans="1:11" ht="18.75" customHeight="1">
      <c r="A126" s="3588" t="str">
        <f>IF(项目基本情况!B9="房地产市场价值","",MID(E111,3,LEN(E111)-2))</f>
        <v/>
      </c>
      <c r="B126" s="3588"/>
      <c r="C126" s="3588"/>
      <c r="D126" s="3625" t="str">
        <f>H111</f>
        <v>——</v>
      </c>
      <c r="E126" s="3626"/>
      <c r="F126" s="3626"/>
      <c r="G126" s="3626"/>
      <c r="H126" s="3626"/>
      <c r="I126" s="3627"/>
    </row>
    <row r="127" spans="1:11" ht="18.75" customHeight="1">
      <c r="A127" s="3486" t="s">
        <v>2300</v>
      </c>
      <c r="B127" s="3486"/>
      <c r="C127" s="3486"/>
      <c r="D127" s="3597" t="e">
        <f>NUMBERSTRING(INT(D126*10000),2)&amp;"元整"</f>
        <v>#VALUE!</v>
      </c>
      <c r="E127" s="3598"/>
      <c r="F127" s="3598"/>
      <c r="G127" s="3598"/>
      <c r="H127" s="3598"/>
      <c r="I127" s="3599"/>
    </row>
    <row r="128" spans="1:11" ht="21.75" customHeight="1">
      <c r="A128" s="3607" t="s">
        <v>2301</v>
      </c>
      <c r="B128" s="3607"/>
      <c r="C128" s="3607"/>
      <c r="D128" s="3607"/>
      <c r="E128" s="3607"/>
      <c r="F128" s="3607"/>
      <c r="G128" s="3607"/>
      <c r="H128" s="3607"/>
      <c r="I128" s="3607"/>
    </row>
    <row r="129" spans="1:35" ht="21.75" customHeight="1">
      <c r="A129" s="2495" t="s">
        <v>2302</v>
      </c>
      <c r="B129" s="2496"/>
      <c r="C129" s="2497" t="s">
        <v>2303</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90"/>
    </row>
    <row r="135" spans="1:35" ht="21.75" customHeight="1">
      <c r="A135" s="790"/>
      <c r="B135" s="790"/>
      <c r="C135" s="790"/>
      <c r="D135" s="790"/>
      <c r="E135" s="790"/>
      <c r="F135" s="2511" t="s">
        <v>2304</v>
      </c>
      <c r="G135" s="2512"/>
      <c r="H135" s="2512"/>
      <c r="I135" s="2513" t="s">
        <v>2305</v>
      </c>
    </row>
    <row r="136" spans="1:35" ht="21.75" customHeight="1">
      <c r="A136" s="790"/>
      <c r="B136" s="2514" t="s">
        <v>2306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2"/>
      <c r="C138" s="2512"/>
      <c r="D138" s="2512"/>
      <c r="E138" s="2512"/>
      <c r="F138" s="2512"/>
      <c r="G138" s="2512"/>
      <c r="H138" s="2512"/>
      <c r="I138" s="2513" t="s">
        <v>2307</v>
      </c>
    </row>
    <row r="139" spans="1:35" ht="21.75" customHeight="1">
      <c r="A139" s="790"/>
      <c r="B139" s="2514" t="s">
        <v>2308</v>
      </c>
      <c r="C139" s="790"/>
      <c r="D139" s="790"/>
      <c r="E139" s="790"/>
      <c r="F139" s="790"/>
      <c r="G139" s="790"/>
      <c r="H139" s="790"/>
      <c r="I139" s="790"/>
    </row>
    <row r="140" spans="1:35" ht="21.75" customHeight="1">
      <c r="A140" s="790"/>
      <c r="B140" s="2514"/>
      <c r="C140" s="790"/>
      <c r="D140" s="790"/>
      <c r="E140" s="790"/>
      <c r="F140" s="790"/>
      <c r="G140" s="790"/>
      <c r="H140" s="790"/>
      <c r="I140" s="790"/>
    </row>
    <row r="141" spans="1:35" ht="21.75" customHeight="1">
      <c r="A141" s="790"/>
      <c r="B141" s="2512"/>
      <c r="C141" s="2512"/>
      <c r="D141" s="2512"/>
      <c r="E141" s="2512"/>
      <c r="F141" s="2512"/>
      <c r="G141" s="2512"/>
      <c r="H141" s="2512"/>
      <c r="I141" s="2513" t="s">
        <v>2307</v>
      </c>
    </row>
    <row r="142" spans="1:35" ht="21.75" customHeight="1">
      <c r="A142" s="790"/>
      <c r="B142" s="2514"/>
      <c r="C142" s="2515"/>
      <c r="D142" s="2516"/>
      <c r="E142" s="2516"/>
      <c r="F142" s="2312"/>
      <c r="G142" s="790"/>
      <c r="H142" s="790"/>
      <c r="I142" s="790"/>
    </row>
    <row r="143" spans="1:35" s="139" customFormat="1" ht="21.75" customHeight="1">
      <c r="A143" s="790"/>
      <c r="B143" s="2514"/>
      <c r="C143" s="2515"/>
      <c r="D143" s="2516"/>
      <c r="E143" s="2516"/>
      <c r="F143" s="2312"/>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xr:uid="{00000000-0002-0000-2D00-000000000000}">
      <formula1>"2.估价师知悉的法定优先受偿款,2.估价师知悉的除抵押担保权以外的法定优先受偿款"</formula1>
    </dataValidation>
    <dataValidation type="list" allowBlank="1" showInputMessage="1" showErrorMessage="1" sqref="G77" xr:uid="{00000000-0002-0000-2D00-000001000000}">
      <formula1>"个人住宅,2016年5月1日前购买,2016年5月1日后购买"</formula1>
    </dataValidation>
    <dataValidation type="list" allowBlank="1" showInputMessage="1" showErrorMessage="1" sqref="C1" xr:uid="{00000000-0002-0000-2D00-000002000000}">
      <formula1>项目类型</formula1>
    </dataValidation>
    <dataValidation type="list" allowBlank="1" showInputMessage="1" showErrorMessage="1" sqref="I1" xr:uid="{00000000-0002-0000-2D00-000003000000}">
      <formula1>"项目局部,项目全部,——"</formula1>
    </dataValidation>
    <dataValidation type="list" showInputMessage="1" showErrorMessage="1" sqref="G1" xr:uid="{00000000-0002-0000-2D00-000004000000}">
      <formula1>"现房,在建,土地,-"</formula1>
    </dataValidation>
    <dataValidation type="list" allowBlank="1" showInputMessage="1" showErrorMessage="1" sqref="H59" xr:uid="{00000000-0002-0000-2D00-000005000000}">
      <formula1>"非个人房产,个人住宅,个人非住宅"</formula1>
    </dataValidation>
    <dataValidation type="list" allowBlank="1" showInputMessage="1" showErrorMessage="1" sqref="C129" xr:uid="{00000000-0002-0000-2D00-000006000000}">
      <formula1>"无,有"</formula1>
    </dataValidation>
    <dataValidation type="list" allowBlank="1" showInputMessage="1" showErrorMessage="1" sqref="F116:G116" xr:uid="{00000000-0002-0000-2D00-000007000000}">
      <formula1>"建筑物价值,在建建筑物价值,建筑物/在建建筑物价值"</formula1>
    </dataValidation>
    <dataValidation type="list" allowBlank="1" showInputMessage="1" showErrorMessage="1" sqref="D116:E116" xr:uid="{00000000-0002-0000-2D00-000008000000}">
      <formula1>"出让国有建设用地使用权价值,划拨国有建设用地使用权价值"</formula1>
    </dataValidation>
    <dataValidation type="list" allowBlank="1" showInputMessage="1" showErrorMessage="1" sqref="C116:C117" xr:uid="{00000000-0002-0000-2D00-000009000000}">
      <formula1>"土地面积,分摊土地面积,（分摊）土地面积"</formula1>
    </dataValidation>
    <dataValidation type="list" allowBlank="1" showInputMessage="1" showErrorMessage="1" sqref="B116:B117" xr:uid="{00000000-0002-0000-2D00-00000A000000}">
      <formula1>"建筑面积,规划建筑面积,（规划）建筑面积"</formula1>
    </dataValidation>
    <dataValidation type="list" allowBlank="1" showInputMessage="1" showErrorMessage="1" sqref="D36" xr:uid="{00000000-0002-0000-2D00-00000B000000}">
      <formula1>"同一抵押权人同一抵押物续贷,注销后放款,正常操作"</formula1>
    </dataValidation>
    <dataValidation type="list" allowBlank="1" showInputMessage="1" showErrorMessage="1" sqref="F75" xr:uid="{00000000-0002-0000-2D00-00000C000000}">
      <formula1>"买卖合同,购房发票"</formula1>
    </dataValidation>
    <dataValidation type="list" allowBlank="1" showInputMessage="1" showErrorMessage="1" sqref="H88" xr:uid="{00000000-0002-0000-2D00-00000D000000}">
      <formula1>"仅含出让金,出让金+开发费"</formula1>
    </dataValidation>
    <dataValidation type="list" allowBlank="1" showInputMessage="1" showErrorMessage="1" sqref="H91" xr:uid="{00000000-0002-0000-2D00-00000E000000}">
      <formula1>"企业提供（在右侧录入）,——"</formula1>
    </dataValidation>
    <dataValidation type="list" allowBlank="1" showInputMessage="1" showErrorMessage="1" sqref="C33" xr:uid="{00000000-0002-0000-2D00-00000F000000}">
      <formula1>"成本比率,收益比率,自定义"</formula1>
    </dataValidation>
    <dataValidation type="list" allowBlank="1" showInputMessage="1" showErrorMessage="1" sqref="F45" xr:uid="{00000000-0002-0000-2D00-000010000000}">
      <formula1>"100%,80%,60%,64%"</formula1>
    </dataValidation>
    <dataValidation type="list" allowBlank="1" showInputMessage="1" showErrorMessage="1" sqref="D32" xr:uid="{00000000-0002-0000-2D00-000011000000}">
      <formula1>"总价,楼面单价"</formula1>
    </dataValidation>
    <dataValidation type="list" allowBlank="1" showInputMessage="1" showErrorMessage="1" sqref="H58" xr:uid="{00000000-0002-0000-2D00-000012000000}">
      <formula1>"转让取得,自行开发建设"</formula1>
    </dataValidation>
    <dataValidation type="list" allowBlank="1" showInputMessage="1" showErrorMessage="1" sqref="H48" xr:uid="{00000000-0002-0000-2D00-000013000000}">
      <formula1>"情况1,情况2,情况3,情况4"</formula1>
    </dataValidation>
    <dataValidation type="list" allowBlank="1" showInputMessage="1" showErrorMessage="1" sqref="H55:H56" xr:uid="{00000000-0002-0000-2D00-000014000000}">
      <formula1>"个人住宅,正常"</formula1>
    </dataValidation>
    <dataValidation type="list" allowBlank="1" showInputMessage="1" showErrorMessage="1" sqref="C4:D4 D33" xr:uid="{00000000-0002-0000-2D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D132"/>
  <sheetViews>
    <sheetView topLeftCell="A32" zoomScale="80" zoomScaleNormal="80" workbookViewId="0">
      <selection activeCell="K49" sqref="K49"/>
    </sheetView>
  </sheetViews>
  <sheetFormatPr defaultColWidth="9" defaultRowHeight="13.8"/>
  <cols>
    <col min="1" max="1" width="14.33203125" style="3039" customWidth="1"/>
    <col min="2" max="2" width="15.77734375" style="3039" customWidth="1"/>
    <col min="3" max="3" width="21.6640625" style="3371" customWidth="1"/>
    <col min="4" max="4" width="14.109375" style="3039" customWidth="1"/>
    <col min="5" max="5" width="14.33203125" style="3039" customWidth="1"/>
    <col min="6" max="6" width="12.21875" style="3039" customWidth="1"/>
    <col min="7" max="7" width="14.44140625" style="3039" customWidth="1"/>
    <col min="8" max="8" width="12.21875" style="3039" customWidth="1"/>
    <col min="9" max="9" width="14.44140625" style="3039" customWidth="1"/>
    <col min="10" max="10" width="12.21875" style="3039" customWidth="1"/>
    <col min="11" max="11" width="12.21875" style="3350" customWidth="1"/>
    <col min="12" max="12" width="12.21875" style="3351" customWidth="1"/>
    <col min="13" max="15" width="12.21875" style="3039" customWidth="1"/>
    <col min="16" max="16" width="4.77734375" style="3039" customWidth="1"/>
    <col min="17" max="17" width="19.44140625" style="3039" customWidth="1"/>
    <col min="18" max="22" width="6.109375" style="3039" customWidth="1"/>
    <col min="23" max="23" width="5.77734375" style="3039" customWidth="1"/>
    <col min="24" max="24" width="4.21875" style="3039" customWidth="1"/>
    <col min="25" max="25" width="3.44140625" style="3039" customWidth="1"/>
    <col min="26" max="26" width="19.77734375" style="3039" customWidth="1"/>
    <col min="27" max="28" width="9.33203125" style="3039" customWidth="1"/>
    <col min="29" max="16384" width="9" style="3039"/>
  </cols>
  <sheetData>
    <row r="1" spans="1:30" s="3021" customFormat="1" ht="28.5" customHeight="1">
      <c r="A1" s="3011" t="s">
        <v>3181</v>
      </c>
      <c r="B1" s="3012"/>
      <c r="C1" s="3352" t="s">
        <v>3182</v>
      </c>
      <c r="D1" s="3013"/>
      <c r="E1" s="3013"/>
      <c r="F1" s="3014" t="s">
        <v>3183</v>
      </c>
      <c r="G1" s="3013"/>
      <c r="H1" s="3013"/>
      <c r="I1" s="3013"/>
      <c r="J1" s="3013"/>
      <c r="K1" s="3015"/>
      <c r="L1" s="3016"/>
      <c r="M1" s="3017"/>
      <c r="N1" s="3017"/>
      <c r="O1" s="3017"/>
      <c r="P1" s="3018"/>
      <c r="Q1" s="3018"/>
      <c r="R1" s="3018"/>
      <c r="S1" s="3018"/>
      <c r="T1" s="3018"/>
      <c r="U1" s="3018"/>
      <c r="V1" s="3018"/>
      <c r="W1" s="3018"/>
      <c r="X1" s="3018"/>
      <c r="Y1" s="3018"/>
      <c r="Z1" s="3018"/>
      <c r="AA1" s="3018"/>
      <c r="AB1" s="3018"/>
      <c r="AC1" s="3019"/>
      <c r="AD1" s="3020"/>
    </row>
    <row r="2" spans="1:30" s="3021" customFormat="1" ht="28.5" customHeight="1">
      <c r="A2" s="245" t="s">
        <v>3184</v>
      </c>
      <c r="B2" s="3022" t="e">
        <f>F66</f>
        <v>#VALUE!</v>
      </c>
      <c r="C2" s="3353"/>
      <c r="D2" s="3023"/>
      <c r="E2" s="3024"/>
      <c r="F2" s="3025"/>
      <c r="G2" s="3024"/>
      <c r="H2" s="3024"/>
      <c r="I2" s="3024"/>
      <c r="J2" s="3024"/>
      <c r="K2" s="3026"/>
      <c r="L2" s="3027"/>
      <c r="M2" s="3028"/>
      <c r="N2" s="3028"/>
      <c r="O2" s="3028"/>
      <c r="P2" s="3018"/>
      <c r="Q2" s="3018"/>
      <c r="R2" s="3018"/>
      <c r="S2" s="3018"/>
      <c r="T2" s="3018"/>
      <c r="U2" s="3018"/>
      <c r="V2" s="3018"/>
      <c r="W2" s="3018"/>
      <c r="X2" s="3018"/>
      <c r="Y2" s="3018"/>
      <c r="Z2" s="3018"/>
      <c r="AA2" s="3018"/>
      <c r="AB2" s="3018"/>
      <c r="AC2" s="3019"/>
      <c r="AD2" s="3020"/>
    </row>
    <row r="3" spans="1:30" s="3021" customFormat="1" ht="28.5" customHeight="1" thickBot="1">
      <c r="A3" s="247" t="s">
        <v>3185</v>
      </c>
      <c r="B3" s="3029" t="e">
        <f>ROUND(IF(D3="",B2*10000/'[1]数据-汇总表'!E3,B2*10000/D3),0)</f>
        <v>#VALUE!</v>
      </c>
      <c r="C3" s="3354" t="s">
        <v>3186</v>
      </c>
      <c r="D3" s="3030">
        <f>'数据-基础表'!O13</f>
        <v>37211.31</v>
      </c>
      <c r="E3" s="3024"/>
      <c r="F3" s="3025"/>
      <c r="G3" s="3024"/>
      <c r="H3" s="3024"/>
      <c r="I3" s="3024"/>
      <c r="J3" s="3024"/>
      <c r="K3" s="3026"/>
      <c r="L3" s="3027"/>
      <c r="M3" s="3028"/>
      <c r="N3" s="3028"/>
      <c r="O3" s="3028"/>
      <c r="P3" s="3018"/>
      <c r="Q3" s="3018"/>
      <c r="R3" s="3018"/>
      <c r="S3" s="3018"/>
      <c r="T3" s="3018"/>
      <c r="U3" s="3018"/>
      <c r="V3" s="3018"/>
      <c r="W3" s="3018"/>
      <c r="X3" s="3018"/>
      <c r="Y3" s="3018"/>
      <c r="Z3" s="3018"/>
      <c r="AA3" s="3018"/>
      <c r="AB3" s="3031"/>
      <c r="AC3" s="3032"/>
    </row>
    <row r="4" spans="1:30" ht="14.4">
      <c r="A4" s="3033" t="s">
        <v>3187</v>
      </c>
      <c r="B4" s="3034"/>
      <c r="C4" s="3736" t="s">
        <v>3188</v>
      </c>
      <c r="D4" s="3763"/>
      <c r="E4" s="3764" t="s">
        <v>3189</v>
      </c>
      <c r="F4" s="3765"/>
      <c r="G4" s="3736" t="s">
        <v>3190</v>
      </c>
      <c r="H4" s="3763"/>
      <c r="I4" s="3736" t="s">
        <v>3191</v>
      </c>
      <c r="J4" s="3763"/>
      <c r="K4" s="3035" t="s">
        <v>3192</v>
      </c>
      <c r="L4" s="3036"/>
      <c r="M4" s="3037"/>
      <c r="N4" s="3037"/>
      <c r="O4" s="3037"/>
      <c r="P4" s="3766" t="s">
        <v>3193</v>
      </c>
      <c r="Q4" s="3767"/>
      <c r="R4" s="3753" t="s">
        <v>3189</v>
      </c>
      <c r="S4" s="3754"/>
      <c r="T4" s="3753" t="s">
        <v>3190</v>
      </c>
      <c r="U4" s="3754"/>
      <c r="V4" s="3749" t="s">
        <v>3191</v>
      </c>
      <c r="W4" s="3749"/>
      <c r="X4" s="3038"/>
      <c r="Y4" s="3753" t="s">
        <v>3193</v>
      </c>
      <c r="Z4" s="3754"/>
      <c r="AA4" s="3759" t="s">
        <v>3189</v>
      </c>
      <c r="AB4" s="3760" t="s">
        <v>3190</v>
      </c>
      <c r="AC4" s="3759" t="s">
        <v>3191</v>
      </c>
    </row>
    <row r="5" spans="1:30" ht="38.4" customHeight="1">
      <c r="A5" s="3040"/>
      <c r="B5" s="3041"/>
      <c r="C5" s="3772" t="s">
        <v>3194</v>
      </c>
      <c r="D5" s="3773"/>
      <c r="E5" s="3774" t="str">
        <f>土地案例!A2</f>
        <v>锦江区新开街,东丁字街</v>
      </c>
      <c r="F5" s="3775"/>
      <c r="G5" s="3774" t="str">
        <f>土地案例!A3</f>
        <v>武侯区高升桥路21号</v>
      </c>
      <c r="H5" s="3775"/>
      <c r="I5" s="3774" t="str">
        <f>土地案例!A4</f>
        <v>武侯区致民路1、15、17号,十五北街2号</v>
      </c>
      <c r="J5" s="3775"/>
      <c r="K5" s="3035"/>
      <c r="L5" s="3036"/>
      <c r="M5" s="3037"/>
      <c r="N5" s="3037"/>
      <c r="O5" s="3037"/>
      <c r="P5" s="3768"/>
      <c r="Q5" s="3769"/>
      <c r="R5" s="3755"/>
      <c r="S5" s="3756"/>
      <c r="T5" s="3755"/>
      <c r="U5" s="3756"/>
      <c r="V5" s="3749"/>
      <c r="W5" s="3749"/>
      <c r="X5" s="3038"/>
      <c r="Y5" s="3755"/>
      <c r="Z5" s="3756"/>
      <c r="AA5" s="3760"/>
      <c r="AB5" s="3760"/>
      <c r="AC5" s="3760"/>
    </row>
    <row r="6" spans="1:30" ht="15" thickBot="1">
      <c r="A6" s="3042"/>
      <c r="B6" s="3043"/>
      <c r="C6" s="3776" t="s">
        <v>3195</v>
      </c>
      <c r="D6" s="3777"/>
      <c r="E6" s="3778" t="s">
        <v>3195</v>
      </c>
      <c r="F6" s="3779"/>
      <c r="G6" s="3776" t="s">
        <v>3195</v>
      </c>
      <c r="H6" s="3777"/>
      <c r="I6" s="3776" t="s">
        <v>3195</v>
      </c>
      <c r="J6" s="3777"/>
      <c r="K6" s="3035" t="s">
        <v>3196</v>
      </c>
      <c r="L6" s="3036"/>
      <c r="M6" s="3037"/>
      <c r="N6" s="3037"/>
      <c r="O6" s="3037"/>
      <c r="P6" s="3770"/>
      <c r="Q6" s="3771"/>
      <c r="R6" s="3755"/>
      <c r="S6" s="3756"/>
      <c r="T6" s="3757"/>
      <c r="U6" s="3758"/>
      <c r="V6" s="3749"/>
      <c r="W6" s="3749"/>
      <c r="X6" s="3038"/>
      <c r="Y6" s="3757"/>
      <c r="Z6" s="3758"/>
      <c r="AA6" s="3761"/>
      <c r="AB6" s="3761"/>
      <c r="AC6" s="3761"/>
    </row>
    <row r="7" spans="1:30" s="3057" customFormat="1" ht="15" thickBot="1">
      <c r="A7" s="3044" t="s">
        <v>3197</v>
      </c>
      <c r="B7" s="3045"/>
      <c r="C7" s="3395">
        <f>'[1]数据-取费表'!B2</f>
        <v>43833</v>
      </c>
      <c r="D7" s="3046">
        <v>100</v>
      </c>
      <c r="E7" s="3047" t="str">
        <f>土地案例!AA2</f>
        <v>2017-11-15</v>
      </c>
      <c r="F7" s="3048">
        <f>SUMIF(70:70,YEAR(E7)&amp;"-"&amp;INT((MONTH(E7)+2)/3),71:71)</f>
        <v>98.5</v>
      </c>
      <c r="G7" s="3049" t="str">
        <f>土地案例!AA3</f>
        <v>2020-01-20</v>
      </c>
      <c r="H7" s="3046">
        <f>SUMIF(70:70,YEAR(G7)&amp;"-"&amp;INT((MONTH(G7)+2)/3),71:71)</f>
        <v>100</v>
      </c>
      <c r="I7" s="3049" t="str">
        <f>土地案例!AA4</f>
        <v>2018-12-27</v>
      </c>
      <c r="J7" s="3046">
        <f>SUMIF(70:70,YEAR(I7)&amp;"-"&amp;INT((MONTH(I7)+2)/3),71:71)</f>
        <v>99</v>
      </c>
      <c r="K7" s="3050"/>
      <c r="L7" s="3051"/>
      <c r="M7" s="3052"/>
      <c r="N7" s="3052"/>
      <c r="O7" s="3052"/>
      <c r="P7" s="3750" t="s">
        <v>3198</v>
      </c>
      <c r="Q7" s="3762"/>
      <c r="R7" s="3053" t="s">
        <v>3199</v>
      </c>
      <c r="S7" s="3054">
        <f t="shared" ref="S7:S15" si="0">F7</f>
        <v>98.5</v>
      </c>
      <c r="T7" s="3053" t="s">
        <v>3199</v>
      </c>
      <c r="U7" s="3054">
        <f t="shared" ref="U7:U15" si="1">H7</f>
        <v>100</v>
      </c>
      <c r="V7" s="3053" t="s">
        <v>3199</v>
      </c>
      <c r="W7" s="3054">
        <f t="shared" ref="W7:W15" si="2">J7</f>
        <v>99</v>
      </c>
      <c r="X7" s="3055"/>
      <c r="Y7" s="3750" t="s">
        <v>3198</v>
      </c>
      <c r="Z7" s="3751"/>
      <c r="AA7" s="3056">
        <f>D7/F7</f>
        <v>1.015228426395939</v>
      </c>
      <c r="AB7" s="3056">
        <f>D7/H7</f>
        <v>1</v>
      </c>
      <c r="AC7" s="3056">
        <f>D7/J7</f>
        <v>1.0101010101010102</v>
      </c>
    </row>
    <row r="8" spans="1:30" s="3057" customFormat="1" ht="15" thickBot="1">
      <c r="A8" s="3044" t="s">
        <v>3200</v>
      </c>
      <c r="B8" s="3045"/>
      <c r="C8" s="3355" t="s">
        <v>2534</v>
      </c>
      <c r="D8" s="3046">
        <v>100</v>
      </c>
      <c r="E8" s="3058" t="s">
        <v>3042</v>
      </c>
      <c r="F8" s="3048">
        <f>SUMIF(73:73,E8,74:74)-SUMIF(73:73,C8,74:74)+100</f>
        <v>100</v>
      </c>
      <c r="G8" s="3058" t="s">
        <v>3042</v>
      </c>
      <c r="H8" s="3046">
        <f>SUMIF(73:73,G8,74:74)-SUMIF(73:73,C8,74:74)+100</f>
        <v>100</v>
      </c>
      <c r="I8" s="3058" t="s">
        <v>3042</v>
      </c>
      <c r="J8" s="3046">
        <f>SUMIF(73:73,I8,74:74)-SUMIF(73:73,C8,74:74)+100</f>
        <v>100</v>
      </c>
      <c r="K8" s="3050"/>
      <c r="L8" s="3051"/>
      <c r="M8" s="3052"/>
      <c r="N8" s="3052"/>
      <c r="O8" s="3052"/>
      <c r="P8" s="3750" t="s">
        <v>2535</v>
      </c>
      <c r="Q8" s="3751"/>
      <c r="R8" s="3053" t="s">
        <v>3201</v>
      </c>
      <c r="S8" s="3054">
        <f t="shared" si="0"/>
        <v>100</v>
      </c>
      <c r="T8" s="3053" t="s">
        <v>3201</v>
      </c>
      <c r="U8" s="3054">
        <f t="shared" si="1"/>
        <v>100</v>
      </c>
      <c r="V8" s="3053" t="s">
        <v>3201</v>
      </c>
      <c r="W8" s="3054">
        <f t="shared" si="2"/>
        <v>100</v>
      </c>
      <c r="X8" s="3055"/>
      <c r="Y8" s="3750" t="s">
        <v>2535</v>
      </c>
      <c r="Z8" s="3751"/>
      <c r="AA8" s="3056">
        <f t="shared" ref="AA8:AA45" si="3">D8/F8</f>
        <v>1</v>
      </c>
      <c r="AB8" s="3056">
        <f t="shared" ref="AB8:AB45" si="4">D8/H8</f>
        <v>1</v>
      </c>
      <c r="AC8" s="3056">
        <f t="shared" ref="AC8:AC45" si="5">D8/J8</f>
        <v>1</v>
      </c>
    </row>
    <row r="9" spans="1:30" s="3057" customFormat="1" ht="14.4">
      <c r="A9" s="3059" t="s">
        <v>3202</v>
      </c>
      <c r="B9" s="3060" t="s">
        <v>3203</v>
      </c>
      <c r="C9" s="3061" t="s">
        <v>3204</v>
      </c>
      <c r="D9" s="3062">
        <v>100</v>
      </c>
      <c r="E9" s="3061" t="s">
        <v>3204</v>
      </c>
      <c r="F9" s="3062">
        <f>SUMIF(75:75,E9,76:76)-SUMIF(75:75,C9,76:76)+100</f>
        <v>100</v>
      </c>
      <c r="G9" s="3061" t="s">
        <v>3204</v>
      </c>
      <c r="H9" s="3062">
        <f>SUMIF(75:75,G9,76:76)-SUMIF(75:75,C9,76:76)+100</f>
        <v>100</v>
      </c>
      <c r="I9" s="3061" t="s">
        <v>3204</v>
      </c>
      <c r="J9" s="3062">
        <f>SUMIF(75:75,I9,76:76)-SUMIF(75:75,C9,76:76)+100</f>
        <v>100</v>
      </c>
      <c r="K9" s="3050"/>
      <c r="L9" s="3051"/>
      <c r="M9" s="3052"/>
      <c r="N9" s="3052"/>
      <c r="O9" s="3063"/>
      <c r="P9" s="3739" t="s">
        <v>3205</v>
      </c>
      <c r="Q9" s="3064" t="str">
        <f t="shared" ref="Q9:Q15" si="6">B9</f>
        <v>用途</v>
      </c>
      <c r="R9" s="3053" t="s">
        <v>3201</v>
      </c>
      <c r="S9" s="3054">
        <f t="shared" si="0"/>
        <v>100</v>
      </c>
      <c r="T9" s="3053" t="s">
        <v>3201</v>
      </c>
      <c r="U9" s="3054">
        <f t="shared" si="1"/>
        <v>100</v>
      </c>
      <c r="V9" s="3053" t="s">
        <v>3201</v>
      </c>
      <c r="W9" s="3054">
        <f t="shared" si="2"/>
        <v>100</v>
      </c>
      <c r="X9" s="3055"/>
      <c r="Y9" s="3752" t="s">
        <v>3206</v>
      </c>
      <c r="Z9" s="3065" t="str">
        <f t="shared" ref="Z9:Z15" si="7">Q9</f>
        <v>用途</v>
      </c>
      <c r="AA9" s="3056">
        <f t="shared" si="3"/>
        <v>1</v>
      </c>
      <c r="AB9" s="3056">
        <f t="shared" si="4"/>
        <v>1</v>
      </c>
      <c r="AC9" s="3056">
        <f t="shared" si="5"/>
        <v>1</v>
      </c>
    </row>
    <row r="10" spans="1:30" s="3076" customFormat="1" ht="28.8">
      <c r="A10" s="3066"/>
      <c r="B10" s="3067" t="s">
        <v>2540</v>
      </c>
      <c r="C10" s="3068" t="s">
        <v>3207</v>
      </c>
      <c r="D10" s="3069">
        <v>100</v>
      </c>
      <c r="E10" s="3070" t="s">
        <v>3208</v>
      </c>
      <c r="F10" s="3069">
        <f>ROUND(100/'[1]数据-取费表'!G16,0)</f>
        <v>105</v>
      </c>
      <c r="G10" s="3071" t="s">
        <v>3208</v>
      </c>
      <c r="H10" s="3069">
        <f>ROUND(100/'[1]数据-取费表'!G16,0)</f>
        <v>105</v>
      </c>
      <c r="I10" s="3071" t="s">
        <v>3208</v>
      </c>
      <c r="J10" s="3069">
        <f>ROUND(100/'[1]数据-取费表'!G16,0)</f>
        <v>105</v>
      </c>
      <c r="K10" s="3072"/>
      <c r="L10" s="3073"/>
      <c r="M10" s="3074"/>
      <c r="N10" s="3074"/>
      <c r="O10" s="3075"/>
      <c r="P10" s="3739"/>
      <c r="Q10" s="3064" t="str">
        <f t="shared" si="6"/>
        <v>土地使用年限（年）</v>
      </c>
      <c r="R10" s="3053" t="s">
        <v>3201</v>
      </c>
      <c r="S10" s="3054">
        <f t="shared" si="0"/>
        <v>105</v>
      </c>
      <c r="T10" s="3053" t="s">
        <v>3201</v>
      </c>
      <c r="U10" s="3054">
        <f t="shared" si="1"/>
        <v>105</v>
      </c>
      <c r="V10" s="3053" t="s">
        <v>3201</v>
      </c>
      <c r="W10" s="3054">
        <f t="shared" si="2"/>
        <v>105</v>
      </c>
      <c r="X10" s="3055"/>
      <c r="Y10" s="3752"/>
      <c r="Z10" s="3065" t="str">
        <f t="shared" si="7"/>
        <v>土地使用年限（年）</v>
      </c>
      <c r="AA10" s="3056">
        <f t="shared" si="3"/>
        <v>0.95238095238095233</v>
      </c>
      <c r="AB10" s="3056">
        <f t="shared" si="4"/>
        <v>0.95238095238095233</v>
      </c>
      <c r="AC10" s="3056">
        <f t="shared" si="5"/>
        <v>0.95238095238095233</v>
      </c>
    </row>
    <row r="11" spans="1:30" ht="15">
      <c r="A11" s="3077"/>
      <c r="B11" s="3067" t="s">
        <v>3209</v>
      </c>
      <c r="C11" s="3078">
        <f>'数据-汇总表'!I4</f>
        <v>10.54</v>
      </c>
      <c r="D11" s="3069">
        <v>100</v>
      </c>
      <c r="E11" s="3078">
        <v>6</v>
      </c>
      <c r="F11" s="3069">
        <f>LOOKUP(E11,80:80,81:81)-LOOKUP(C11,80:80,81:81)+100</f>
        <v>102</v>
      </c>
      <c r="G11" s="3079">
        <v>4</v>
      </c>
      <c r="H11" s="3069">
        <f>LOOKUP(G11,80:80,81:81)-LOOKUP(C11,80:80,81:81)+100</f>
        <v>103</v>
      </c>
      <c r="I11" s="3078">
        <v>4.5</v>
      </c>
      <c r="J11" s="3069">
        <f>LOOKUP(I11,80:80,81:81)-LOOKUP(C11,80:80,81:81)+100</f>
        <v>103</v>
      </c>
      <c r="K11" s="3080">
        <v>1</v>
      </c>
      <c r="L11" s="3081"/>
      <c r="M11" s="3037"/>
      <c r="N11" s="3037"/>
      <c r="O11" s="3082"/>
      <c r="P11" s="3739"/>
      <c r="Q11" s="3064" t="str">
        <f t="shared" si="6"/>
        <v>容积率</v>
      </c>
      <c r="R11" s="3053" t="s">
        <v>3199</v>
      </c>
      <c r="S11" s="3054">
        <f t="shared" si="0"/>
        <v>102</v>
      </c>
      <c r="T11" s="3053" t="s">
        <v>3199</v>
      </c>
      <c r="U11" s="3054">
        <f t="shared" si="1"/>
        <v>103</v>
      </c>
      <c r="V11" s="3053" t="s">
        <v>3199</v>
      </c>
      <c r="W11" s="3054">
        <f t="shared" si="2"/>
        <v>103</v>
      </c>
      <c r="X11" s="3055"/>
      <c r="Y11" s="3752"/>
      <c r="Z11" s="3065" t="str">
        <f t="shared" si="7"/>
        <v>容积率</v>
      </c>
      <c r="AA11" s="3056">
        <f t="shared" si="3"/>
        <v>0.98039215686274506</v>
      </c>
      <c r="AB11" s="3056">
        <f t="shared" si="4"/>
        <v>0.970873786407767</v>
      </c>
      <c r="AC11" s="3056">
        <f t="shared" si="5"/>
        <v>0.970873786407767</v>
      </c>
    </row>
    <row r="12" spans="1:30" s="3057" customFormat="1" ht="15">
      <c r="A12" s="3083"/>
      <c r="B12" s="3084" t="s">
        <v>3210</v>
      </c>
      <c r="C12" s="3085" t="s">
        <v>3211</v>
      </c>
      <c r="D12" s="3086">
        <v>100</v>
      </c>
      <c r="E12" s="3087" t="s">
        <v>3211</v>
      </c>
      <c r="F12" s="3069">
        <f>SUMIF(82:82,E12,83:83)-SUMIF(82:82,C12,83:83)+100</f>
        <v>100</v>
      </c>
      <c r="G12" s="3071" t="s">
        <v>3212</v>
      </c>
      <c r="H12" s="3069">
        <f>SUMIF(82:82,G12,83:83)-SUMIF(82:82,C12,83:83)+100</f>
        <v>90</v>
      </c>
      <c r="I12" s="3070" t="s">
        <v>3212</v>
      </c>
      <c r="J12" s="3069">
        <f>SUMIF(82:82,I12,83:83)-SUMIF(82:82,C12,83:83)+100</f>
        <v>90</v>
      </c>
      <c r="K12" s="3072"/>
      <c r="L12" s="3051"/>
      <c r="M12" s="3052"/>
      <c r="N12" s="3052"/>
      <c r="O12" s="3063"/>
      <c r="P12" s="3739"/>
      <c r="Q12" s="3064" t="str">
        <f t="shared" si="6"/>
        <v>自持</v>
      </c>
      <c r="R12" s="3053" t="s">
        <v>3199</v>
      </c>
      <c r="S12" s="3054">
        <f t="shared" si="0"/>
        <v>100</v>
      </c>
      <c r="T12" s="3053" t="s">
        <v>3199</v>
      </c>
      <c r="U12" s="3054">
        <f t="shared" si="1"/>
        <v>90</v>
      </c>
      <c r="V12" s="3053" t="s">
        <v>3199</v>
      </c>
      <c r="W12" s="3054">
        <f t="shared" si="2"/>
        <v>90</v>
      </c>
      <c r="X12" s="3055"/>
      <c r="Y12" s="3752"/>
      <c r="Z12" s="3065" t="str">
        <f t="shared" si="7"/>
        <v>自持</v>
      </c>
      <c r="AA12" s="3056">
        <f>D12/F12</f>
        <v>1</v>
      </c>
      <c r="AB12" s="3056">
        <f>D12/H12</f>
        <v>1.1111111111111112</v>
      </c>
      <c r="AC12" s="3056">
        <f>D12/J12</f>
        <v>1.1111111111111112</v>
      </c>
    </row>
    <row r="13" spans="1:30" ht="15">
      <c r="A13" s="3077"/>
      <c r="B13" s="3088"/>
      <c r="C13" s="3089"/>
      <c r="D13" s="3090">
        <v>100</v>
      </c>
      <c r="E13" s="3091"/>
      <c r="F13" s="3069">
        <f>SUMIF(84:84,E13,85:85)-SUMIF(84:84,C13,85:85)+100</f>
        <v>100</v>
      </c>
      <c r="G13" s="3092"/>
      <c r="H13" s="3090">
        <f>SUMIF(84:84,G13,85:85)-SUMIF(84:84,C13,85:85)+100</f>
        <v>100</v>
      </c>
      <c r="I13" s="3092"/>
      <c r="J13" s="3090">
        <f>SUMIF(84:84,I13,85:85)-SUMIF(84:84,C13,85:85)+100</f>
        <v>100</v>
      </c>
      <c r="K13" s="3072"/>
      <c r="L13" s="3093"/>
      <c r="M13" s="3037"/>
      <c r="N13" s="3037"/>
      <c r="O13" s="3082"/>
      <c r="P13" s="3739"/>
      <c r="Q13" s="3064">
        <f t="shared" si="6"/>
        <v>0</v>
      </c>
      <c r="R13" s="3053" t="s">
        <v>3199</v>
      </c>
      <c r="S13" s="3054">
        <f t="shared" si="0"/>
        <v>100</v>
      </c>
      <c r="T13" s="3053" t="s">
        <v>3199</v>
      </c>
      <c r="U13" s="3054">
        <f t="shared" si="1"/>
        <v>100</v>
      </c>
      <c r="V13" s="3053" t="s">
        <v>3199</v>
      </c>
      <c r="W13" s="3054">
        <f t="shared" si="2"/>
        <v>100</v>
      </c>
      <c r="X13" s="3055"/>
      <c r="Y13" s="3752"/>
      <c r="Z13" s="3065">
        <f t="shared" si="7"/>
        <v>0</v>
      </c>
      <c r="AA13" s="3056">
        <f>D13/F13</f>
        <v>1</v>
      </c>
      <c r="AB13" s="3056">
        <f>D13/H13</f>
        <v>1</v>
      </c>
      <c r="AC13" s="3056">
        <f>D13/J13</f>
        <v>1</v>
      </c>
    </row>
    <row r="14" spans="1:30" ht="15.6" thickBot="1">
      <c r="A14" s="3094"/>
      <c r="B14" s="3095"/>
      <c r="C14" s="3096"/>
      <c r="D14" s="3097">
        <v>100</v>
      </c>
      <c r="E14" s="3091"/>
      <c r="F14" s="3097">
        <f>SUMIF(86:86,E14,87:87)-SUMIF(86:86,C14,87:87)+100</f>
        <v>100</v>
      </c>
      <c r="G14" s="3092"/>
      <c r="H14" s="3097">
        <f>SUMIF(86:86,G14,87:87)-SUMIF(86:86,C14,87:87)+100</f>
        <v>100</v>
      </c>
      <c r="I14" s="3092"/>
      <c r="J14" s="3097">
        <f>SUMIF(86:86,I14,87:87)-SUMIF(86:86,C14,87:87)+100</f>
        <v>100</v>
      </c>
      <c r="K14" s="3072"/>
      <c r="L14" s="3093"/>
      <c r="M14" s="3037"/>
      <c r="N14" s="3037"/>
      <c r="O14" s="3082"/>
      <c r="P14" s="3739"/>
      <c r="Q14" s="3064">
        <f t="shared" si="6"/>
        <v>0</v>
      </c>
      <c r="R14" s="3053" t="s">
        <v>3199</v>
      </c>
      <c r="S14" s="3054">
        <f t="shared" si="0"/>
        <v>100</v>
      </c>
      <c r="T14" s="3053" t="s">
        <v>3199</v>
      </c>
      <c r="U14" s="3054">
        <f t="shared" si="1"/>
        <v>100</v>
      </c>
      <c r="V14" s="3053" t="s">
        <v>3199</v>
      </c>
      <c r="W14" s="3054">
        <f t="shared" si="2"/>
        <v>100</v>
      </c>
      <c r="X14" s="3055"/>
      <c r="Y14" s="3752"/>
      <c r="Z14" s="3065">
        <f t="shared" si="7"/>
        <v>0</v>
      </c>
      <c r="AA14" s="3056">
        <f>D14/F14</f>
        <v>1</v>
      </c>
      <c r="AB14" s="3056">
        <f>D14/H14</f>
        <v>1</v>
      </c>
      <c r="AC14" s="3056">
        <f>D14/J14</f>
        <v>1</v>
      </c>
    </row>
    <row r="15" spans="1:30" ht="69" hidden="1">
      <c r="A15" s="3098" t="s">
        <v>3213</v>
      </c>
      <c r="B15" s="3099" t="s">
        <v>2071</v>
      </c>
      <c r="C15" s="3356" t="str">
        <f>[1]估价对象房地状况!C15</f>
        <v>估价对象周边居住用地比例、居住小区规模和社区发展完善程度，综合评价居住社区成熟度一般</v>
      </c>
      <c r="D15" s="3100">
        <v>100</v>
      </c>
      <c r="E15" s="3101"/>
      <c r="F15" s="3100">
        <f>SUMIF(88:88,E16,89:89)-SUMIF(88:88,C16,89:89)+100</f>
        <v>100</v>
      </c>
      <c r="G15" s="3101"/>
      <c r="H15" s="3100">
        <f>SUMIF(88:88,G16,89:89)-SUMIF(88:88,C16,89:89)+100</f>
        <v>100</v>
      </c>
      <c r="I15" s="3102"/>
      <c r="J15" s="3100">
        <f>SUMIF(88:88,I16,89:89)-SUMIF(88:88,C16,89:89)+100</f>
        <v>100</v>
      </c>
      <c r="K15" s="3080"/>
      <c r="L15" s="3093"/>
      <c r="M15" s="3037"/>
      <c r="N15" s="3037"/>
      <c r="O15" s="3082"/>
      <c r="P15" s="3742" t="s">
        <v>3214</v>
      </c>
      <c r="Q15" s="3103" t="str">
        <f t="shared" si="6"/>
        <v>居住社区成熟度</v>
      </c>
      <c r="R15" s="3104" t="s">
        <v>3199</v>
      </c>
      <c r="S15" s="3105">
        <f t="shared" si="0"/>
        <v>100</v>
      </c>
      <c r="T15" s="3104" t="s">
        <v>3199</v>
      </c>
      <c r="U15" s="3105">
        <f t="shared" si="1"/>
        <v>100</v>
      </c>
      <c r="V15" s="3104" t="s">
        <v>3199</v>
      </c>
      <c r="W15" s="3105">
        <f t="shared" si="2"/>
        <v>100</v>
      </c>
      <c r="X15" s="3038"/>
      <c r="Y15" s="3742" t="s">
        <v>3214</v>
      </c>
      <c r="Z15" s="3106" t="str">
        <f t="shared" si="7"/>
        <v>居住社区成熟度</v>
      </c>
      <c r="AA15" s="3107">
        <f t="shared" si="3"/>
        <v>1</v>
      </c>
      <c r="AB15" s="3107">
        <f t="shared" si="4"/>
        <v>1</v>
      </c>
      <c r="AC15" s="3107">
        <f t="shared" si="5"/>
        <v>1</v>
      </c>
    </row>
    <row r="16" spans="1:30" ht="15" hidden="1">
      <c r="A16" s="3077"/>
      <c r="B16" s="3108"/>
      <c r="C16" s="3109"/>
      <c r="D16" s="3110"/>
      <c r="E16" s="3111"/>
      <c r="F16" s="3110"/>
      <c r="G16" s="3111"/>
      <c r="H16" s="3112"/>
      <c r="I16" s="3113"/>
      <c r="J16" s="3110"/>
      <c r="K16" s="3072"/>
      <c r="L16" s="3093"/>
      <c r="M16" s="3037"/>
      <c r="N16" s="3037"/>
      <c r="O16" s="3082"/>
      <c r="P16" s="3743"/>
      <c r="Q16" s="3103"/>
      <c r="R16" s="3104"/>
      <c r="S16" s="3105"/>
      <c r="T16" s="3104"/>
      <c r="U16" s="3105"/>
      <c r="V16" s="3104"/>
      <c r="W16" s="3105"/>
      <c r="X16" s="3038"/>
      <c r="Y16" s="3743"/>
      <c r="Z16" s="3106"/>
      <c r="AA16" s="3107">
        <v>1</v>
      </c>
      <c r="AB16" s="3107">
        <v>1</v>
      </c>
      <c r="AC16" s="3107">
        <v>1</v>
      </c>
    </row>
    <row r="17" spans="1:29" ht="74.25" customHeight="1">
      <c r="A17" s="3077"/>
      <c r="B17" s="3114" t="s">
        <v>3215</v>
      </c>
      <c r="C17" s="3122" t="str">
        <f>估价对象房地状况!C4</f>
        <v>估价对象位于天府广场商圈，周边商业氛围成熟，人流量大，商业繁华度好</v>
      </c>
      <c r="D17" s="3112">
        <v>100</v>
      </c>
      <c r="E17" s="3116"/>
      <c r="F17" s="3112">
        <f>SUMIF(90:90,E18,91:91)-SUMIF(90:90,C18,91:91)+100</f>
        <v>95</v>
      </c>
      <c r="G17" s="3116"/>
      <c r="H17" s="3117">
        <f>SUMIF(90:90,G18,91:91)-SUMIF(90:90,C18,91:91)+100</f>
        <v>95</v>
      </c>
      <c r="I17" s="3116"/>
      <c r="J17" s="3117">
        <f>SUMIF(90:90,I18,91:91)-SUMIF(90:90,C18,91:91)+100</f>
        <v>95</v>
      </c>
      <c r="K17" s="3080">
        <v>5</v>
      </c>
      <c r="L17" s="3093"/>
      <c r="M17" s="3037"/>
      <c r="N17" s="3037"/>
      <c r="O17" s="3082"/>
      <c r="P17" s="3743"/>
      <c r="Q17" s="3103" t="str">
        <f>B17</f>
        <v>商业繁华度</v>
      </c>
      <c r="R17" s="3104" t="s">
        <v>3199</v>
      </c>
      <c r="S17" s="3105">
        <f>F17</f>
        <v>95</v>
      </c>
      <c r="T17" s="3104" t="s">
        <v>3199</v>
      </c>
      <c r="U17" s="3105">
        <f>H17</f>
        <v>95</v>
      </c>
      <c r="V17" s="3104" t="s">
        <v>3199</v>
      </c>
      <c r="W17" s="3105">
        <f>J17</f>
        <v>95</v>
      </c>
      <c r="X17" s="3038"/>
      <c r="Y17" s="3743"/>
      <c r="Z17" s="3106" t="str">
        <f>Q17</f>
        <v>商业繁华度</v>
      </c>
      <c r="AA17" s="3107">
        <f t="shared" si="3"/>
        <v>1.0526315789473684</v>
      </c>
      <c r="AB17" s="3107">
        <f t="shared" si="4"/>
        <v>1.0526315789473684</v>
      </c>
      <c r="AC17" s="3107">
        <f t="shared" si="5"/>
        <v>1.0526315789473684</v>
      </c>
    </row>
    <row r="18" spans="1:29" ht="15">
      <c r="A18" s="3077"/>
      <c r="B18" s="3118"/>
      <c r="C18" s="3119" t="s">
        <v>3048</v>
      </c>
      <c r="D18" s="3112"/>
      <c r="E18" s="3120" t="s">
        <v>3049</v>
      </c>
      <c r="F18" s="3112"/>
      <c r="G18" s="3120" t="s">
        <v>3049</v>
      </c>
      <c r="H18" s="3110"/>
      <c r="I18" s="3120" t="s">
        <v>3049</v>
      </c>
      <c r="J18" s="3110"/>
      <c r="K18" s="3072"/>
      <c r="L18" s="3093"/>
      <c r="M18" s="3037"/>
      <c r="N18" s="3037"/>
      <c r="O18" s="3082"/>
      <c r="P18" s="3743"/>
      <c r="Q18" s="3103"/>
      <c r="R18" s="3104"/>
      <c r="S18" s="3105"/>
      <c r="T18" s="3104"/>
      <c r="U18" s="3105"/>
      <c r="V18" s="3104"/>
      <c r="W18" s="3105"/>
      <c r="X18" s="3038"/>
      <c r="Y18" s="3743"/>
      <c r="Z18" s="3106"/>
      <c r="AA18" s="3107">
        <v>1</v>
      </c>
      <c r="AB18" s="3107">
        <v>1</v>
      </c>
      <c r="AC18" s="3107">
        <v>1</v>
      </c>
    </row>
    <row r="19" spans="1:29" ht="72" customHeight="1">
      <c r="A19" s="3077"/>
      <c r="B19" s="3114" t="s">
        <v>3216</v>
      </c>
      <c r="C19" s="3115" t="str">
        <f>估价对象房地状况!C5</f>
        <v>估价对象位于天府广场商圈，周边办公楼项目多，入驻率高，办公集聚程度好</v>
      </c>
      <c r="D19" s="3117">
        <v>100</v>
      </c>
      <c r="E19" s="3121"/>
      <c r="F19" s="3117">
        <f>SUMIF(92:92,E20,93:93)-SUMIF(92:92,C20,93:93)+100</f>
        <v>95</v>
      </c>
      <c r="G19" s="3121"/>
      <c r="H19" s="3112">
        <f>SUMIF(92:92,G20,93:93)-SUMIF(92:92,C20,93:93)+100</f>
        <v>95</v>
      </c>
      <c r="I19" s="3121"/>
      <c r="J19" s="3112">
        <f>SUMIF(92:92,I20,93:93)-SUMIF(92:92,C20,93:93)+100</f>
        <v>95</v>
      </c>
      <c r="K19" s="3080">
        <v>5</v>
      </c>
      <c r="L19" s="3093"/>
      <c r="M19" s="3037"/>
      <c r="N19" s="3037"/>
      <c r="O19" s="3082"/>
      <c r="P19" s="3743"/>
      <c r="Q19" s="3103" t="str">
        <f>B19</f>
        <v>办公集聚程度</v>
      </c>
      <c r="R19" s="3104" t="s">
        <v>3199</v>
      </c>
      <c r="S19" s="3105">
        <f>F19</f>
        <v>95</v>
      </c>
      <c r="T19" s="3104" t="s">
        <v>3199</v>
      </c>
      <c r="U19" s="3105">
        <f>H19</f>
        <v>95</v>
      </c>
      <c r="V19" s="3104" t="s">
        <v>3199</v>
      </c>
      <c r="W19" s="3105">
        <f>J19</f>
        <v>95</v>
      </c>
      <c r="X19" s="3038"/>
      <c r="Y19" s="3743"/>
      <c r="Z19" s="3106" t="str">
        <f>Q19</f>
        <v>办公集聚程度</v>
      </c>
      <c r="AA19" s="3107">
        <f t="shared" si="3"/>
        <v>1.0526315789473684</v>
      </c>
      <c r="AB19" s="3107">
        <f t="shared" si="4"/>
        <v>1.0526315789473684</v>
      </c>
      <c r="AC19" s="3107">
        <f t="shared" si="5"/>
        <v>1.0526315789473684</v>
      </c>
    </row>
    <row r="20" spans="1:29" ht="15">
      <c r="A20" s="3077"/>
      <c r="B20" s="3118"/>
      <c r="C20" s="3109" t="s">
        <v>3048</v>
      </c>
      <c r="D20" s="3110"/>
      <c r="E20" s="3111" t="s">
        <v>3049</v>
      </c>
      <c r="F20" s="3110"/>
      <c r="G20" s="3111" t="s">
        <v>3049</v>
      </c>
      <c r="H20" s="3110"/>
      <c r="I20" s="3111" t="s">
        <v>3049</v>
      </c>
      <c r="J20" s="3110"/>
      <c r="K20" s="3072"/>
      <c r="L20" s="3093"/>
      <c r="M20" s="3037"/>
      <c r="N20" s="3037"/>
      <c r="O20" s="3082"/>
      <c r="P20" s="3743"/>
      <c r="Q20" s="3103"/>
      <c r="R20" s="3104"/>
      <c r="S20" s="3105"/>
      <c r="T20" s="3104"/>
      <c r="U20" s="3105"/>
      <c r="V20" s="3104"/>
      <c r="W20" s="3105"/>
      <c r="X20" s="3038"/>
      <c r="Y20" s="3743"/>
      <c r="Z20" s="3106"/>
      <c r="AA20" s="3107">
        <v>1</v>
      </c>
      <c r="AB20" s="3107">
        <v>1</v>
      </c>
      <c r="AC20" s="3107">
        <v>1</v>
      </c>
    </row>
    <row r="21" spans="1:29" ht="82.8">
      <c r="A21" s="3077"/>
      <c r="B21" s="3114" t="s">
        <v>3217</v>
      </c>
      <c r="C21" s="3122" t="str">
        <f>估价对象房地状况!C6</f>
        <v>估价对象周边道路状况较好、地铁14、15号线通过，公共交通通达情况较好、停车便捷程度较好，综合评价交通便捷度较好</v>
      </c>
      <c r="D21" s="3112">
        <v>100</v>
      </c>
      <c r="E21" s="3116"/>
      <c r="F21" s="3117">
        <f>SUMIF(94:94,E22,95:95)-SUMIF(94:94,C22,95:95)+100</f>
        <v>100</v>
      </c>
      <c r="G21" s="3116"/>
      <c r="H21" s="3112">
        <f>SUMIF(94:94,G22,95:95)-SUMIF(94:94,C22,95:95)+100</f>
        <v>100</v>
      </c>
      <c r="I21" s="3116"/>
      <c r="J21" s="3112">
        <f>SUMIF(94:94,I22,95:95)-SUMIF(94:94,C22,95:95)+100</f>
        <v>100</v>
      </c>
      <c r="K21" s="3080">
        <v>2</v>
      </c>
      <c r="L21" s="3093"/>
      <c r="M21" s="3037"/>
      <c r="N21" s="3037"/>
      <c r="O21" s="3082"/>
      <c r="P21" s="3743"/>
      <c r="Q21" s="3103" t="str">
        <f>B21</f>
        <v>交通便捷度</v>
      </c>
      <c r="R21" s="3104" t="s">
        <v>3199</v>
      </c>
      <c r="S21" s="3105">
        <f>F21</f>
        <v>100</v>
      </c>
      <c r="T21" s="3104" t="s">
        <v>3199</v>
      </c>
      <c r="U21" s="3105">
        <f>H21</f>
        <v>100</v>
      </c>
      <c r="V21" s="3104" t="s">
        <v>3199</v>
      </c>
      <c r="W21" s="3105">
        <f>J21</f>
        <v>100</v>
      </c>
      <c r="X21" s="3038"/>
      <c r="Y21" s="3743"/>
      <c r="Z21" s="3106" t="str">
        <f>Q21</f>
        <v>交通便捷度</v>
      </c>
      <c r="AA21" s="3107">
        <f t="shared" si="3"/>
        <v>1</v>
      </c>
      <c r="AB21" s="3107">
        <f t="shared" si="4"/>
        <v>1</v>
      </c>
      <c r="AC21" s="3107">
        <f t="shared" si="5"/>
        <v>1</v>
      </c>
    </row>
    <row r="22" spans="1:29" ht="15">
      <c r="A22" s="3077"/>
      <c r="B22" s="3123"/>
      <c r="C22" s="3109" t="s">
        <v>3048</v>
      </c>
      <c r="D22" s="3112"/>
      <c r="E22" s="3109" t="s">
        <v>3048</v>
      </c>
      <c r="F22" s="3110"/>
      <c r="G22" s="3109" t="s">
        <v>3048</v>
      </c>
      <c r="H22" s="3110"/>
      <c r="I22" s="3109" t="s">
        <v>3048</v>
      </c>
      <c r="J22" s="3110"/>
      <c r="K22" s="3072"/>
      <c r="L22" s="3093"/>
      <c r="M22" s="3037"/>
      <c r="N22" s="3037"/>
      <c r="O22" s="3082"/>
      <c r="P22" s="3743"/>
      <c r="Q22" s="3103"/>
      <c r="R22" s="3104"/>
      <c r="S22" s="3105"/>
      <c r="T22" s="3104"/>
      <c r="U22" s="3105"/>
      <c r="V22" s="3104"/>
      <c r="W22" s="3105"/>
      <c r="X22" s="3038"/>
      <c r="Y22" s="3743"/>
      <c r="Z22" s="3106"/>
      <c r="AA22" s="3107">
        <v>1</v>
      </c>
      <c r="AB22" s="3107">
        <v>1</v>
      </c>
      <c r="AC22" s="3107">
        <v>1</v>
      </c>
    </row>
    <row r="23" spans="1:29" ht="28.8">
      <c r="A23" s="3040"/>
      <c r="B23" s="3114" t="s">
        <v>3218</v>
      </c>
      <c r="C23" s="3124">
        <f>[1]估价对象房地状况!C19</f>
        <v>0</v>
      </c>
      <c r="D23" s="3117">
        <v>100</v>
      </c>
      <c r="E23" s="3116"/>
      <c r="F23" s="3117">
        <f>SUMIF(96:96,E24,97:97)-SUMIF(96:96,C24,97:97)+100</f>
        <v>100</v>
      </c>
      <c r="G23" s="3116"/>
      <c r="H23" s="3117">
        <f>SUMIF(96:96,G24,97:97)-SUMIF(96:96,C24,97:97)+100</f>
        <v>100</v>
      </c>
      <c r="I23" s="3116"/>
      <c r="J23" s="3117">
        <f>SUMIF(96:96,I24,97:97)-SUMIF(96:96,C24,97:97)+100</f>
        <v>100</v>
      </c>
      <c r="K23" s="3080">
        <v>1</v>
      </c>
      <c r="L23" s="3093"/>
      <c r="M23" s="3037"/>
      <c r="N23" s="3037"/>
      <c r="O23" s="3082"/>
      <c r="P23" s="3743"/>
      <c r="Q23" s="3103" t="str">
        <f t="shared" ref="Q23:Q37" si="8">B23</f>
        <v>区域土地利用方向</v>
      </c>
      <c r="R23" s="3104" t="s">
        <v>3199</v>
      </c>
      <c r="S23" s="3105">
        <f>F23</f>
        <v>100</v>
      </c>
      <c r="T23" s="3104" t="s">
        <v>3219</v>
      </c>
      <c r="U23" s="3105">
        <f>H23</f>
        <v>100</v>
      </c>
      <c r="V23" s="3104" t="s">
        <v>3219</v>
      </c>
      <c r="W23" s="3105">
        <f>J23</f>
        <v>100</v>
      </c>
      <c r="X23" s="3038"/>
      <c r="Y23" s="3743"/>
      <c r="Z23" s="3106" t="str">
        <f>Q23</f>
        <v>区域土地利用方向</v>
      </c>
      <c r="AA23" s="3107">
        <f t="shared" si="3"/>
        <v>1</v>
      </c>
      <c r="AB23" s="3107">
        <f t="shared" si="4"/>
        <v>1</v>
      </c>
      <c r="AC23" s="3107">
        <f t="shared" si="5"/>
        <v>1</v>
      </c>
    </row>
    <row r="24" spans="1:29" ht="15">
      <c r="A24" s="3040"/>
      <c r="B24" s="3118"/>
      <c r="C24" s="3125" t="s">
        <v>3048</v>
      </c>
      <c r="D24" s="3110"/>
      <c r="E24" s="3111" t="s">
        <v>3048</v>
      </c>
      <c r="F24" s="3110"/>
      <c r="G24" s="3111" t="s">
        <v>3048</v>
      </c>
      <c r="H24" s="3110"/>
      <c r="I24" s="3111" t="s">
        <v>3048</v>
      </c>
      <c r="J24" s="3110"/>
      <c r="K24" s="3126"/>
      <c r="L24" s="3093"/>
      <c r="M24" s="3037"/>
      <c r="N24" s="3037"/>
      <c r="O24" s="3082"/>
      <c r="P24" s="3743"/>
      <c r="Q24" s="3103"/>
      <c r="R24" s="3104"/>
      <c r="S24" s="3105"/>
      <c r="T24" s="3104"/>
      <c r="U24" s="3105"/>
      <c r="V24" s="3104"/>
      <c r="W24" s="3105"/>
      <c r="X24" s="3038"/>
      <c r="Y24" s="3743"/>
      <c r="Z24" s="3106"/>
      <c r="AA24" s="3107"/>
      <c r="AB24" s="3107"/>
      <c r="AC24" s="3107"/>
    </row>
    <row r="25" spans="1:29" ht="53.25" customHeight="1">
      <c r="A25" s="3040"/>
      <c r="B25" s="3123" t="s">
        <v>3220</v>
      </c>
      <c r="C25" s="3122" t="str">
        <f>估价对象房地状况!C7</f>
        <v>估价对象所在区域公共配套设施齐备情况较好</v>
      </c>
      <c r="D25" s="3112">
        <v>100</v>
      </c>
      <c r="E25" s="3116"/>
      <c r="F25" s="3112">
        <f>SUMIF(98:98,E26,99:99)-SUMIF(98:98,C26,99:99)+100</f>
        <v>100</v>
      </c>
      <c r="G25" s="3116"/>
      <c r="H25" s="3112">
        <f>SUMIF(98:98,G26,99:99)-SUMIF(98:98,C26,99:99)+100</f>
        <v>100</v>
      </c>
      <c r="I25" s="3116"/>
      <c r="J25" s="3112">
        <f>SUMIF(98:98,I26,99:99)-SUMIF(98:98,C26,99:99)+100</f>
        <v>100</v>
      </c>
      <c r="K25" s="3080">
        <v>1</v>
      </c>
      <c r="L25" s="3093"/>
      <c r="M25" s="3037"/>
      <c r="N25" s="3037"/>
      <c r="O25" s="3082"/>
      <c r="P25" s="3743"/>
      <c r="Q25" s="3103" t="str">
        <f t="shared" si="8"/>
        <v>自然及人文环境状况</v>
      </c>
      <c r="R25" s="3104" t="s">
        <v>3219</v>
      </c>
      <c r="S25" s="3105">
        <f>F25</f>
        <v>100</v>
      </c>
      <c r="T25" s="3104" t="s">
        <v>3219</v>
      </c>
      <c r="U25" s="3105">
        <f>H25</f>
        <v>100</v>
      </c>
      <c r="V25" s="3104" t="s">
        <v>3219</v>
      </c>
      <c r="W25" s="3105">
        <f>J25</f>
        <v>100</v>
      </c>
      <c r="X25" s="3038"/>
      <c r="Y25" s="3743"/>
      <c r="Z25" s="3106" t="str">
        <f>Q25</f>
        <v>自然及人文环境状况</v>
      </c>
      <c r="AA25" s="3107">
        <f t="shared" si="3"/>
        <v>1</v>
      </c>
      <c r="AB25" s="3107">
        <f t="shared" si="4"/>
        <v>1</v>
      </c>
      <c r="AC25" s="3107">
        <f t="shared" si="5"/>
        <v>1</v>
      </c>
    </row>
    <row r="26" spans="1:29" ht="15">
      <c r="A26" s="3040"/>
      <c r="B26" s="3118"/>
      <c r="C26" s="3109" t="s">
        <v>3048</v>
      </c>
      <c r="D26" s="3110"/>
      <c r="E26" s="3109" t="s">
        <v>3048</v>
      </c>
      <c r="F26" s="3110"/>
      <c r="G26" s="3109" t="s">
        <v>3048</v>
      </c>
      <c r="H26" s="3110"/>
      <c r="I26" s="3109" t="s">
        <v>3048</v>
      </c>
      <c r="J26" s="3110"/>
      <c r="K26" s="3072"/>
      <c r="L26" s="3093"/>
      <c r="M26" s="3037"/>
      <c r="N26" s="3037"/>
      <c r="O26" s="3082"/>
      <c r="P26" s="3743"/>
      <c r="Q26" s="3103"/>
      <c r="R26" s="3104"/>
      <c r="S26" s="3105"/>
      <c r="T26" s="3104"/>
      <c r="U26" s="3105"/>
      <c r="V26" s="3104"/>
      <c r="W26" s="3105"/>
      <c r="X26" s="3038"/>
      <c r="Y26" s="3743"/>
      <c r="Z26" s="3106"/>
      <c r="AA26" s="3107">
        <v>1</v>
      </c>
      <c r="AB26" s="3107">
        <v>1</v>
      </c>
      <c r="AC26" s="3107">
        <v>1</v>
      </c>
    </row>
    <row r="27" spans="1:29" s="3057" customFormat="1" ht="27.6">
      <c r="A27" s="3127"/>
      <c r="B27" s="3123" t="s">
        <v>3221</v>
      </c>
      <c r="C27" s="3122" t="str">
        <f>[1]估价对象房地状况!C21</f>
        <v>估价对象所在区域公共配套设施齐备情况</v>
      </c>
      <c r="D27" s="3112">
        <v>100</v>
      </c>
      <c r="E27" s="3116"/>
      <c r="F27" s="3112">
        <f>SUMIF(100:100,E28,101:101)-SUMIF(100:100,C28,101:101)+100</f>
        <v>96</v>
      </c>
      <c r="G27" s="3116"/>
      <c r="H27" s="3112">
        <f>SUMIF(100:100,G28,101:101)-SUMIF(100:100,C28,101:101)+100</f>
        <v>96</v>
      </c>
      <c r="I27" s="3116"/>
      <c r="J27" s="3112">
        <f>SUMIF(100:100,I28,101:101)-SUMIF(100:100,C28,101:101)+100</f>
        <v>96</v>
      </c>
      <c r="K27" s="3080">
        <v>4</v>
      </c>
      <c r="L27" s="3051"/>
      <c r="M27" s="3052"/>
      <c r="N27" s="3052"/>
      <c r="O27" s="3063"/>
      <c r="P27" s="3743"/>
      <c r="Q27" s="3064" t="str">
        <f t="shared" si="8"/>
        <v>公共配套设施</v>
      </c>
      <c r="R27" s="3053" t="s">
        <v>3199</v>
      </c>
      <c r="S27" s="3054">
        <f>F27</f>
        <v>96</v>
      </c>
      <c r="T27" s="3053" t="s">
        <v>3199</v>
      </c>
      <c r="U27" s="3054">
        <f>H27</f>
        <v>96</v>
      </c>
      <c r="V27" s="3053" t="s">
        <v>3199</v>
      </c>
      <c r="W27" s="3054">
        <f>J27</f>
        <v>96</v>
      </c>
      <c r="X27" s="3055"/>
      <c r="Y27" s="3743"/>
      <c r="Z27" s="3065" t="str">
        <f>Q27</f>
        <v>公共配套设施</v>
      </c>
      <c r="AA27" s="3107">
        <f>D27/F27</f>
        <v>1.0416666666666667</v>
      </c>
      <c r="AB27" s="3107">
        <f>D27/H27</f>
        <v>1.0416666666666667</v>
      </c>
      <c r="AC27" s="3107">
        <f>D27/J27</f>
        <v>1.0416666666666667</v>
      </c>
    </row>
    <row r="28" spans="1:29" s="3057" customFormat="1" ht="15.6">
      <c r="A28" s="3127"/>
      <c r="B28" s="3118"/>
      <c r="C28" s="3128" t="s">
        <v>3048</v>
      </c>
      <c r="D28" s="3110"/>
      <c r="E28" s="3419" t="s">
        <v>3506</v>
      </c>
      <c r="F28" s="3110"/>
      <c r="G28" s="3419" t="s">
        <v>3506</v>
      </c>
      <c r="H28" s="3110"/>
      <c r="I28" s="3419" t="s">
        <v>3506</v>
      </c>
      <c r="J28" s="3110"/>
      <c r="K28" s="3072"/>
      <c r="L28" s="3051"/>
      <c r="M28" s="3052"/>
      <c r="N28" s="3052"/>
      <c r="O28" s="3063"/>
      <c r="P28" s="3743"/>
      <c r="Q28" s="3064"/>
      <c r="R28" s="3053"/>
      <c r="S28" s="3054"/>
      <c r="T28" s="3053"/>
      <c r="U28" s="3054"/>
      <c r="V28" s="3053"/>
      <c r="W28" s="3054"/>
      <c r="X28" s="3055"/>
      <c r="Y28" s="3743"/>
      <c r="Z28" s="3065"/>
      <c r="AA28" s="3107">
        <v>1</v>
      </c>
      <c r="AB28" s="3107">
        <v>1</v>
      </c>
      <c r="AC28" s="3107">
        <v>1</v>
      </c>
    </row>
    <row r="29" spans="1:29" s="3057" customFormat="1" ht="27.6">
      <c r="A29" s="3127"/>
      <c r="B29" s="3123" t="s">
        <v>3222</v>
      </c>
      <c r="C29" s="3122" t="str">
        <f>[1]估价对象房地状况!C22</f>
        <v>估价对象所在区域基础设施水平</v>
      </c>
      <c r="D29" s="3112">
        <v>100</v>
      </c>
      <c r="E29" s="3116"/>
      <c r="F29" s="3112">
        <f>SUMIF(102:102,E30,103:103)-SUMIF(102:102,C30,103:103)+100</f>
        <v>100</v>
      </c>
      <c r="G29" s="3116"/>
      <c r="H29" s="3112">
        <f>SUMIF(102:102,G30,103:103)-SUMIF(102:102,C30,103:103)+100</f>
        <v>100</v>
      </c>
      <c r="I29" s="3116"/>
      <c r="J29" s="3112">
        <f>SUMIF(102:102,I30,103:103)-SUMIF(102:102,C30,103:103)+100</f>
        <v>100</v>
      </c>
      <c r="K29" s="3080">
        <v>2</v>
      </c>
      <c r="L29" s="3051"/>
      <c r="M29" s="3052"/>
      <c r="N29" s="3052"/>
      <c r="O29" s="3063"/>
      <c r="P29" s="3743"/>
      <c r="Q29" s="3064" t="str">
        <f t="shared" ref="Q29" si="9">B29</f>
        <v>基础设施水平</v>
      </c>
      <c r="R29" s="3053" t="s">
        <v>3199</v>
      </c>
      <c r="S29" s="3054">
        <f>F29</f>
        <v>100</v>
      </c>
      <c r="T29" s="3053" t="s">
        <v>3199</v>
      </c>
      <c r="U29" s="3054">
        <f>H29</f>
        <v>100</v>
      </c>
      <c r="V29" s="3053" t="s">
        <v>3199</v>
      </c>
      <c r="W29" s="3054">
        <f>J29</f>
        <v>100</v>
      </c>
      <c r="X29" s="3055"/>
      <c r="Y29" s="3743"/>
      <c r="Z29" s="3065" t="str">
        <f>Q29</f>
        <v>基础设施水平</v>
      </c>
      <c r="AA29" s="3107">
        <f>D29/F29</f>
        <v>1</v>
      </c>
      <c r="AB29" s="3107">
        <f>D29/H29</f>
        <v>1</v>
      </c>
      <c r="AC29" s="3107">
        <f>D29/J29</f>
        <v>1</v>
      </c>
    </row>
    <row r="30" spans="1:29" s="3057" customFormat="1" ht="15">
      <c r="A30" s="3127"/>
      <c r="B30" s="3118"/>
      <c r="C30" s="3128" t="s">
        <v>3087</v>
      </c>
      <c r="D30" s="3110"/>
      <c r="E30" s="3129" t="s">
        <v>3087</v>
      </c>
      <c r="F30" s="3110"/>
      <c r="G30" s="3129" t="s">
        <v>3087</v>
      </c>
      <c r="H30" s="3110"/>
      <c r="I30" s="3129" t="s">
        <v>3087</v>
      </c>
      <c r="J30" s="3110"/>
      <c r="K30" s="3072"/>
      <c r="L30" s="3051"/>
      <c r="M30" s="3052"/>
      <c r="N30" s="3052"/>
      <c r="O30" s="3063"/>
      <c r="P30" s="3743"/>
      <c r="Q30" s="3064"/>
      <c r="R30" s="3053"/>
      <c r="S30" s="3054"/>
      <c r="T30" s="3053"/>
      <c r="U30" s="3054"/>
      <c r="V30" s="3053"/>
      <c r="W30" s="3054"/>
      <c r="X30" s="3055"/>
      <c r="Y30" s="3743"/>
      <c r="Z30" s="3065"/>
      <c r="AA30" s="3107">
        <v>1</v>
      </c>
      <c r="AB30" s="3107">
        <v>1</v>
      </c>
      <c r="AC30" s="3107">
        <v>1</v>
      </c>
    </row>
    <row r="31" spans="1:29" ht="15">
      <c r="A31" s="3077"/>
      <c r="B31" s="3118" t="s">
        <v>3223</v>
      </c>
      <c r="C31" s="3125" t="s">
        <v>3341</v>
      </c>
      <c r="D31" s="3090">
        <v>100</v>
      </c>
      <c r="E31" s="3125" t="s">
        <v>3341</v>
      </c>
      <c r="F31" s="3090">
        <f>SUMIF(104:104,E31,105:105)-SUMIF(104:104,C31,105:105)+100</f>
        <v>100</v>
      </c>
      <c r="G31" s="3125" t="s">
        <v>3341</v>
      </c>
      <c r="H31" s="3090">
        <f>SUMIF(104:104,G31,105:105)-SUMIF(104:104,C31,105:105)+100</f>
        <v>100</v>
      </c>
      <c r="I31" s="3125" t="s">
        <v>3341</v>
      </c>
      <c r="J31" s="3090">
        <f>SUMIF(104:104,I31,105:105)-SUMIF(104:104,C31,105:105)+100</f>
        <v>100</v>
      </c>
      <c r="K31" s="3080">
        <v>2</v>
      </c>
      <c r="L31" s="3093"/>
      <c r="M31" s="3037"/>
      <c r="N31" s="3037"/>
      <c r="O31" s="3082"/>
      <c r="P31" s="3743"/>
      <c r="Q31" s="3103" t="str">
        <f t="shared" si="8"/>
        <v>临街状况</v>
      </c>
      <c r="R31" s="3104" t="s">
        <v>3199</v>
      </c>
      <c r="S31" s="3105">
        <f t="shared" ref="S31:S45" si="10">F31</f>
        <v>100</v>
      </c>
      <c r="T31" s="3104" t="s">
        <v>3199</v>
      </c>
      <c r="U31" s="3105">
        <f t="shared" ref="U31:U45" si="11">H31</f>
        <v>100</v>
      </c>
      <c r="V31" s="3104" t="s">
        <v>3199</v>
      </c>
      <c r="W31" s="3105">
        <f t="shared" ref="W31:W45" si="12">J31</f>
        <v>100</v>
      </c>
      <c r="X31" s="3038"/>
      <c r="Y31" s="3743"/>
      <c r="Z31" s="3106" t="str">
        <f t="shared" ref="Z31:Z45" si="13">Q31</f>
        <v>临街状况</v>
      </c>
      <c r="AA31" s="3107">
        <f t="shared" si="3"/>
        <v>1</v>
      </c>
      <c r="AB31" s="3107">
        <f t="shared" si="4"/>
        <v>1</v>
      </c>
      <c r="AC31" s="3107">
        <f t="shared" si="5"/>
        <v>1</v>
      </c>
    </row>
    <row r="32" spans="1:29" ht="28.8">
      <c r="A32" s="3077"/>
      <c r="B32" s="3123" t="s">
        <v>3224</v>
      </c>
      <c r="C32" s="2974"/>
      <c r="D32" s="3112">
        <v>100</v>
      </c>
      <c r="E32" s="3116"/>
      <c r="F32" s="3112">
        <f>SUMIF(106:106,E33,107:107)-SUMIF(106:106,C33,107:107)+100</f>
        <v>100</v>
      </c>
      <c r="G32" s="3116"/>
      <c r="H32" s="3112">
        <f>SUMIF(106:106,G33,107:107)-SUMIF(106:106,C33,107:107)+100</f>
        <v>100</v>
      </c>
      <c r="I32" s="3131"/>
      <c r="J32" s="3112">
        <f>SUMIF(106:106,I33,107:107)-SUMIF(106:106,C33,107:107)+100</f>
        <v>100</v>
      </c>
      <c r="K32" s="3080">
        <v>1</v>
      </c>
      <c r="L32" s="3093"/>
      <c r="M32" s="3037"/>
      <c r="N32" s="3037"/>
      <c r="O32" s="3082"/>
      <c r="P32" s="3743"/>
      <c r="Q32" s="3103" t="str">
        <f t="shared" si="8"/>
        <v>毗邻道路的类型与等级</v>
      </c>
      <c r="R32" s="3104" t="s">
        <v>3201</v>
      </c>
      <c r="S32" s="3105">
        <f t="shared" si="10"/>
        <v>100</v>
      </c>
      <c r="T32" s="3104" t="s">
        <v>3201</v>
      </c>
      <c r="U32" s="3105">
        <f t="shared" si="11"/>
        <v>100</v>
      </c>
      <c r="V32" s="3104" t="s">
        <v>3201</v>
      </c>
      <c r="W32" s="3105">
        <f t="shared" si="12"/>
        <v>100</v>
      </c>
      <c r="X32" s="3038"/>
      <c r="Y32" s="3743"/>
      <c r="Z32" s="3106" t="str">
        <f t="shared" si="13"/>
        <v>毗邻道路的类型与等级</v>
      </c>
      <c r="AA32" s="3107">
        <f t="shared" si="3"/>
        <v>1</v>
      </c>
      <c r="AB32" s="3107">
        <f t="shared" si="4"/>
        <v>1</v>
      </c>
      <c r="AC32" s="3107">
        <f t="shared" si="5"/>
        <v>1</v>
      </c>
    </row>
    <row r="33" spans="1:29" ht="15.6" thickBot="1">
      <c r="A33" s="3077"/>
      <c r="B33" s="3118"/>
      <c r="C33" s="3109" t="s">
        <v>3342</v>
      </c>
      <c r="D33" s="3110"/>
      <c r="E33" s="3109" t="s">
        <v>3342</v>
      </c>
      <c r="F33" s="3110"/>
      <c r="G33" s="3109" t="s">
        <v>3342</v>
      </c>
      <c r="H33" s="3110"/>
      <c r="I33" s="3109" t="s">
        <v>3342</v>
      </c>
      <c r="J33" s="3110"/>
      <c r="K33" s="3132"/>
      <c r="L33" s="3093"/>
      <c r="M33" s="3037"/>
      <c r="N33" s="3037"/>
      <c r="O33" s="3082"/>
      <c r="P33" s="3743"/>
      <c r="Q33" s="3103"/>
      <c r="R33" s="3104"/>
      <c r="S33" s="3105"/>
      <c r="T33" s="3104"/>
      <c r="U33" s="3105"/>
      <c r="V33" s="3104"/>
      <c r="W33" s="3105"/>
      <c r="X33" s="3038"/>
      <c r="Y33" s="3743"/>
      <c r="Z33" s="3106"/>
      <c r="AA33" s="3107">
        <v>1</v>
      </c>
      <c r="AB33" s="3107">
        <v>1</v>
      </c>
      <c r="AC33" s="3107">
        <v>1</v>
      </c>
    </row>
    <row r="34" spans="1:29" ht="15.6" hidden="1" thickBot="1">
      <c r="A34" s="3077"/>
      <c r="B34" s="3067" t="s">
        <v>3225</v>
      </c>
      <c r="C34" s="3125"/>
      <c r="D34" s="3090">
        <v>100</v>
      </c>
      <c r="E34" s="3130"/>
      <c r="F34" s="3090">
        <f>SUMIF(108:108,E34,109:109)-SUMIF(108:108,C34,109:109)+100</f>
        <v>100</v>
      </c>
      <c r="G34" s="3130"/>
      <c r="H34" s="3090">
        <f>SUMIF(108:108,G34,109:109)-SUMIF(108:108,C34,109:109)+100</f>
        <v>100</v>
      </c>
      <c r="I34" s="3125"/>
      <c r="J34" s="3090">
        <f>SUMIF(108:108,I34,109:109)-SUMIF(108:108,C34,109:109)+100</f>
        <v>100</v>
      </c>
      <c r="K34" s="3133"/>
      <c r="L34" s="3093"/>
      <c r="M34" s="3037"/>
      <c r="N34" s="3037"/>
      <c r="O34" s="3082"/>
      <c r="P34" s="3743"/>
      <c r="Q34" s="3103" t="str">
        <f t="shared" si="8"/>
        <v>土地级别</v>
      </c>
      <c r="R34" s="3104" t="s">
        <v>3199</v>
      </c>
      <c r="S34" s="3105">
        <f t="shared" si="10"/>
        <v>100</v>
      </c>
      <c r="T34" s="3104" t="s">
        <v>3199</v>
      </c>
      <c r="U34" s="3105">
        <f t="shared" si="11"/>
        <v>100</v>
      </c>
      <c r="V34" s="3104" t="s">
        <v>3199</v>
      </c>
      <c r="W34" s="3105">
        <f t="shared" si="12"/>
        <v>100</v>
      </c>
      <c r="X34" s="3038"/>
      <c r="Y34" s="3743"/>
      <c r="Z34" s="3106" t="str">
        <f t="shared" si="13"/>
        <v>土地级别</v>
      </c>
      <c r="AA34" s="3107">
        <f t="shared" si="3"/>
        <v>1</v>
      </c>
      <c r="AB34" s="3107">
        <f t="shared" si="4"/>
        <v>1</v>
      </c>
      <c r="AC34" s="3107">
        <f t="shared" si="5"/>
        <v>1</v>
      </c>
    </row>
    <row r="35" spans="1:29" ht="15.6" hidden="1" thickBot="1">
      <c r="A35" s="3040"/>
      <c r="B35" s="3134">
        <v>111</v>
      </c>
      <c r="C35" s="3092"/>
      <c r="D35" s="3090">
        <v>100</v>
      </c>
      <c r="E35" s="3135"/>
      <c r="F35" s="3090">
        <f>SUMIF(110:110,E35,111:111)-SUMIF(110:110,C35,111:111)+100</f>
        <v>100</v>
      </c>
      <c r="G35" s="3135"/>
      <c r="H35" s="3090">
        <f>SUMIF(110:110,G35,111:111)-SUMIF(110:110,C35,111:111)+100</f>
        <v>100</v>
      </c>
      <c r="I35" s="3092"/>
      <c r="J35" s="3090">
        <f>SUMIF(110:110,I35,111:111)-SUMIF(110:110,C35,111:111)+100</f>
        <v>100</v>
      </c>
      <c r="K35" s="3132"/>
      <c r="L35" s="3093"/>
      <c r="M35" s="3037"/>
      <c r="N35" s="3037"/>
      <c r="O35" s="3082"/>
      <c r="P35" s="3743"/>
      <c r="Q35" s="3103">
        <f t="shared" si="8"/>
        <v>111</v>
      </c>
      <c r="R35" s="3104" t="s">
        <v>3199</v>
      </c>
      <c r="S35" s="3105">
        <f t="shared" si="10"/>
        <v>100</v>
      </c>
      <c r="T35" s="3104" t="s">
        <v>3199</v>
      </c>
      <c r="U35" s="3105">
        <f t="shared" si="11"/>
        <v>100</v>
      </c>
      <c r="V35" s="3104" t="s">
        <v>3199</v>
      </c>
      <c r="W35" s="3105">
        <f t="shared" si="12"/>
        <v>100</v>
      </c>
      <c r="X35" s="3038"/>
      <c r="Y35" s="3743"/>
      <c r="Z35" s="3106">
        <f t="shared" si="13"/>
        <v>111</v>
      </c>
      <c r="AA35" s="3107">
        <f t="shared" si="3"/>
        <v>1</v>
      </c>
      <c r="AB35" s="3107">
        <f t="shared" si="4"/>
        <v>1</v>
      </c>
      <c r="AC35" s="3107">
        <f t="shared" si="5"/>
        <v>1</v>
      </c>
    </row>
    <row r="36" spans="1:29" ht="15.6" hidden="1" thickBot="1">
      <c r="A36" s="3136"/>
      <c r="B36" s="3137">
        <v>111</v>
      </c>
      <c r="C36" s="3092"/>
      <c r="D36" s="3090">
        <v>100</v>
      </c>
      <c r="E36" s="3135"/>
      <c r="F36" s="3090">
        <f>SUMIF(112:112,E37,113:113)-SUMIF(112:112,C37,113:113)+100</f>
        <v>100</v>
      </c>
      <c r="G36" s="3135"/>
      <c r="H36" s="3090">
        <f>SUMIF(112:112,G36,113:113)-SUMIF(112:112,C36,113:113)+100</f>
        <v>100</v>
      </c>
      <c r="I36" s="3092"/>
      <c r="J36" s="3090">
        <f>SUMIF(112:112,I36,113:113)-SUMIF(112:112,C36,113:113)+100</f>
        <v>100</v>
      </c>
      <c r="K36" s="3132"/>
      <c r="L36" s="3093"/>
      <c r="M36" s="3037"/>
      <c r="N36" s="3037"/>
      <c r="O36" s="3082"/>
      <c r="P36" s="3747" t="s">
        <v>3226</v>
      </c>
      <c r="Q36" s="3103">
        <f t="shared" si="8"/>
        <v>111</v>
      </c>
      <c r="R36" s="3104" t="s">
        <v>3199</v>
      </c>
      <c r="S36" s="3105">
        <f t="shared" si="10"/>
        <v>100</v>
      </c>
      <c r="T36" s="3104" t="s">
        <v>3199</v>
      </c>
      <c r="U36" s="3105">
        <f t="shared" si="11"/>
        <v>100</v>
      </c>
      <c r="V36" s="3104" t="s">
        <v>3199</v>
      </c>
      <c r="W36" s="3105">
        <f t="shared" si="12"/>
        <v>100</v>
      </c>
      <c r="X36" s="3038"/>
      <c r="Y36" s="3748" t="s">
        <v>3226</v>
      </c>
      <c r="Z36" s="3106">
        <f t="shared" si="13"/>
        <v>111</v>
      </c>
      <c r="AA36" s="3107">
        <f t="shared" si="3"/>
        <v>1</v>
      </c>
      <c r="AB36" s="3107">
        <f t="shared" si="4"/>
        <v>1</v>
      </c>
      <c r="AC36" s="3107">
        <f t="shared" si="5"/>
        <v>1</v>
      </c>
    </row>
    <row r="37" spans="1:29" s="3149" customFormat="1" ht="15.6" hidden="1" thickBot="1">
      <c r="A37" s="3138"/>
      <c r="B37" s="3139">
        <v>111</v>
      </c>
      <c r="C37" s="3140"/>
      <c r="D37" s="3141">
        <v>100</v>
      </c>
      <c r="E37" s="3142"/>
      <c r="F37" s="3097">
        <f>SUMIF(114:114,E37,115:115)-SUMIF(114:114,C37,115:115)+100</f>
        <v>100</v>
      </c>
      <c r="G37" s="3142"/>
      <c r="H37" s="3097">
        <f>SUMIF(114:114,G37,115:115)-SUMIF(114:114,C37,115:115)+100</f>
        <v>100</v>
      </c>
      <c r="I37" s="3140"/>
      <c r="J37" s="3097">
        <f>SUMIF(114:114,I37,115:115)-SUMIF(114:114,C37,115:115)+100</f>
        <v>100</v>
      </c>
      <c r="K37" s="3132"/>
      <c r="L37" s="3081"/>
      <c r="M37" s="3143"/>
      <c r="N37" s="3143"/>
      <c r="O37" s="3144"/>
      <c r="P37" s="3748"/>
      <c r="Q37" s="3103">
        <f t="shared" si="8"/>
        <v>111</v>
      </c>
      <c r="R37" s="3145" t="s">
        <v>3199</v>
      </c>
      <c r="S37" s="3146">
        <f t="shared" si="10"/>
        <v>100</v>
      </c>
      <c r="T37" s="3145" t="s">
        <v>3199</v>
      </c>
      <c r="U37" s="3146">
        <f t="shared" si="11"/>
        <v>100</v>
      </c>
      <c r="V37" s="3145" t="s">
        <v>3199</v>
      </c>
      <c r="W37" s="3146">
        <f t="shared" si="12"/>
        <v>100</v>
      </c>
      <c r="X37" s="3147"/>
      <c r="Y37" s="3748"/>
      <c r="Z37" s="3148">
        <f t="shared" si="13"/>
        <v>111</v>
      </c>
      <c r="AA37" s="3107">
        <f t="shared" si="3"/>
        <v>1</v>
      </c>
      <c r="AB37" s="3107">
        <f t="shared" si="4"/>
        <v>1</v>
      </c>
      <c r="AC37" s="3107">
        <f t="shared" si="5"/>
        <v>1</v>
      </c>
    </row>
    <row r="38" spans="1:29" ht="15.6">
      <c r="A38" s="3150" t="s">
        <v>3227</v>
      </c>
      <c r="B38" s="3118" t="s">
        <v>3228</v>
      </c>
      <c r="C38" s="3151">
        <f>'数据-基础表'!A3</f>
        <v>12224.889999999998</v>
      </c>
      <c r="D38" s="3152">
        <v>100</v>
      </c>
      <c r="E38" s="3151">
        <f>土地案例!J2</f>
        <v>18102.36</v>
      </c>
      <c r="F38" s="3152">
        <f>LOOKUP(E38,117:117,118:118)-LOOKUP(C38,117:117,118:118)+100</f>
        <v>100</v>
      </c>
      <c r="G38" s="3151">
        <f>土地案例!J3</f>
        <v>5998</v>
      </c>
      <c r="H38" s="3152">
        <f>LOOKUP(G38,117:117,118:118)-LOOKUP(C38,117:117,118:118)+100</f>
        <v>99.5</v>
      </c>
      <c r="I38" s="3151">
        <f>土地案例!J4</f>
        <v>6505.68</v>
      </c>
      <c r="J38" s="3152">
        <f>LOOKUP(I38,117:117,118:118)-LOOKUP(C38,117:117,118:118)+100</f>
        <v>99.5</v>
      </c>
      <c r="K38" s="3132"/>
      <c r="L38" s="3093"/>
      <c r="M38" s="3037"/>
      <c r="N38" s="3037"/>
      <c r="O38" s="3082"/>
      <c r="P38" s="3748"/>
      <c r="Q38" s="3103" t="str">
        <f>B38</f>
        <v>宗地面积</v>
      </c>
      <c r="R38" s="3104" t="s">
        <v>3199</v>
      </c>
      <c r="S38" s="3105">
        <f t="shared" si="10"/>
        <v>100</v>
      </c>
      <c r="T38" s="3104" t="s">
        <v>3199</v>
      </c>
      <c r="U38" s="3105">
        <f t="shared" si="11"/>
        <v>99.5</v>
      </c>
      <c r="V38" s="3104" t="s">
        <v>3199</v>
      </c>
      <c r="W38" s="3105">
        <f t="shared" si="12"/>
        <v>99.5</v>
      </c>
      <c r="X38" s="3038"/>
      <c r="Y38" s="3748"/>
      <c r="Z38" s="3106" t="str">
        <f t="shared" si="13"/>
        <v>宗地面积</v>
      </c>
      <c r="AA38" s="3107">
        <f t="shared" si="3"/>
        <v>1</v>
      </c>
      <c r="AB38" s="3107">
        <f t="shared" si="4"/>
        <v>1.0050251256281406</v>
      </c>
      <c r="AC38" s="3107">
        <f t="shared" si="5"/>
        <v>1.0050251256281406</v>
      </c>
    </row>
    <row r="39" spans="1:29" ht="15">
      <c r="A39" s="3150"/>
      <c r="B39" s="3067" t="s">
        <v>3229</v>
      </c>
      <c r="C39" s="3357" t="s">
        <v>3230</v>
      </c>
      <c r="D39" s="3090">
        <v>100</v>
      </c>
      <c r="E39" s="3153" t="s">
        <v>3230</v>
      </c>
      <c r="F39" s="3090">
        <f>SUMIF(119:119,E39,120:120)-SUMIF(119:119,C39,120:120)+100</f>
        <v>100</v>
      </c>
      <c r="G39" s="3153" t="s">
        <v>3230</v>
      </c>
      <c r="H39" s="3090">
        <f>SUMIF(119:119,G39,120:120)-SUMIF(119:119,C39,120:120)+100</f>
        <v>100</v>
      </c>
      <c r="I39" s="3153" t="s">
        <v>3230</v>
      </c>
      <c r="J39" s="3090">
        <f>SUMIF(119:119,I39,120:120)-SUMIF(119:119,C39,120:120)+100</f>
        <v>100</v>
      </c>
      <c r="K39" s="3133">
        <v>2</v>
      </c>
      <c r="L39" s="3093"/>
      <c r="M39" s="3037"/>
      <c r="N39" s="3037"/>
      <c r="O39" s="3082"/>
      <c r="P39" s="3748"/>
      <c r="Q39" s="3103" t="str">
        <f t="shared" ref="Q39:Q45" si="14">B39</f>
        <v>宗地形状</v>
      </c>
      <c r="R39" s="3104" t="s">
        <v>3199</v>
      </c>
      <c r="S39" s="3105">
        <f t="shared" si="10"/>
        <v>100</v>
      </c>
      <c r="T39" s="3104" t="s">
        <v>3199</v>
      </c>
      <c r="U39" s="3105">
        <f t="shared" si="11"/>
        <v>100</v>
      </c>
      <c r="V39" s="3104" t="s">
        <v>3199</v>
      </c>
      <c r="W39" s="3105">
        <f t="shared" si="12"/>
        <v>100</v>
      </c>
      <c r="X39" s="3038"/>
      <c r="Y39" s="3748"/>
      <c r="Z39" s="3106" t="str">
        <f t="shared" si="13"/>
        <v>宗地形状</v>
      </c>
      <c r="AA39" s="3107">
        <f t="shared" si="3"/>
        <v>1</v>
      </c>
      <c r="AB39" s="3107">
        <f t="shared" si="4"/>
        <v>1</v>
      </c>
      <c r="AC39" s="3107">
        <f t="shared" si="5"/>
        <v>1</v>
      </c>
    </row>
    <row r="40" spans="1:29" ht="15">
      <c r="A40" s="3150"/>
      <c r="B40" s="3067" t="s">
        <v>3231</v>
      </c>
      <c r="C40" s="3357" t="s">
        <v>3232</v>
      </c>
      <c r="D40" s="3090">
        <v>100</v>
      </c>
      <c r="E40" s="3153" t="s">
        <v>3232</v>
      </c>
      <c r="F40" s="3090">
        <f>SUMIF(121:121,E40,122:122)-SUMIF(121:121,C40,122:122)+100</f>
        <v>100</v>
      </c>
      <c r="G40" s="3153" t="s">
        <v>3232</v>
      </c>
      <c r="H40" s="3090">
        <f>SUMIF(121:121,G40,122:122)-SUMIF(121:121,C40,122:122)+100</f>
        <v>100</v>
      </c>
      <c r="I40" s="3153" t="s">
        <v>3232</v>
      </c>
      <c r="J40" s="3090">
        <f>SUMIF(121:121,I40,122:122)-SUMIF(121:121,C40,122:122)+100</f>
        <v>100</v>
      </c>
      <c r="K40" s="3133">
        <v>1</v>
      </c>
      <c r="L40" s="3093"/>
      <c r="M40" s="3037"/>
      <c r="N40" s="3037"/>
      <c r="O40" s="3082"/>
      <c r="P40" s="3748"/>
      <c r="Q40" s="3103" t="str">
        <f t="shared" si="14"/>
        <v>临街宽度及深度</v>
      </c>
      <c r="R40" s="3104" t="s">
        <v>3199</v>
      </c>
      <c r="S40" s="3105">
        <f t="shared" si="10"/>
        <v>100</v>
      </c>
      <c r="T40" s="3104" t="s">
        <v>3199</v>
      </c>
      <c r="U40" s="3105">
        <f t="shared" si="11"/>
        <v>100</v>
      </c>
      <c r="V40" s="3104" t="s">
        <v>3199</v>
      </c>
      <c r="W40" s="3105">
        <f t="shared" si="12"/>
        <v>100</v>
      </c>
      <c r="X40" s="3038"/>
      <c r="Y40" s="3748"/>
      <c r="Z40" s="3106" t="str">
        <f t="shared" si="13"/>
        <v>临街宽度及深度</v>
      </c>
      <c r="AA40" s="3107">
        <f t="shared" si="3"/>
        <v>1</v>
      </c>
      <c r="AB40" s="3107">
        <f t="shared" si="4"/>
        <v>1</v>
      </c>
      <c r="AC40" s="3107">
        <f t="shared" si="5"/>
        <v>1</v>
      </c>
    </row>
    <row r="41" spans="1:29" s="3057" customFormat="1" ht="15">
      <c r="A41" s="3154"/>
      <c r="B41" s="3067" t="s">
        <v>3233</v>
      </c>
      <c r="C41" s="3358" t="s">
        <v>3180</v>
      </c>
      <c r="D41" s="3069">
        <v>100</v>
      </c>
      <c r="E41" s="3155" t="s">
        <v>3180</v>
      </c>
      <c r="F41" s="3090">
        <f>SUMIF(123:123,E41,124:124)-SUMIF(123:123,C41,124:124)+100</f>
        <v>100</v>
      </c>
      <c r="G41" s="3155" t="s">
        <v>3180</v>
      </c>
      <c r="H41" s="3090">
        <f>SUMIF(123:123,G41,124:124)-SUMIF(123:123,C41,124:124)+100</f>
        <v>100</v>
      </c>
      <c r="I41" s="3155" t="s">
        <v>3180</v>
      </c>
      <c r="J41" s="3090">
        <f>SUMIF(123:123,I41,124:124)-SUMIF(123:123,C41,124:124)+100</f>
        <v>100</v>
      </c>
      <c r="K41" s="3133">
        <v>2</v>
      </c>
      <c r="L41" s="3051"/>
      <c r="M41" s="3052"/>
      <c r="N41" s="3052"/>
      <c r="O41" s="3063"/>
      <c r="P41" s="3748"/>
      <c r="Q41" s="3103" t="str">
        <f t="shared" si="14"/>
        <v>宗地开发程度</v>
      </c>
      <c r="R41" s="3053" t="s">
        <v>3199</v>
      </c>
      <c r="S41" s="3054">
        <f t="shared" si="10"/>
        <v>100</v>
      </c>
      <c r="T41" s="3053" t="s">
        <v>3199</v>
      </c>
      <c r="U41" s="3054">
        <f t="shared" si="11"/>
        <v>100</v>
      </c>
      <c r="V41" s="3053" t="s">
        <v>3199</v>
      </c>
      <c r="W41" s="3054">
        <f t="shared" si="12"/>
        <v>100</v>
      </c>
      <c r="X41" s="3055"/>
      <c r="Y41" s="3748"/>
      <c r="Z41" s="3065" t="str">
        <f t="shared" si="13"/>
        <v>宗地开发程度</v>
      </c>
      <c r="AA41" s="3056">
        <f t="shared" si="3"/>
        <v>1</v>
      </c>
      <c r="AB41" s="3056">
        <f t="shared" si="4"/>
        <v>1</v>
      </c>
      <c r="AC41" s="3056">
        <f t="shared" si="5"/>
        <v>1</v>
      </c>
    </row>
    <row r="42" spans="1:29" ht="15">
      <c r="A42" s="3150"/>
      <c r="B42" s="3067" t="s">
        <v>3234</v>
      </c>
      <c r="C42" s="3357" t="s">
        <v>3048</v>
      </c>
      <c r="D42" s="3090">
        <v>100</v>
      </c>
      <c r="E42" s="3153" t="s">
        <v>3048</v>
      </c>
      <c r="F42" s="3090">
        <f>SUMIF(125:125,E42,126:126)-SUMIF(125:125,C42,126:126)+100</f>
        <v>100</v>
      </c>
      <c r="G42" s="3153" t="s">
        <v>3048</v>
      </c>
      <c r="H42" s="3090">
        <f>SUMIF(125:125,G42,126:126)-SUMIF(125:125,C42,126:126)+100</f>
        <v>100</v>
      </c>
      <c r="I42" s="3153" t="s">
        <v>3048</v>
      </c>
      <c r="J42" s="3090">
        <f>SUMIF(125:125,I42,126:126)-SUMIF(125:125,C42,126:126)+100</f>
        <v>100</v>
      </c>
      <c r="K42" s="3133">
        <v>2</v>
      </c>
      <c r="L42" s="3093"/>
      <c r="M42" s="3037"/>
      <c r="N42" s="3037"/>
      <c r="O42" s="3082"/>
      <c r="P42" s="3748" t="s">
        <v>3226</v>
      </c>
      <c r="Q42" s="3103" t="str">
        <f t="shared" si="14"/>
        <v>工程地质条件</v>
      </c>
      <c r="R42" s="3104" t="s">
        <v>3199</v>
      </c>
      <c r="S42" s="3105">
        <f t="shared" si="10"/>
        <v>100</v>
      </c>
      <c r="T42" s="3104" t="s">
        <v>3199</v>
      </c>
      <c r="U42" s="3105">
        <f t="shared" si="11"/>
        <v>100</v>
      </c>
      <c r="V42" s="3104" t="s">
        <v>3199</v>
      </c>
      <c r="W42" s="3105">
        <f t="shared" si="12"/>
        <v>100</v>
      </c>
      <c r="X42" s="3038"/>
      <c r="Y42" s="3748" t="s">
        <v>3226</v>
      </c>
      <c r="Z42" s="3106" t="str">
        <f t="shared" si="13"/>
        <v>工程地质条件</v>
      </c>
      <c r="AA42" s="3107">
        <f t="shared" si="3"/>
        <v>1</v>
      </c>
      <c r="AB42" s="3107">
        <f t="shared" si="4"/>
        <v>1</v>
      </c>
      <c r="AC42" s="3107">
        <f t="shared" si="5"/>
        <v>1</v>
      </c>
    </row>
    <row r="43" spans="1:29" ht="15">
      <c r="A43" s="3150"/>
      <c r="B43" s="3137">
        <v>111</v>
      </c>
      <c r="C43" s="3092"/>
      <c r="D43" s="3090">
        <v>100</v>
      </c>
      <c r="E43" s="3092"/>
      <c r="F43" s="3090">
        <f>SUMIF(127:127,E43,128:128)-SUMIF(127:127,C43,128:128)+100</f>
        <v>100</v>
      </c>
      <c r="G43" s="3092"/>
      <c r="H43" s="3090">
        <f>SUMIF(127:127,G43,128:128)-SUMIF(127:127,C43,128:128)+100</f>
        <v>100</v>
      </c>
      <c r="I43" s="3091"/>
      <c r="J43" s="3090">
        <f>SUMIF(127:127,I43,128:128)-SUMIF(127:127,C43,128:128)+100</f>
        <v>100</v>
      </c>
      <c r="K43" s="3132"/>
      <c r="L43" s="3093"/>
      <c r="M43" s="3037"/>
      <c r="N43" s="3037"/>
      <c r="O43" s="3082"/>
      <c r="P43" s="3748"/>
      <c r="Q43" s="3103">
        <f t="shared" si="14"/>
        <v>111</v>
      </c>
      <c r="R43" s="3104" t="s">
        <v>3199</v>
      </c>
      <c r="S43" s="3105">
        <f t="shared" si="10"/>
        <v>100</v>
      </c>
      <c r="T43" s="3104" t="s">
        <v>3199</v>
      </c>
      <c r="U43" s="3105">
        <f t="shared" si="11"/>
        <v>100</v>
      </c>
      <c r="V43" s="3104" t="s">
        <v>3199</v>
      </c>
      <c r="W43" s="3105">
        <f t="shared" si="12"/>
        <v>100</v>
      </c>
      <c r="X43" s="3038"/>
      <c r="Y43" s="3748"/>
      <c r="Z43" s="3106">
        <f t="shared" si="13"/>
        <v>111</v>
      </c>
      <c r="AA43" s="3107">
        <f t="shared" si="3"/>
        <v>1</v>
      </c>
      <c r="AB43" s="3107">
        <f t="shared" si="4"/>
        <v>1</v>
      </c>
      <c r="AC43" s="3107">
        <f t="shared" si="5"/>
        <v>1</v>
      </c>
    </row>
    <row r="44" spans="1:29" ht="15">
      <c r="A44" s="3150"/>
      <c r="B44" s="3137">
        <v>111</v>
      </c>
      <c r="C44" s="3092"/>
      <c r="D44" s="3090">
        <v>100</v>
      </c>
      <c r="E44" s="3092"/>
      <c r="F44" s="3090">
        <f>SUMIF(129:129,E44,130:130)-SUMIF(129:129,C44,130:130)+100</f>
        <v>100</v>
      </c>
      <c r="G44" s="3092"/>
      <c r="H44" s="3090">
        <f>SUMIF(129:129,G44,130:130)-SUMIF(129:129,C44,130:130)+100</f>
        <v>100</v>
      </c>
      <c r="I44" s="3091"/>
      <c r="J44" s="3090">
        <f>SUMIF(129:129,I44,130:130)-SUMIF(129:129,C44,130:130)+100</f>
        <v>100</v>
      </c>
      <c r="K44" s="3132"/>
      <c r="L44" s="3093"/>
      <c r="M44" s="3037"/>
      <c r="N44" s="3037"/>
      <c r="O44" s="3082"/>
      <c r="P44" s="3748"/>
      <c r="Q44" s="3103">
        <f t="shared" si="14"/>
        <v>111</v>
      </c>
      <c r="R44" s="3104" t="s">
        <v>3199</v>
      </c>
      <c r="S44" s="3105">
        <f t="shared" si="10"/>
        <v>100</v>
      </c>
      <c r="T44" s="3104" t="s">
        <v>3199</v>
      </c>
      <c r="U44" s="3105">
        <f t="shared" si="11"/>
        <v>100</v>
      </c>
      <c r="V44" s="3104" t="s">
        <v>3199</v>
      </c>
      <c r="W44" s="3105">
        <f t="shared" si="12"/>
        <v>100</v>
      </c>
      <c r="X44" s="3038"/>
      <c r="Y44" s="3748"/>
      <c r="Z44" s="3106">
        <f t="shared" si="13"/>
        <v>111</v>
      </c>
      <c r="AA44" s="3107">
        <f t="shared" si="3"/>
        <v>1</v>
      </c>
      <c r="AB44" s="3107">
        <f t="shared" si="4"/>
        <v>1</v>
      </c>
      <c r="AC44" s="3107">
        <f t="shared" si="5"/>
        <v>1</v>
      </c>
    </row>
    <row r="45" spans="1:29" s="3149" customFormat="1" ht="15.6" thickBot="1">
      <c r="A45" s="3156"/>
      <c r="B45" s="3137">
        <v>111</v>
      </c>
      <c r="C45" s="3157"/>
      <c r="D45" s="3158">
        <v>100</v>
      </c>
      <c r="E45" s="3092"/>
      <c r="F45" s="3097">
        <f>SUMIF(131:131,E45,132:132)-SUMIF(131:131,C45,132:132)+100</f>
        <v>100</v>
      </c>
      <c r="G45" s="3092"/>
      <c r="H45" s="3097">
        <f>SUMIF(131:131,G45,132:132)-SUMIF(131:131,C45,132:132)+100</f>
        <v>100</v>
      </c>
      <c r="I45" s="3092"/>
      <c r="J45" s="3097">
        <f>SUMIF(131:131,I45,132:132)-SUMIF(131:131,C45,132:132)+100</f>
        <v>100</v>
      </c>
      <c r="K45" s="3159"/>
      <c r="L45" s="3081"/>
      <c r="M45" s="3143"/>
      <c r="N45" s="3143"/>
      <c r="O45" s="3144"/>
      <c r="P45" s="3748"/>
      <c r="Q45" s="3103">
        <f t="shared" si="14"/>
        <v>111</v>
      </c>
      <c r="R45" s="3145" t="s">
        <v>3199</v>
      </c>
      <c r="S45" s="3146">
        <f t="shared" si="10"/>
        <v>100</v>
      </c>
      <c r="T45" s="3145" t="s">
        <v>3199</v>
      </c>
      <c r="U45" s="3146">
        <f t="shared" si="11"/>
        <v>100</v>
      </c>
      <c r="V45" s="3145" t="s">
        <v>3199</v>
      </c>
      <c r="W45" s="3146">
        <f t="shared" si="12"/>
        <v>100</v>
      </c>
      <c r="X45" s="3147"/>
      <c r="Y45" s="3748"/>
      <c r="Z45" s="3148">
        <f t="shared" si="13"/>
        <v>111</v>
      </c>
      <c r="AA45" s="3107">
        <f t="shared" si="3"/>
        <v>1</v>
      </c>
      <c r="AB45" s="3107">
        <f t="shared" si="4"/>
        <v>1</v>
      </c>
      <c r="AC45" s="3107">
        <f t="shared" si="5"/>
        <v>1</v>
      </c>
    </row>
    <row r="46" spans="1:29" ht="14.4">
      <c r="A46" s="3160" t="s">
        <v>3235</v>
      </c>
      <c r="B46" s="3161" t="s">
        <v>2734</v>
      </c>
      <c r="C46" s="3359" t="s">
        <v>3236</v>
      </c>
      <c r="D46" s="3162"/>
      <c r="E46" s="3163">
        <f>土地案例!AK2</f>
        <v>12602</v>
      </c>
      <c r="F46" s="3164"/>
      <c r="G46" s="3165">
        <f>土地案例!AK3</f>
        <v>12300</v>
      </c>
      <c r="H46" s="3166"/>
      <c r="I46" s="3163">
        <f>土地案例!AK4</f>
        <v>10600</v>
      </c>
      <c r="J46" s="3166"/>
      <c r="K46" s="3167"/>
      <c r="L46" s="3168"/>
      <c r="M46" s="3169"/>
      <c r="N46" s="3037"/>
      <c r="O46" s="3169"/>
      <c r="P46" s="3739" t="str">
        <f>A46</f>
        <v>成交单价</v>
      </c>
      <c r="Q46" s="3739"/>
      <c r="R46" s="3749">
        <f>E46</f>
        <v>12602</v>
      </c>
      <c r="S46" s="3749"/>
      <c r="T46" s="3749">
        <f>G46</f>
        <v>12300</v>
      </c>
      <c r="U46" s="3749"/>
      <c r="V46" s="3749">
        <f>I46</f>
        <v>10600</v>
      </c>
      <c r="W46" s="3749"/>
      <c r="X46" s="3170"/>
      <c r="Y46" s="3171"/>
      <c r="Z46" s="3170"/>
      <c r="AA46" s="3170"/>
      <c r="AB46" s="3170"/>
      <c r="AC46" s="3170"/>
    </row>
    <row r="47" spans="1:29" ht="15" thickBot="1">
      <c r="A47" s="3172" t="s">
        <v>3237</v>
      </c>
      <c r="B47" s="3173"/>
      <c r="C47" s="3360">
        <f>R48</f>
        <v>13736</v>
      </c>
      <c r="D47" s="3175"/>
      <c r="E47" s="3174">
        <f>R47</f>
        <v>13788</v>
      </c>
      <c r="F47" s="3176"/>
      <c r="G47" s="3177">
        <f>T47</f>
        <v>14659</v>
      </c>
      <c r="H47" s="3175"/>
      <c r="I47" s="3174">
        <f>V47</f>
        <v>12760</v>
      </c>
      <c r="J47" s="3175"/>
      <c r="K47" s="3178"/>
      <c r="L47" s="3168"/>
      <c r="M47" s="3169"/>
      <c r="N47" s="3169"/>
      <c r="O47" s="3169"/>
      <c r="P47" s="3739" t="str">
        <f>A47</f>
        <v>比较价值（元/平方米）</v>
      </c>
      <c r="Q47" s="3739"/>
      <c r="R47" s="3741">
        <f>ROUND(PRODUCT(R46,AA7:AA45),0)</f>
        <v>13788</v>
      </c>
      <c r="S47" s="3741"/>
      <c r="T47" s="3741">
        <f>ROUND(PRODUCT(T46,AB7:AB45),0)</f>
        <v>14659</v>
      </c>
      <c r="U47" s="3741"/>
      <c r="V47" s="3741">
        <f>ROUND(PRODUCT(V46,AC7:AC45),0)</f>
        <v>12760</v>
      </c>
      <c r="W47" s="3741"/>
      <c r="X47" s="3170"/>
      <c r="Y47" s="3170"/>
      <c r="Z47" s="3170"/>
      <c r="AA47" s="3170"/>
      <c r="AB47" s="3170"/>
      <c r="AC47" s="3170"/>
    </row>
    <row r="48" spans="1:29" ht="15" thickBot="1">
      <c r="A48" s="3179" t="s">
        <v>3238</v>
      </c>
      <c r="B48" s="3180"/>
      <c r="C48" s="3361">
        <f>R48</f>
        <v>13736</v>
      </c>
      <c r="D48" s="3181"/>
      <c r="E48" s="3181"/>
      <c r="F48" s="3181"/>
      <c r="G48" s="3181"/>
      <c r="H48" s="3181"/>
      <c r="I48" s="3181"/>
      <c r="J48" s="3181"/>
      <c r="K48" s="3182"/>
      <c r="L48" s="3168"/>
      <c r="M48" s="3169"/>
      <c r="N48" s="3169"/>
      <c r="O48" s="3169"/>
      <c r="P48" s="3744" t="str">
        <f>A48</f>
        <v>估价对象XX用房的比较价值（楼面单价，元/平方米）</v>
      </c>
      <c r="Q48" s="3745"/>
      <c r="R48" s="3746">
        <f>ROUND(AVERAGE(R47:V47),0)</f>
        <v>13736</v>
      </c>
      <c r="S48" s="3746"/>
      <c r="T48" s="3746"/>
      <c r="U48" s="3746"/>
      <c r="V48" s="3746"/>
      <c r="W48" s="3746"/>
      <c r="X48" s="3170"/>
      <c r="Y48" s="3170"/>
      <c r="Z48" s="3170"/>
      <c r="AA48" s="3170"/>
      <c r="AB48" s="3170"/>
      <c r="AC48" s="3170"/>
    </row>
    <row r="49" spans="1:15">
      <c r="A49" s="3169"/>
      <c r="B49" s="3169"/>
      <c r="C49" s="3362"/>
      <c r="D49" s="3169"/>
      <c r="E49" s="3169"/>
      <c r="F49" s="3169"/>
      <c r="G49" s="3183"/>
      <c r="H49" s="3169"/>
      <c r="I49" s="3169"/>
      <c r="J49" s="3169"/>
      <c r="K49" s="3184"/>
      <c r="L49" s="3185"/>
      <c r="M49" s="3169"/>
      <c r="N49" s="3169"/>
      <c r="O49" s="3169"/>
    </row>
    <row r="50" spans="1:15">
      <c r="A50" s="3169"/>
      <c r="B50" s="3169"/>
      <c r="C50" s="3362"/>
      <c r="D50" s="3169"/>
      <c r="E50" s="3169"/>
      <c r="F50" s="3169"/>
      <c r="G50" s="3169"/>
      <c r="H50" s="3169"/>
      <c r="I50" s="3169"/>
      <c r="J50" s="3169"/>
      <c r="K50" s="3184"/>
      <c r="L50" s="3185"/>
      <c r="M50" s="3169"/>
      <c r="N50" s="3169"/>
      <c r="O50" s="3169"/>
    </row>
    <row r="51" spans="1:15" ht="13.5" customHeight="1">
      <c r="A51" s="3169"/>
      <c r="B51" s="3169"/>
      <c r="C51" s="3363" t="s">
        <v>3239</v>
      </c>
      <c r="D51" s="3186"/>
      <c r="E51" s="3187">
        <f>IF(E46&lt;E47,E47/E46-1,E46/E47-1)</f>
        <v>9.4112045707030578E-2</v>
      </c>
      <c r="F51" s="3188" t="str">
        <f>IF(OR(E51&gt;=0.3,E51&lt;=-0.3),"超过30%","")</f>
        <v/>
      </c>
      <c r="G51" s="3187">
        <f>IF(G46&lt;G47,G47/G46-1,G46/G47-1)</f>
        <v>0.19178861788617896</v>
      </c>
      <c r="H51" s="3188" t="str">
        <f>IF(OR(G51&gt;=0.3,G51&lt;=-0.3),"超过30%","")</f>
        <v/>
      </c>
      <c r="I51" s="3187">
        <f>IF(I46&lt;I47,I47/I46-1,I46/I47-1)</f>
        <v>0.20377358490566033</v>
      </c>
      <c r="J51" s="3188" t="str">
        <f>IF(OR(I51&gt;=0.3,I51&lt;=-0.3),"超过30%","")</f>
        <v/>
      </c>
      <c r="K51" s="3184"/>
      <c r="L51" s="3185"/>
      <c r="M51" s="3169"/>
      <c r="N51" s="3169"/>
      <c r="O51" s="3169"/>
    </row>
    <row r="52" spans="1:15" ht="13.5" customHeight="1">
      <c r="A52" s="3169"/>
      <c r="B52" s="3169"/>
      <c r="C52" s="3363" t="s">
        <v>3240</v>
      </c>
      <c r="D52" s="3189"/>
      <c r="E52" s="3187">
        <f>IF(E47&lt;G47,G47/E47-1,E47/G47-1)</f>
        <v>6.317087322309245E-2</v>
      </c>
      <c r="F52" s="3188" t="str">
        <f>IF(OR(E52&gt;=0.2,E52&lt;=-0.2),"超过20%","")</f>
        <v/>
      </c>
      <c r="G52" s="3187">
        <f>IF(G47&lt;I47,I47/G47-1,G47/I47-1)</f>
        <v>0.14882445141065825</v>
      </c>
      <c r="H52" s="3188" t="str">
        <f>IF(OR(G52&gt;=0.2,G52&lt;=-0.2),"超过20%","")</f>
        <v/>
      </c>
      <c r="I52" s="3187">
        <f>IF(I47&lt;E47,E47/I47-1,I47/E47-1)</f>
        <v>8.0564263322884022E-2</v>
      </c>
      <c r="J52" s="3188" t="str">
        <f>IF(OR(I52&gt;=0.2,I52&lt;=-0.2),"超过20%","")</f>
        <v/>
      </c>
      <c r="K52" s="3184"/>
      <c r="L52" s="3185"/>
      <c r="M52" s="3169"/>
      <c r="N52" s="3169"/>
      <c r="O52" s="3169"/>
    </row>
    <row r="53" spans="1:15" s="3193" customFormat="1" ht="13.5" customHeight="1">
      <c r="A53" s="3190"/>
      <c r="B53" s="3190"/>
      <c r="C53" s="3363" t="s">
        <v>3241</v>
      </c>
      <c r="D53" s="3189"/>
      <c r="E53" s="3187">
        <f>IF(E46&lt;G46,G46/E46-1,E46/G46-1)</f>
        <v>2.455284552845538E-2</v>
      </c>
      <c r="F53" s="3188" t="str">
        <f>IF(OR(E53&gt;=0.3,E53&lt;=-0.3),"超过30%","")</f>
        <v/>
      </c>
      <c r="G53" s="3187">
        <f>IF(G46&lt;I46,I46/G46-1,G46/I46-1)</f>
        <v>0.16037735849056611</v>
      </c>
      <c r="H53" s="3188" t="str">
        <f>IF(OR(G53&gt;=0.3,G53&lt;=-0.3),"超过30%","")</f>
        <v/>
      </c>
      <c r="I53" s="3187">
        <f>IF(I46&lt;E46,E46/I46-1,I46/E46-1)</f>
        <v>0.18886792452830181</v>
      </c>
      <c r="J53" s="3188" t="str">
        <f>IF(OR(I53&gt;=0.3,I53&lt;=-0.3),"超过30%","")</f>
        <v/>
      </c>
      <c r="K53" s="3191"/>
      <c r="L53" s="3192"/>
      <c r="M53" s="3190"/>
      <c r="N53" s="3190"/>
      <c r="O53" s="3190"/>
    </row>
    <row r="54" spans="1:15" s="3193" customFormat="1" ht="14.4" thickBot="1">
      <c r="A54" s="3190"/>
      <c r="B54" s="3194"/>
      <c r="C54" s="3364"/>
      <c r="D54" s="3195"/>
      <c r="E54" s="3195"/>
      <c r="F54" s="3195"/>
      <c r="G54" s="3195"/>
      <c r="H54" s="3195"/>
      <c r="I54" s="3195"/>
      <c r="J54" s="3195"/>
      <c r="K54" s="3191"/>
      <c r="L54" s="3192"/>
      <c r="M54" s="3190"/>
      <c r="N54" s="3190"/>
      <c r="O54" s="3190"/>
    </row>
    <row r="55" spans="1:15" ht="27" customHeight="1">
      <c r="A55" s="3196" t="s">
        <v>3242</v>
      </c>
      <c r="B55" s="3197" t="s">
        <v>3243</v>
      </c>
      <c r="C55" s="3365" t="s">
        <v>2737</v>
      </c>
      <c r="D55" s="3198" t="s">
        <v>3244</v>
      </c>
      <c r="E55" s="3199" t="s">
        <v>3245</v>
      </c>
      <c r="F55" s="3200" t="s">
        <v>3246</v>
      </c>
      <c r="G55" s="3736" t="s">
        <v>3247</v>
      </c>
      <c r="H55" s="3737"/>
      <c r="I55" s="3201" t="s">
        <v>3248</v>
      </c>
      <c r="J55" s="3202">
        <f>[1]项目基本情况!F35</f>
        <v>0</v>
      </c>
      <c r="K55" s="3203" t="s">
        <v>3249</v>
      </c>
      <c r="L55" s="3185"/>
      <c r="M55" s="3169"/>
      <c r="N55" s="3169"/>
      <c r="O55" s="3169"/>
    </row>
    <row r="56" spans="1:15" s="3210" customFormat="1">
      <c r="A56" s="3204" t="s">
        <v>3250</v>
      </c>
      <c r="B56" s="687">
        <f>C48</f>
        <v>13736</v>
      </c>
      <c r="C56" s="3366">
        <v>1</v>
      </c>
      <c r="D56" s="3206">
        <v>1</v>
      </c>
      <c r="E56" s="3205">
        <f>'[1]数据-汇总表'!E8+'[1]数据-汇总表'!E9</f>
        <v>25780.95</v>
      </c>
      <c r="F56" s="1092">
        <f t="shared" ref="F56:F65" si="15">ROUND(B56*E56/10000,0)</f>
        <v>35413</v>
      </c>
      <c r="G56" s="3738"/>
      <c r="H56" s="3739"/>
      <c r="I56" s="3207">
        <v>1</v>
      </c>
      <c r="J56" s="3208">
        <v>1</v>
      </c>
      <c r="K56" s="3190"/>
      <c r="L56" s="3209"/>
      <c r="M56" s="3209"/>
      <c r="N56" s="3209"/>
      <c r="O56" s="3209"/>
    </row>
    <row r="57" spans="1:15" s="3210" customFormat="1">
      <c r="A57" s="691" t="s">
        <v>3251</v>
      </c>
      <c r="B57" s="262" t="e">
        <f>ROUND($C$48*C57*D57,0)</f>
        <v>#VALUE!</v>
      </c>
      <c r="C57" s="3367" t="e">
        <f t="shared" ref="C57:C65" si="16">IF($C$55="北京市系数",I57,J57)</f>
        <v>#VALUE!</v>
      </c>
      <c r="D57" s="3211">
        <v>0.25</v>
      </c>
      <c r="E57" s="692"/>
      <c r="F57" s="1092" t="e">
        <f t="shared" si="15"/>
        <v>#VALUE!</v>
      </c>
      <c r="G57" s="3740" t="s">
        <v>3252</v>
      </c>
      <c r="H57" s="3212" t="str">
        <f>[1]项目基本情况!B37</f>
        <v>六级</v>
      </c>
      <c r="I57" s="3207" t="e">
        <f>SUMIF([1]修正!A45:A56,H57,[1]修正!B45:B56)</f>
        <v>#VALUE!</v>
      </c>
      <c r="J57" s="3213"/>
      <c r="K57" s="3169"/>
      <c r="L57" s="3209"/>
      <c r="M57" s="3209"/>
      <c r="N57" s="3209"/>
      <c r="O57" s="3209"/>
    </row>
    <row r="58" spans="1:15" s="3210" customFormat="1">
      <c r="A58" s="691" t="s">
        <v>3253</v>
      </c>
      <c r="B58" s="262" t="e">
        <f t="shared" ref="B58:B65" si="17">ROUND($C$48*C58*D58,0)</f>
        <v>#VALUE!</v>
      </c>
      <c r="C58" s="3367" t="e">
        <f t="shared" si="16"/>
        <v>#VALUE!</v>
      </c>
      <c r="D58" s="3211">
        <v>0.25</v>
      </c>
      <c r="E58" s="692"/>
      <c r="F58" s="1092" t="e">
        <f t="shared" si="15"/>
        <v>#VALUE!</v>
      </c>
      <c r="G58" s="3740"/>
      <c r="H58" s="3212" t="str">
        <f>[1]项目基本情况!B37</f>
        <v>六级</v>
      </c>
      <c r="I58" s="3207" t="e">
        <f>SUMIF([1]修正!A45:A56,H58,[1]修正!C45:C56)</f>
        <v>#VALUE!</v>
      </c>
      <c r="J58" s="3213"/>
      <c r="K58" s="3190"/>
      <c r="L58" s="3209"/>
      <c r="M58" s="3209"/>
      <c r="N58" s="3209"/>
      <c r="O58" s="3209"/>
    </row>
    <row r="59" spans="1:15" s="3210" customFormat="1">
      <c r="A59" s="691" t="s">
        <v>3254</v>
      </c>
      <c r="B59" s="262" t="e">
        <f t="shared" si="17"/>
        <v>#VALUE!</v>
      </c>
      <c r="C59" s="3367" t="e">
        <f t="shared" si="16"/>
        <v>#VALUE!</v>
      </c>
      <c r="D59" s="3211">
        <v>0.25</v>
      </c>
      <c r="E59" s="692"/>
      <c r="F59" s="1092" t="e">
        <f t="shared" si="15"/>
        <v>#VALUE!</v>
      </c>
      <c r="G59" s="3740"/>
      <c r="H59" s="3212" t="str">
        <f>[1]项目基本情况!B37</f>
        <v>六级</v>
      </c>
      <c r="I59" s="3207" t="e">
        <f>SUMIF([1]修正!A45:A56,H59,[1]修正!D45:D56)</f>
        <v>#VALUE!</v>
      </c>
      <c r="J59" s="3213"/>
      <c r="K59" s="3169"/>
      <c r="L59" s="3209"/>
      <c r="M59" s="3209"/>
      <c r="N59" s="3209"/>
      <c r="O59" s="3209"/>
    </row>
    <row r="60" spans="1:15" s="3210" customFormat="1">
      <c r="A60" s="691" t="s">
        <v>3255</v>
      </c>
      <c r="B60" s="262" t="e">
        <f t="shared" si="17"/>
        <v>#VALUE!</v>
      </c>
      <c r="C60" s="3367" t="e">
        <f t="shared" si="16"/>
        <v>#VALUE!</v>
      </c>
      <c r="D60" s="3211">
        <v>0.25</v>
      </c>
      <c r="E60" s="692"/>
      <c r="F60" s="1092" t="e">
        <f t="shared" si="15"/>
        <v>#VALUE!</v>
      </c>
      <c r="G60" s="3740"/>
      <c r="H60" s="3212" t="str">
        <f>[1]项目基本情况!B37</f>
        <v>六级</v>
      </c>
      <c r="I60" s="3207" t="e">
        <f>SUMIF([1]修正!A45:A56,H60,[1]修正!E45:E56)</f>
        <v>#VALUE!</v>
      </c>
      <c r="J60" s="3213"/>
      <c r="K60" s="3190"/>
      <c r="L60" s="3209"/>
      <c r="M60" s="3209"/>
      <c r="N60" s="3209"/>
      <c r="O60" s="3209"/>
    </row>
    <row r="61" spans="1:15" s="3210" customFormat="1">
      <c r="A61" s="691" t="s">
        <v>3256</v>
      </c>
      <c r="B61" s="262" t="e">
        <f t="shared" si="17"/>
        <v>#VALUE!</v>
      </c>
      <c r="C61" s="3367" t="e">
        <f t="shared" si="16"/>
        <v>#VALUE!</v>
      </c>
      <c r="D61" s="3211">
        <v>0.25</v>
      </c>
      <c r="E61" s="261">
        <f>'[1]数据-汇总表'!E11</f>
        <v>0</v>
      </c>
      <c r="F61" s="1092" t="e">
        <f t="shared" si="15"/>
        <v>#VALUE!</v>
      </c>
      <c r="G61" s="3214" t="s">
        <v>3257</v>
      </c>
      <c r="H61" s="3212" t="str">
        <f>[1]项目基本情况!C37</f>
        <v>六级</v>
      </c>
      <c r="I61" s="3207" t="e">
        <f>SUMIF([1]修正!A45:A56,H61,[1]修正!F45:F56)</f>
        <v>#VALUE!</v>
      </c>
      <c r="J61" s="3213"/>
      <c r="K61" s="3169"/>
      <c r="L61" s="3209"/>
      <c r="M61" s="3209"/>
      <c r="N61" s="3209"/>
      <c r="O61" s="3209"/>
    </row>
    <row r="62" spans="1:15" s="3210" customFormat="1">
      <c r="A62" s="691" t="s">
        <v>3258</v>
      </c>
      <c r="B62" s="262" t="e">
        <f t="shared" si="17"/>
        <v>#VALUE!</v>
      </c>
      <c r="C62" s="3367" t="e">
        <f t="shared" si="16"/>
        <v>#VALUE!</v>
      </c>
      <c r="D62" s="3211">
        <v>0.25</v>
      </c>
      <c r="E62" s="261">
        <f>'[1]数据-汇总表'!E12</f>
        <v>0</v>
      </c>
      <c r="F62" s="1092" t="e">
        <f t="shared" si="15"/>
        <v>#VALUE!</v>
      </c>
      <c r="G62" s="3215" t="s">
        <v>2752</v>
      </c>
      <c r="H62" s="3212" t="str">
        <f>IF(G62="商业",[1]项目基本情况!B37,IF(G62="办公",[1]项目基本情况!C37,IF(G62="住宅",[1]项目基本情况!D37,[1]项目基本情况!E37)))</f>
        <v>六级</v>
      </c>
      <c r="I62" s="3207" t="e">
        <f>SUMIF([1]修正!A45:A56,H62,[1]修正!G45:G56)</f>
        <v>#VALUE!</v>
      </c>
      <c r="J62" s="3213"/>
      <c r="K62" s="3190"/>
      <c r="L62" s="3209"/>
      <c r="M62" s="3209"/>
      <c r="N62" s="3209"/>
      <c r="O62" s="3209"/>
    </row>
    <row r="63" spans="1:15" s="3210" customFormat="1">
      <c r="A63" s="691" t="s">
        <v>3259</v>
      </c>
      <c r="B63" s="262" t="e">
        <f t="shared" si="17"/>
        <v>#VALUE!</v>
      </c>
      <c r="C63" s="3367" t="e">
        <f t="shared" si="16"/>
        <v>#VALUE!</v>
      </c>
      <c r="D63" s="3211">
        <v>0.25</v>
      </c>
      <c r="E63" s="261">
        <f>'[1]数据-汇总表'!E13</f>
        <v>3485.53</v>
      </c>
      <c r="F63" s="1092" t="e">
        <f t="shared" si="15"/>
        <v>#VALUE!</v>
      </c>
      <c r="G63" s="3215" t="s">
        <v>2754</v>
      </c>
      <c r="H63" s="3212" t="str">
        <f>IF(G63="商业",[1]项目基本情况!B37,IF(G63="办公",[1]项目基本情况!C37,IF(G63="住宅",[1]项目基本情况!D37,[1]项目基本情况!E37)))</f>
        <v>六级</v>
      </c>
      <c r="I63" s="3207" t="e">
        <f>SUMIF([1]修正!A45:A56,H63,[1]修正!H45:H56)</f>
        <v>#VALUE!</v>
      </c>
      <c r="J63" s="3213"/>
      <c r="K63" s="3169"/>
      <c r="L63" s="3209"/>
      <c r="M63" s="3209"/>
      <c r="N63" s="3209"/>
      <c r="O63" s="3209"/>
    </row>
    <row r="64" spans="1:15" s="3210" customFormat="1">
      <c r="A64" s="691" t="s">
        <v>3260</v>
      </c>
      <c r="B64" s="262" t="e">
        <f t="shared" si="17"/>
        <v>#VALUE!</v>
      </c>
      <c r="C64" s="3367" t="e">
        <f t="shared" si="16"/>
        <v>#VALUE!</v>
      </c>
      <c r="D64" s="3211">
        <v>0.25</v>
      </c>
      <c r="E64" s="261">
        <f>'[1]数据-汇总表'!E14</f>
        <v>0</v>
      </c>
      <c r="F64" s="1092" t="e">
        <f t="shared" si="15"/>
        <v>#VALUE!</v>
      </c>
      <c r="G64" s="3214" t="s">
        <v>3261</v>
      </c>
      <c r="H64" s="3212" t="str">
        <f>[1]项目基本情况!B37</f>
        <v>六级</v>
      </c>
      <c r="I64" s="3207" t="e">
        <f>SUMIF([1]修正!A45:A56,H64,[1]修正!H45:H56)</f>
        <v>#VALUE!</v>
      </c>
      <c r="J64" s="3213"/>
      <c r="K64" s="3190"/>
      <c r="L64" s="3209"/>
      <c r="M64" s="3209"/>
      <c r="N64" s="3209"/>
      <c r="O64" s="3209"/>
    </row>
    <row r="65" spans="1:17" s="3210" customFormat="1" ht="14.4" thickBot="1">
      <c r="A65" s="691" t="s">
        <v>3262</v>
      </c>
      <c r="B65" s="262" t="e">
        <f t="shared" si="17"/>
        <v>#VALUE!</v>
      </c>
      <c r="C65" s="3367" t="e">
        <f t="shared" si="16"/>
        <v>#VALUE!</v>
      </c>
      <c r="D65" s="3211">
        <v>0.25</v>
      </c>
      <c r="E65" s="261">
        <f>'[1]数据-汇总表'!E15</f>
        <v>0</v>
      </c>
      <c r="F65" s="1092" t="e">
        <f t="shared" si="15"/>
        <v>#VALUE!</v>
      </c>
      <c r="G65" s="3216" t="s">
        <v>3257</v>
      </c>
      <c r="H65" s="3217" t="str">
        <f>[1]项目基本情况!C37</f>
        <v>六级</v>
      </c>
      <c r="I65" s="3218" t="e">
        <f>SUMIF([1]修正!A45:A56,H65,[1]修正!H45:H56)</f>
        <v>#VALUE!</v>
      </c>
      <c r="J65" s="3219"/>
      <c r="K65" s="3169"/>
      <c r="L65" s="3209"/>
      <c r="M65" s="3209"/>
      <c r="N65" s="3209"/>
      <c r="O65" s="3209"/>
    </row>
    <row r="66" spans="1:17" s="3210" customFormat="1" thickBot="1">
      <c r="A66" s="693" t="s">
        <v>3263</v>
      </c>
      <c r="B66" s="3220" t="s">
        <v>3264</v>
      </c>
      <c r="C66" s="3368" t="s">
        <v>3264</v>
      </c>
      <c r="D66" s="3220" t="s">
        <v>3264</v>
      </c>
      <c r="E66" s="3220">
        <f>IF(B46="楼面地价",SUM(E56:E65),'[1]数据-汇总表'!D3)</f>
        <v>29266.48</v>
      </c>
      <c r="F66" s="3221" t="e">
        <f>IF(B46="楼面地价",SUM(F56:F65),ROUND(C48*E66/10000,0))</f>
        <v>#VALUE!</v>
      </c>
      <c r="G66" s="3222"/>
      <c r="H66" s="3222"/>
      <c r="I66" s="3222"/>
      <c r="J66" s="3222"/>
      <c r="K66" s="3223"/>
      <c r="L66" s="3209"/>
      <c r="M66" s="3209"/>
      <c r="N66" s="3209"/>
      <c r="O66" s="3209"/>
    </row>
    <row r="67" spans="1:17">
      <c r="A67" s="3170"/>
      <c r="B67" s="3224"/>
      <c r="C67" s="3364"/>
      <c r="D67" s="3170"/>
      <c r="E67" s="3170"/>
      <c r="F67" s="3170"/>
      <c r="G67" s="3170"/>
      <c r="H67" s="3170"/>
      <c r="I67" s="3170"/>
      <c r="J67" s="3169"/>
      <c r="K67" s="3184"/>
      <c r="L67" s="3185"/>
      <c r="M67" s="3169"/>
      <c r="N67" s="3169"/>
      <c r="O67" s="3169"/>
    </row>
    <row r="68" spans="1:17">
      <c r="A68" s="3170"/>
      <c r="B68" s="3224"/>
      <c r="C68" s="3364" t="str">
        <f>YEAR(C7)&amp;"-"&amp;MONTH(C7)&amp;"-1"</f>
        <v>2020-1-1</v>
      </c>
      <c r="D68" s="3224">
        <f>EDATE(C68,-3)</f>
        <v>43739</v>
      </c>
      <c r="E68" s="3224">
        <f>EDATE(D68,-3)</f>
        <v>43647</v>
      </c>
      <c r="F68" s="3224">
        <f t="shared" ref="F68:O68" si="18">EDATE(E68,-3)</f>
        <v>43556</v>
      </c>
      <c r="G68" s="3224">
        <f t="shared" si="18"/>
        <v>43466</v>
      </c>
      <c r="H68" s="3224">
        <f t="shared" si="18"/>
        <v>43374</v>
      </c>
      <c r="I68" s="3224">
        <f t="shared" si="18"/>
        <v>43282</v>
      </c>
      <c r="J68" s="3224">
        <f t="shared" si="18"/>
        <v>43191</v>
      </c>
      <c r="K68" s="3224">
        <f t="shared" si="18"/>
        <v>43101</v>
      </c>
      <c r="L68" s="3224">
        <f t="shared" si="18"/>
        <v>43009</v>
      </c>
      <c r="M68" s="3224">
        <f t="shared" si="18"/>
        <v>42917</v>
      </c>
      <c r="N68" s="3224">
        <f t="shared" si="18"/>
        <v>42826</v>
      </c>
      <c r="O68" s="3224">
        <f t="shared" si="18"/>
        <v>42736</v>
      </c>
    </row>
    <row r="69" spans="1:17" ht="22.2" thickBot="1">
      <c r="A69" s="3225" t="s">
        <v>3265</v>
      </c>
      <c r="B69" s="3170"/>
      <c r="C69" s="3369"/>
      <c r="D69" s="3226"/>
      <c r="E69" s="3226"/>
      <c r="F69" s="3227"/>
      <c r="G69" s="3227"/>
      <c r="H69" s="3226"/>
      <c r="I69" s="3226"/>
      <c r="J69" s="3228"/>
      <c r="K69" s="3229"/>
      <c r="L69" s="3230"/>
      <c r="M69" s="3228"/>
      <c r="N69" s="3228"/>
      <c r="O69" s="3228"/>
      <c r="P69" s="3231"/>
      <c r="Q69" s="3232"/>
    </row>
    <row r="70" spans="1:17" s="3237" customFormat="1" ht="14.4">
      <c r="A70" s="3233" t="s">
        <v>3266</v>
      </c>
      <c r="B70" s="3234"/>
      <c r="C70" s="3235" t="str">
        <f>YEAR(C68)&amp;"-"&amp;ROUNDUP(MONTH(C68)/3,0)</f>
        <v>2020-1</v>
      </c>
      <c r="D70" s="3235" t="str">
        <f>YEAR(D68)&amp;"-"&amp;ROUNDUP(MONTH(D68)/3,0)</f>
        <v>2019-4</v>
      </c>
      <c r="E70" s="3235" t="str">
        <f t="shared" ref="E70:O70" si="19">YEAR(E68)&amp;"-"&amp;ROUNDUP(MONTH(E68)/3,0)</f>
        <v>2019-3</v>
      </c>
      <c r="F70" s="3235" t="str">
        <f t="shared" si="19"/>
        <v>2019-2</v>
      </c>
      <c r="G70" s="3235" t="str">
        <f t="shared" si="19"/>
        <v>2019-1</v>
      </c>
      <c r="H70" s="3235" t="str">
        <f t="shared" si="19"/>
        <v>2018-4</v>
      </c>
      <c r="I70" s="3235" t="str">
        <f t="shared" si="19"/>
        <v>2018-3</v>
      </c>
      <c r="J70" s="3235" t="str">
        <f t="shared" si="19"/>
        <v>2018-2</v>
      </c>
      <c r="K70" s="3235" t="str">
        <f t="shared" si="19"/>
        <v>2018-1</v>
      </c>
      <c r="L70" s="3235" t="str">
        <f t="shared" si="19"/>
        <v>2017-4</v>
      </c>
      <c r="M70" s="3235" t="str">
        <f t="shared" si="19"/>
        <v>2017-3</v>
      </c>
      <c r="N70" s="3235" t="str">
        <f t="shared" si="19"/>
        <v>2017-2</v>
      </c>
      <c r="O70" s="3235" t="str">
        <f t="shared" si="19"/>
        <v>2017-1</v>
      </c>
      <c r="P70" s="3236"/>
    </row>
    <row r="71" spans="1:17" s="3057" customFormat="1" ht="30" customHeight="1">
      <c r="A71" s="3238" t="s">
        <v>3204</v>
      </c>
      <c r="B71" s="3239" t="e">
        <f>"北京市平均增长率"&amp;TEXT(SUMIF([1]基准地价修正!N21:N25,A71,[1]基准地价修正!P21:P25),"0.00%")</f>
        <v>#VALUE!</v>
      </c>
      <c r="C71" s="3240">
        <v>100</v>
      </c>
      <c r="D71" s="3241">
        <f>C71-0.5</f>
        <v>99.5</v>
      </c>
      <c r="E71" s="3241">
        <v>99.5</v>
      </c>
      <c r="F71" s="3241">
        <v>99.5</v>
      </c>
      <c r="G71" s="3241">
        <v>99.5</v>
      </c>
      <c r="H71" s="3241">
        <v>99</v>
      </c>
      <c r="I71" s="3241">
        <v>99</v>
      </c>
      <c r="J71" s="3241">
        <v>99</v>
      </c>
      <c r="K71" s="3241">
        <v>99</v>
      </c>
      <c r="L71" s="3241">
        <v>98.5</v>
      </c>
      <c r="M71" s="3241">
        <v>98.5</v>
      </c>
      <c r="N71" s="3241">
        <v>98.5</v>
      </c>
      <c r="O71" s="3241">
        <v>98.5</v>
      </c>
      <c r="P71" s="3232"/>
    </row>
    <row r="72" spans="1:17" s="3057" customFormat="1" ht="15" thickBot="1">
      <c r="A72" s="3242" t="s">
        <v>3267</v>
      </c>
      <c r="B72" s="3243"/>
      <c r="C72" s="3244"/>
      <c r="D72" s="3245"/>
      <c r="E72" s="3245"/>
      <c r="F72" s="3245"/>
      <c r="G72" s="3245"/>
      <c r="H72" s="3245"/>
      <c r="I72" s="3245"/>
      <c r="J72" s="3245"/>
      <c r="K72" s="3245"/>
      <c r="L72" s="3245"/>
      <c r="M72" s="3246"/>
      <c r="N72" s="3245"/>
      <c r="O72" s="3247"/>
      <c r="P72" s="3232"/>
      <c r="Q72" s="3232"/>
    </row>
    <row r="73" spans="1:17" s="3057" customFormat="1" ht="14.4">
      <c r="A73" s="3248" t="s">
        <v>3200</v>
      </c>
      <c r="B73" s="3249"/>
      <c r="C73" s="3250" t="s">
        <v>3268</v>
      </c>
      <c r="D73" s="3251"/>
      <c r="E73" s="3251"/>
      <c r="F73" s="3251"/>
      <c r="G73" s="3251"/>
      <c r="H73" s="3251"/>
      <c r="I73" s="3251"/>
      <c r="J73" s="3251"/>
      <c r="K73" s="3251"/>
      <c r="L73" s="3252"/>
      <c r="M73" s="3253"/>
      <c r="N73" s="3254"/>
      <c r="O73" s="3254"/>
      <c r="P73" s="3255"/>
      <c r="Q73" s="3232"/>
    </row>
    <row r="74" spans="1:17" s="3057" customFormat="1" ht="14.4" thickBot="1">
      <c r="A74" s="3248"/>
      <c r="B74" s="3249"/>
      <c r="C74" s="3256">
        <v>100</v>
      </c>
      <c r="D74" s="3257"/>
      <c r="E74" s="3257"/>
      <c r="F74" s="3257"/>
      <c r="G74" s="3257"/>
      <c r="H74" s="3257"/>
      <c r="I74" s="3257"/>
      <c r="J74" s="3257"/>
      <c r="K74" s="3257"/>
      <c r="L74" s="3257"/>
      <c r="M74" s="3258"/>
      <c r="N74" s="3254"/>
      <c r="O74" s="3254"/>
      <c r="P74" s="3232"/>
      <c r="Q74" s="3232"/>
    </row>
    <row r="75" spans="1:17" ht="14.4">
      <c r="A75" s="3259" t="s">
        <v>3269</v>
      </c>
      <c r="B75" s="3260" t="s">
        <v>3270</v>
      </c>
      <c r="C75" s="3261" t="s">
        <v>3271</v>
      </c>
      <c r="D75" s="3262"/>
      <c r="E75" s="3262"/>
      <c r="F75" s="3262"/>
      <c r="G75" s="3262"/>
      <c r="H75" s="3262"/>
      <c r="I75" s="3262"/>
      <c r="J75" s="3262"/>
      <c r="K75" s="3263"/>
      <c r="L75" s="3264"/>
      <c r="M75" s="3265"/>
      <c r="N75" s="3266"/>
      <c r="O75" s="3266"/>
      <c r="P75" s="3267"/>
      <c r="Q75" s="3232"/>
    </row>
    <row r="76" spans="1:17" ht="14.4" thickBot="1">
      <c r="A76" s="3268"/>
      <c r="B76" s="3269"/>
      <c r="C76" s="3270">
        <v>100</v>
      </c>
      <c r="D76" s="3270"/>
      <c r="E76" s="3270"/>
      <c r="F76" s="3270"/>
      <c r="G76" s="3270"/>
      <c r="H76" s="3270"/>
      <c r="I76" s="3270"/>
      <c r="J76" s="3270"/>
      <c r="K76" s="3270"/>
      <c r="L76" s="3270"/>
      <c r="M76" s="3271"/>
      <c r="N76" s="3272"/>
      <c r="O76" s="3272"/>
      <c r="P76" s="3267"/>
      <c r="Q76" s="3232"/>
    </row>
    <row r="77" spans="1:17" ht="29.4" thickTop="1">
      <c r="A77" s="3268"/>
      <c r="B77" s="3273" t="s">
        <v>2540</v>
      </c>
      <c r="C77" s="3274"/>
      <c r="D77" s="3274"/>
      <c r="E77" s="3274"/>
      <c r="F77" s="3274"/>
      <c r="G77" s="3274"/>
      <c r="H77" s="3274"/>
      <c r="I77" s="3274"/>
      <c r="J77" s="3274"/>
      <c r="K77" s="3275"/>
      <c r="L77" s="3276"/>
      <c r="M77" s="3277"/>
      <c r="N77" s="3266"/>
      <c r="O77" s="3266"/>
      <c r="P77" s="3267"/>
      <c r="Q77" s="3232"/>
    </row>
    <row r="78" spans="1:17" ht="14.4" thickBot="1">
      <c r="A78" s="3268"/>
      <c r="B78" s="3278"/>
      <c r="C78" s="3279"/>
      <c r="D78" s="3279"/>
      <c r="E78" s="3279"/>
      <c r="F78" s="3279"/>
      <c r="G78" s="3279"/>
      <c r="H78" s="3279"/>
      <c r="I78" s="3279"/>
      <c r="J78" s="3279"/>
      <c r="K78" s="3279"/>
      <c r="L78" s="3279"/>
      <c r="M78" s="3280"/>
      <c r="N78" s="3272"/>
      <c r="O78" s="3272"/>
      <c r="P78" s="3267"/>
      <c r="Q78" s="3232"/>
    </row>
    <row r="79" spans="1:17" ht="15" thickTop="1">
      <c r="A79" s="3268"/>
      <c r="B79" s="3281" t="s">
        <v>3209</v>
      </c>
      <c r="C79" s="3282" t="str">
        <f>C80&amp;"（含）"&amp;"-"&amp;D80</f>
        <v>0（含）-2</v>
      </c>
      <c r="D79" s="3282" t="str">
        <f t="shared" ref="D79:L79" si="20">D80&amp;"（含）"&amp;"-"&amp;E80</f>
        <v>2（含）-4</v>
      </c>
      <c r="E79" s="3282" t="str">
        <f t="shared" si="20"/>
        <v>4（含）-6</v>
      </c>
      <c r="F79" s="3282" t="str">
        <f t="shared" si="20"/>
        <v>6（含）-8</v>
      </c>
      <c r="G79" s="3282" t="str">
        <f t="shared" si="20"/>
        <v>8（含）-10</v>
      </c>
      <c r="H79" s="3282" t="str">
        <f t="shared" si="20"/>
        <v>10（含）-12</v>
      </c>
      <c r="I79" s="3282" t="str">
        <f t="shared" si="20"/>
        <v>12（含）-14</v>
      </c>
      <c r="J79" s="3282" t="str">
        <f t="shared" si="20"/>
        <v>14（含）-</v>
      </c>
      <c r="K79" s="3282" t="str">
        <f t="shared" si="20"/>
        <v>（含）-</v>
      </c>
      <c r="L79" s="3282" t="str">
        <f t="shared" si="20"/>
        <v>（含）-</v>
      </c>
      <c r="M79" s="3110" t="str">
        <f>M80&amp;"（含）"&amp;"-"&amp;P80</f>
        <v>（含）-</v>
      </c>
      <c r="N79" s="3272"/>
      <c r="O79" s="3272"/>
      <c r="P79" s="3267"/>
      <c r="Q79" s="3232"/>
    </row>
    <row r="80" spans="1:17">
      <c r="A80" s="3268"/>
      <c r="B80" s="3283"/>
      <c r="C80" s="3091">
        <v>0</v>
      </c>
      <c r="D80" s="3091">
        <f>C80+2</f>
        <v>2</v>
      </c>
      <c r="E80" s="3091">
        <f t="shared" ref="E80:J80" si="21">D80+2</f>
        <v>4</v>
      </c>
      <c r="F80" s="3091">
        <f t="shared" si="21"/>
        <v>6</v>
      </c>
      <c r="G80" s="3091">
        <f t="shared" si="21"/>
        <v>8</v>
      </c>
      <c r="H80" s="3091">
        <f t="shared" si="21"/>
        <v>10</v>
      </c>
      <c r="I80" s="3091">
        <f t="shared" si="21"/>
        <v>12</v>
      </c>
      <c r="J80" s="3091">
        <f t="shared" si="21"/>
        <v>14</v>
      </c>
      <c r="K80" s="3284"/>
      <c r="L80" s="3285"/>
      <c r="M80" s="3286"/>
      <c r="N80" s="3266"/>
      <c r="O80" s="3266"/>
      <c r="P80" s="3267"/>
      <c r="Q80" s="3232"/>
    </row>
    <row r="81" spans="1:17" ht="14.4" thickBot="1">
      <c r="A81" s="3268"/>
      <c r="B81" s="3269"/>
      <c r="C81" s="3279">
        <v>100</v>
      </c>
      <c r="D81" s="3279">
        <f t="shared" ref="D81:M81" si="22">IF($B$46="单位面积地价",C81+$K11,C81-$K11)</f>
        <v>99</v>
      </c>
      <c r="E81" s="3279">
        <f t="shared" si="22"/>
        <v>98</v>
      </c>
      <c r="F81" s="3279">
        <f t="shared" si="22"/>
        <v>97</v>
      </c>
      <c r="G81" s="3279">
        <f t="shared" si="22"/>
        <v>96</v>
      </c>
      <c r="H81" s="3279">
        <f t="shared" si="22"/>
        <v>95</v>
      </c>
      <c r="I81" s="3279">
        <f t="shared" si="22"/>
        <v>94</v>
      </c>
      <c r="J81" s="3279">
        <f t="shared" si="22"/>
        <v>93</v>
      </c>
      <c r="K81" s="3279">
        <f t="shared" si="22"/>
        <v>92</v>
      </c>
      <c r="L81" s="3279">
        <f t="shared" si="22"/>
        <v>91</v>
      </c>
      <c r="M81" s="3279">
        <f t="shared" si="22"/>
        <v>90</v>
      </c>
      <c r="N81" s="3272"/>
      <c r="O81" s="3272"/>
      <c r="P81" s="3267"/>
      <c r="Q81" s="3232"/>
    </row>
    <row r="82" spans="1:17" s="3149" customFormat="1" ht="15" thickTop="1">
      <c r="A82" s="3287"/>
      <c r="B82" s="3273" t="str">
        <f>B12</f>
        <v>自持</v>
      </c>
      <c r="C82" s="3370" t="s">
        <v>3272</v>
      </c>
      <c r="D82" s="3288" t="s">
        <v>3211</v>
      </c>
      <c r="E82" s="3289"/>
      <c r="F82" s="3289"/>
      <c r="G82" s="3289"/>
      <c r="H82" s="3290"/>
      <c r="I82" s="3290"/>
      <c r="J82" s="3290"/>
      <c r="K82" s="3290"/>
      <c r="L82" s="3291"/>
      <c r="M82" s="3292"/>
      <c r="N82" s="3293"/>
      <c r="O82" s="3293"/>
      <c r="P82" s="3294"/>
      <c r="Q82" s="3295"/>
    </row>
    <row r="83" spans="1:17" s="3149" customFormat="1" ht="14.4" thickBot="1">
      <c r="A83" s="3287"/>
      <c r="B83" s="3278"/>
      <c r="C83" s="3296">
        <v>100</v>
      </c>
      <c r="D83" s="3270">
        <v>110</v>
      </c>
      <c r="E83" s="3270"/>
      <c r="F83" s="3270"/>
      <c r="G83" s="3270"/>
      <c r="H83" s="3270"/>
      <c r="I83" s="3270"/>
      <c r="J83" s="3270"/>
      <c r="K83" s="3270"/>
      <c r="L83" s="3270"/>
      <c r="M83" s="3271"/>
      <c r="N83" s="3272"/>
      <c r="O83" s="3272"/>
      <c r="P83" s="3294"/>
      <c r="Q83" s="3295"/>
    </row>
    <row r="84" spans="1:17" s="3149" customFormat="1" ht="14.4" thickTop="1">
      <c r="A84" s="3287"/>
      <c r="B84" s="3273">
        <f>B13</f>
        <v>0</v>
      </c>
      <c r="C84" s="3289"/>
      <c r="D84" s="3289"/>
      <c r="E84" s="3289"/>
      <c r="F84" s="3289"/>
      <c r="G84" s="3289"/>
      <c r="H84" s="3290"/>
      <c r="I84" s="3290"/>
      <c r="J84" s="3290"/>
      <c r="K84" s="3290"/>
      <c r="L84" s="3291"/>
      <c r="M84" s="3292"/>
      <c r="N84" s="3293"/>
      <c r="O84" s="3293"/>
      <c r="P84" s="3297"/>
      <c r="Q84" s="3298"/>
    </row>
    <row r="85" spans="1:17" s="3149" customFormat="1" ht="14.4" thickBot="1">
      <c r="A85" s="3287"/>
      <c r="B85" s="3278"/>
      <c r="C85" s="3296"/>
      <c r="D85" s="3296"/>
      <c r="E85" s="3296"/>
      <c r="F85" s="3296"/>
      <c r="G85" s="3296"/>
      <c r="H85" s="3299"/>
      <c r="I85" s="3299"/>
      <c r="J85" s="3299"/>
      <c r="K85" s="3299"/>
      <c r="L85" s="3299"/>
      <c r="M85" s="3300"/>
      <c r="N85" s="3293"/>
      <c r="O85" s="3293"/>
      <c r="P85" s="3294"/>
      <c r="Q85" s="3295"/>
    </row>
    <row r="86" spans="1:17" s="3149" customFormat="1" ht="14.4" thickTop="1">
      <c r="A86" s="3287"/>
      <c r="B86" s="3281">
        <f>B14</f>
        <v>0</v>
      </c>
      <c r="C86" s="3251"/>
      <c r="D86" s="3251"/>
      <c r="E86" s="3251"/>
      <c r="F86" s="3251"/>
      <c r="G86" s="3251"/>
      <c r="H86" s="3301"/>
      <c r="I86" s="3301"/>
      <c r="J86" s="3301"/>
      <c r="K86" s="3301"/>
      <c r="L86" s="3302"/>
      <c r="M86" s="3303"/>
      <c r="N86" s="3293"/>
      <c r="O86" s="3293"/>
      <c r="P86" s="3304"/>
      <c r="Q86" s="3295"/>
    </row>
    <row r="87" spans="1:17" s="3149" customFormat="1" ht="14.4" thickBot="1">
      <c r="A87" s="3305"/>
      <c r="B87" s="3306"/>
      <c r="C87" s="3307"/>
      <c r="D87" s="3307"/>
      <c r="E87" s="3307"/>
      <c r="F87" s="3307"/>
      <c r="G87" s="3307"/>
      <c r="H87" s="3308"/>
      <c r="I87" s="3308"/>
      <c r="J87" s="3308"/>
      <c r="K87" s="3308"/>
      <c r="L87" s="3308"/>
      <c r="M87" s="3309"/>
      <c r="N87" s="3293"/>
      <c r="O87" s="3293"/>
      <c r="P87" s="3294"/>
      <c r="Q87" s="3295"/>
    </row>
    <row r="88" spans="1:17" ht="14.4">
      <c r="A88" s="3259" t="s">
        <v>3213</v>
      </c>
      <c r="B88" s="3260" t="s">
        <v>3273</v>
      </c>
      <c r="C88" s="3310" t="s">
        <v>3274</v>
      </c>
      <c r="D88" s="3310" t="s">
        <v>3275</v>
      </c>
      <c r="E88" s="3310" t="s">
        <v>3276</v>
      </c>
      <c r="F88" s="3310" t="s">
        <v>3277</v>
      </c>
      <c r="G88" s="3310" t="s">
        <v>3278</v>
      </c>
      <c r="H88" s="3311"/>
      <c r="I88" s="3311"/>
      <c r="J88" s="3311"/>
      <c r="K88" s="3312"/>
      <c r="L88" s="3313"/>
      <c r="M88" s="3314"/>
      <c r="N88" s="3266"/>
      <c r="O88" s="3266"/>
      <c r="P88" s="3315"/>
      <c r="Q88" s="3232"/>
    </row>
    <row r="89" spans="1:17" ht="14.4" thickBot="1">
      <c r="A89" s="3268"/>
      <c r="B89" s="3278"/>
      <c r="C89" s="3279">
        <v>100</v>
      </c>
      <c r="D89" s="3279">
        <f>C89-$K15</f>
        <v>100</v>
      </c>
      <c r="E89" s="3279">
        <f>D89-$K15</f>
        <v>100</v>
      </c>
      <c r="F89" s="3279">
        <f>E89-$K15</f>
        <v>100</v>
      </c>
      <c r="G89" s="3279">
        <f>F89-$K15</f>
        <v>100</v>
      </c>
      <c r="H89" s="3279"/>
      <c r="I89" s="3279"/>
      <c r="J89" s="3279"/>
      <c r="K89" s="3279"/>
      <c r="L89" s="3279"/>
      <c r="M89" s="3280"/>
      <c r="N89" s="3272"/>
      <c r="O89" s="3272"/>
      <c r="P89" s="3267"/>
      <c r="Q89" s="3232"/>
    </row>
    <row r="90" spans="1:17" ht="15" thickTop="1">
      <c r="A90" s="3268"/>
      <c r="B90" s="3273" t="s">
        <v>3279</v>
      </c>
      <c r="C90" s="3316" t="s">
        <v>3280</v>
      </c>
      <c r="D90" s="3316" t="s">
        <v>3281</v>
      </c>
      <c r="E90" s="3316" t="s">
        <v>3282</v>
      </c>
      <c r="F90" s="3316" t="s">
        <v>3277</v>
      </c>
      <c r="G90" s="3316" t="s">
        <v>3278</v>
      </c>
      <c r="H90" s="3274"/>
      <c r="I90" s="3274"/>
      <c r="J90" s="3274"/>
      <c r="K90" s="3275"/>
      <c r="L90" s="3276"/>
      <c r="M90" s="3277"/>
      <c r="N90" s="3266"/>
      <c r="O90" s="3266"/>
      <c r="P90" s="3267"/>
      <c r="Q90" s="3232"/>
    </row>
    <row r="91" spans="1:17" ht="14.4" thickBot="1">
      <c r="A91" s="3268"/>
      <c r="B91" s="3278"/>
      <c r="C91" s="3279">
        <v>100</v>
      </c>
      <c r="D91" s="3279">
        <f>C91-$K17</f>
        <v>95</v>
      </c>
      <c r="E91" s="3279">
        <f>D91-$K17</f>
        <v>90</v>
      </c>
      <c r="F91" s="3279">
        <f>E91-$K17</f>
        <v>85</v>
      </c>
      <c r="G91" s="3279">
        <f>F91-$K17</f>
        <v>80</v>
      </c>
      <c r="H91" s="3279"/>
      <c r="I91" s="3279"/>
      <c r="J91" s="3279"/>
      <c r="K91" s="3279"/>
      <c r="L91" s="3279"/>
      <c r="M91" s="3280"/>
      <c r="N91" s="3272"/>
      <c r="O91" s="3272"/>
      <c r="P91" s="3267"/>
      <c r="Q91" s="3232"/>
    </row>
    <row r="92" spans="1:17" ht="15" thickTop="1">
      <c r="A92" s="3268"/>
      <c r="B92" s="3273" t="s">
        <v>3283</v>
      </c>
      <c r="C92" s="3316" t="s">
        <v>3280</v>
      </c>
      <c r="D92" s="3316" t="s">
        <v>3281</v>
      </c>
      <c r="E92" s="3316" t="s">
        <v>3282</v>
      </c>
      <c r="F92" s="3316" t="s">
        <v>3277</v>
      </c>
      <c r="G92" s="3316" t="s">
        <v>3278</v>
      </c>
      <c r="H92" s="3274"/>
      <c r="I92" s="3274"/>
      <c r="J92" s="3274"/>
      <c r="K92" s="3275"/>
      <c r="L92" s="3276"/>
      <c r="M92" s="3277"/>
      <c r="N92" s="3266"/>
      <c r="O92" s="3266"/>
      <c r="P92" s="3267"/>
      <c r="Q92" s="3232"/>
    </row>
    <row r="93" spans="1:17" ht="14.4" thickBot="1">
      <c r="A93" s="3268"/>
      <c r="B93" s="3278"/>
      <c r="C93" s="3279">
        <v>100</v>
      </c>
      <c r="D93" s="3279">
        <f>C93-$K19</f>
        <v>95</v>
      </c>
      <c r="E93" s="3279">
        <f>D93-$K19</f>
        <v>90</v>
      </c>
      <c r="F93" s="3279">
        <f>E93-$K19</f>
        <v>85</v>
      </c>
      <c r="G93" s="3279">
        <f>F93-$K19</f>
        <v>80</v>
      </c>
      <c r="H93" s="3279"/>
      <c r="I93" s="3279"/>
      <c r="J93" s="3279"/>
      <c r="K93" s="3279"/>
      <c r="L93" s="3279"/>
      <c r="M93" s="3280"/>
      <c r="N93" s="3272"/>
      <c r="O93" s="3272"/>
      <c r="P93" s="3267"/>
      <c r="Q93" s="3232"/>
    </row>
    <row r="94" spans="1:17" ht="15" thickTop="1">
      <c r="A94" s="3268"/>
      <c r="B94" s="3273" t="s">
        <v>3284</v>
      </c>
      <c r="C94" s="3316" t="s">
        <v>3280</v>
      </c>
      <c r="D94" s="3316" t="s">
        <v>3281</v>
      </c>
      <c r="E94" s="3316" t="s">
        <v>3282</v>
      </c>
      <c r="F94" s="3316" t="s">
        <v>3277</v>
      </c>
      <c r="G94" s="3316" t="s">
        <v>3278</v>
      </c>
      <c r="H94" s="3274"/>
      <c r="I94" s="3274"/>
      <c r="J94" s="3274"/>
      <c r="K94" s="3275"/>
      <c r="L94" s="3276"/>
      <c r="M94" s="3277"/>
      <c r="N94" s="3266"/>
      <c r="O94" s="3266"/>
      <c r="P94" s="3267"/>
      <c r="Q94" s="3232"/>
    </row>
    <row r="95" spans="1:17" ht="14.4" thickBot="1">
      <c r="A95" s="3268"/>
      <c r="B95" s="3278"/>
      <c r="C95" s="3279">
        <v>100</v>
      </c>
      <c r="D95" s="3279">
        <f>C95-$K21</f>
        <v>98</v>
      </c>
      <c r="E95" s="3279">
        <f>D95-$K21</f>
        <v>96</v>
      </c>
      <c r="F95" s="3279">
        <f>E95-$K21</f>
        <v>94</v>
      </c>
      <c r="G95" s="3279">
        <f>F95-$K21</f>
        <v>92</v>
      </c>
      <c r="H95" s="3279"/>
      <c r="I95" s="3279"/>
      <c r="J95" s="3279"/>
      <c r="K95" s="3279"/>
      <c r="L95" s="3279"/>
      <c r="M95" s="3280"/>
      <c r="N95" s="3272"/>
      <c r="O95" s="3272"/>
      <c r="P95" s="3267"/>
      <c r="Q95" s="3232"/>
    </row>
    <row r="96" spans="1:17" s="3057" customFormat="1" ht="29.4" thickTop="1">
      <c r="A96" s="3317"/>
      <c r="B96" s="3273" t="s">
        <v>3285</v>
      </c>
      <c r="C96" s="3316" t="s">
        <v>3280</v>
      </c>
      <c r="D96" s="3316" t="s">
        <v>3281</v>
      </c>
      <c r="E96" s="3316" t="s">
        <v>3282</v>
      </c>
      <c r="F96" s="3316" t="s">
        <v>3277</v>
      </c>
      <c r="G96" s="3316" t="s">
        <v>3278</v>
      </c>
      <c r="H96" s="3316"/>
      <c r="I96" s="3316"/>
      <c r="J96" s="3316"/>
      <c r="K96" s="3316"/>
      <c r="L96" s="3318"/>
      <c r="M96" s="3319"/>
      <c r="N96" s="3254"/>
      <c r="O96" s="3254"/>
      <c r="P96" s="3267"/>
      <c r="Q96" s="3232"/>
    </row>
    <row r="97" spans="1:17" s="3057" customFormat="1" ht="14.4" thickBot="1">
      <c r="A97" s="3317"/>
      <c r="B97" s="3278"/>
      <c r="C97" s="3320">
        <v>100</v>
      </c>
      <c r="D97" s="3279">
        <f>C97-$K23</f>
        <v>99</v>
      </c>
      <c r="E97" s="3279">
        <f>D97-$K23</f>
        <v>98</v>
      </c>
      <c r="F97" s="3279">
        <f>E97-$K23</f>
        <v>97</v>
      </c>
      <c r="G97" s="3279">
        <f>F97-$K23</f>
        <v>96</v>
      </c>
      <c r="H97" s="3279"/>
      <c r="I97" s="3279"/>
      <c r="J97" s="3279"/>
      <c r="K97" s="3279"/>
      <c r="L97" s="3279"/>
      <c r="M97" s="3280"/>
      <c r="N97" s="3272"/>
      <c r="O97" s="3272"/>
      <c r="P97" s="3267"/>
      <c r="Q97" s="3232"/>
    </row>
    <row r="98" spans="1:17" s="3057" customFormat="1" ht="29.4" thickTop="1">
      <c r="A98" s="3317"/>
      <c r="B98" s="3273" t="s">
        <v>3286</v>
      </c>
      <c r="C98" s="3310" t="s">
        <v>3280</v>
      </c>
      <c r="D98" s="3310" t="s">
        <v>3281</v>
      </c>
      <c r="E98" s="3310" t="s">
        <v>3282</v>
      </c>
      <c r="F98" s="3310" t="s">
        <v>3277</v>
      </c>
      <c r="G98" s="3310" t="s">
        <v>3278</v>
      </c>
      <c r="H98" s="3316"/>
      <c r="I98" s="3316"/>
      <c r="J98" s="3316"/>
      <c r="K98" s="3316"/>
      <c r="L98" s="3316"/>
      <c r="M98" s="3319"/>
      <c r="N98" s="3254"/>
      <c r="O98" s="3254"/>
      <c r="P98" s="3267"/>
      <c r="Q98" s="3232"/>
    </row>
    <row r="99" spans="1:17" s="3057" customFormat="1" ht="14.4" thickBot="1">
      <c r="A99" s="3317"/>
      <c r="B99" s="3278"/>
      <c r="C99" s="3279">
        <v>100</v>
      </c>
      <c r="D99" s="3279">
        <f>C99-$K25</f>
        <v>99</v>
      </c>
      <c r="E99" s="3279">
        <f>D99-$K25</f>
        <v>98</v>
      </c>
      <c r="F99" s="3279">
        <f>E99-$K25</f>
        <v>97</v>
      </c>
      <c r="G99" s="3279">
        <f>F99-$K25</f>
        <v>96</v>
      </c>
      <c r="H99" s="3279"/>
      <c r="I99" s="3279"/>
      <c r="J99" s="3279"/>
      <c r="K99" s="3279"/>
      <c r="L99" s="3279"/>
      <c r="M99" s="3280"/>
      <c r="N99" s="3272"/>
      <c r="O99" s="3272"/>
      <c r="P99" s="3267"/>
      <c r="Q99" s="3232"/>
    </row>
    <row r="100" spans="1:17" s="3149" customFormat="1" ht="15" thickTop="1">
      <c r="A100" s="3287"/>
      <c r="B100" s="3273" t="s">
        <v>3287</v>
      </c>
      <c r="C100" s="3310" t="s">
        <v>3280</v>
      </c>
      <c r="D100" s="3310" t="s">
        <v>3281</v>
      </c>
      <c r="E100" s="3310" t="s">
        <v>3282</v>
      </c>
      <c r="F100" s="3310" t="s">
        <v>3277</v>
      </c>
      <c r="G100" s="3310" t="s">
        <v>3278</v>
      </c>
      <c r="H100" s="3321"/>
      <c r="I100" s="3321"/>
      <c r="J100" s="3321"/>
      <c r="K100" s="3321"/>
      <c r="L100" s="3322"/>
      <c r="M100" s="3323"/>
      <c r="N100" s="3293"/>
      <c r="O100" s="3293"/>
      <c r="P100" s="3294"/>
      <c r="Q100" s="3295"/>
    </row>
    <row r="101" spans="1:17" s="3149" customFormat="1" ht="14.4" thickBot="1">
      <c r="A101" s="3287"/>
      <c r="B101" s="3278"/>
      <c r="C101" s="3279">
        <v>100</v>
      </c>
      <c r="D101" s="3279">
        <f>C101-$K27</f>
        <v>96</v>
      </c>
      <c r="E101" s="3279">
        <f>D101-$K27</f>
        <v>92</v>
      </c>
      <c r="F101" s="3279">
        <f>E101-$K27</f>
        <v>88</v>
      </c>
      <c r="G101" s="3279">
        <f>F101-$K27</f>
        <v>84</v>
      </c>
      <c r="H101" s="3324"/>
      <c r="I101" s="3324"/>
      <c r="J101" s="3324"/>
      <c r="K101" s="3324"/>
      <c r="L101" s="3324"/>
      <c r="M101" s="3325"/>
      <c r="N101" s="3293"/>
      <c r="O101" s="3293"/>
      <c r="P101" s="3294"/>
      <c r="Q101" s="3295"/>
    </row>
    <row r="102" spans="1:17" s="3149" customFormat="1" ht="15" thickTop="1">
      <c r="A102" s="3287"/>
      <c r="B102" s="3281" t="s">
        <v>3288</v>
      </c>
      <c r="C102" s="3326" t="s">
        <v>3289</v>
      </c>
      <c r="D102" s="3326" t="s">
        <v>3290</v>
      </c>
      <c r="E102" s="3326" t="s">
        <v>3291</v>
      </c>
      <c r="F102" s="3326" t="s">
        <v>3292</v>
      </c>
      <c r="G102" s="3326" t="s">
        <v>3293</v>
      </c>
      <c r="H102" s="3321"/>
      <c r="I102" s="3321"/>
      <c r="J102" s="3321"/>
      <c r="K102" s="3321"/>
      <c r="L102" s="3321"/>
      <c r="M102" s="3327"/>
      <c r="N102" s="3293"/>
      <c r="O102" s="3293"/>
      <c r="P102" s="3294"/>
      <c r="Q102" s="3295"/>
    </row>
    <row r="103" spans="1:17" s="3149" customFormat="1" ht="14.4" thickBot="1">
      <c r="A103" s="3287"/>
      <c r="B103" s="3281"/>
      <c r="C103" s="3279">
        <v>100</v>
      </c>
      <c r="D103" s="3279">
        <f>C103-$K29</f>
        <v>98</v>
      </c>
      <c r="E103" s="3279">
        <f>D103-$K29</f>
        <v>96</v>
      </c>
      <c r="F103" s="3279">
        <f>E103-$K29</f>
        <v>94</v>
      </c>
      <c r="G103" s="3279">
        <f>F103-$K29</f>
        <v>92</v>
      </c>
      <c r="H103" s="3283"/>
      <c r="I103" s="3283"/>
      <c r="J103" s="3283"/>
      <c r="K103" s="3283"/>
      <c r="L103" s="3283"/>
      <c r="M103" s="3327"/>
      <c r="N103" s="3293"/>
      <c r="O103" s="3293"/>
      <c r="P103" s="3294"/>
      <c r="Q103" s="3295"/>
    </row>
    <row r="104" spans="1:17" ht="15" thickTop="1">
      <c r="A104" s="3268"/>
      <c r="B104" s="3273" t="str">
        <f>B31</f>
        <v>临街状况</v>
      </c>
      <c r="C104" s="3274" t="s">
        <v>3294</v>
      </c>
      <c r="D104" s="3274" t="s">
        <v>3295</v>
      </c>
      <c r="E104" s="3274" t="s">
        <v>3296</v>
      </c>
      <c r="F104" s="3274" t="s">
        <v>3297</v>
      </c>
      <c r="G104" s="3274"/>
      <c r="H104" s="3274"/>
      <c r="I104" s="3274"/>
      <c r="J104" s="3274"/>
      <c r="K104" s="3275"/>
      <c r="L104" s="3276"/>
      <c r="M104" s="3277"/>
      <c r="N104" s="3266"/>
      <c r="O104" s="3266"/>
      <c r="P104" s="3267"/>
      <c r="Q104" s="3232"/>
    </row>
    <row r="105" spans="1:17" ht="14.4" thickBot="1">
      <c r="A105" s="3268"/>
      <c r="B105" s="3278"/>
      <c r="C105" s="3279">
        <v>100</v>
      </c>
      <c r="D105" s="3279">
        <f>C105-$K31</f>
        <v>98</v>
      </c>
      <c r="E105" s="3279">
        <f t="shared" ref="E105:M105" si="23">D105-$K31</f>
        <v>96</v>
      </c>
      <c r="F105" s="3279">
        <f t="shared" si="23"/>
        <v>94</v>
      </c>
      <c r="G105" s="3279">
        <f t="shared" si="23"/>
        <v>92</v>
      </c>
      <c r="H105" s="3279">
        <f t="shared" si="23"/>
        <v>90</v>
      </c>
      <c r="I105" s="3279">
        <f t="shared" si="23"/>
        <v>88</v>
      </c>
      <c r="J105" s="3279">
        <f t="shared" si="23"/>
        <v>86</v>
      </c>
      <c r="K105" s="3279">
        <f t="shared" si="23"/>
        <v>84</v>
      </c>
      <c r="L105" s="3279">
        <f t="shared" si="23"/>
        <v>82</v>
      </c>
      <c r="M105" s="3279">
        <f t="shared" si="23"/>
        <v>80</v>
      </c>
      <c r="N105" s="3272"/>
      <c r="O105" s="3272"/>
      <c r="P105" s="3267"/>
      <c r="Q105" s="3232"/>
    </row>
    <row r="106" spans="1:17" ht="29.4" thickTop="1">
      <c r="A106" s="3268"/>
      <c r="B106" s="3273" t="s">
        <v>3298</v>
      </c>
      <c r="C106" s="3328" t="s">
        <v>3299</v>
      </c>
      <c r="D106" s="3328" t="s">
        <v>3300</v>
      </c>
      <c r="E106" s="3328" t="s">
        <v>3301</v>
      </c>
      <c r="F106" s="3328" t="s">
        <v>3302</v>
      </c>
      <c r="G106" s="3328" t="s">
        <v>3303</v>
      </c>
      <c r="H106" s="3329"/>
      <c r="I106" s="3329"/>
      <c r="J106" s="3329"/>
      <c r="K106" s="3330"/>
      <c r="L106" s="3331"/>
      <c r="M106" s="3332"/>
      <c r="N106" s="3266"/>
      <c r="O106" s="3266"/>
      <c r="P106" s="3267"/>
      <c r="Q106" s="3232"/>
    </row>
    <row r="107" spans="1:17" ht="14.4" thickBot="1">
      <c r="A107" s="3268"/>
      <c r="B107" s="3278"/>
      <c r="C107" s="3279">
        <v>100</v>
      </c>
      <c r="D107" s="3279">
        <f>C107-$K32</f>
        <v>99</v>
      </c>
      <c r="E107" s="3279">
        <f t="shared" ref="E107:M107" si="24">D107-$K32</f>
        <v>98</v>
      </c>
      <c r="F107" s="3279">
        <f t="shared" si="24"/>
        <v>97</v>
      </c>
      <c r="G107" s="3279">
        <f t="shared" si="24"/>
        <v>96</v>
      </c>
      <c r="H107" s="3279">
        <f t="shared" si="24"/>
        <v>95</v>
      </c>
      <c r="I107" s="3279">
        <f t="shared" si="24"/>
        <v>94</v>
      </c>
      <c r="J107" s="3279">
        <f t="shared" si="24"/>
        <v>93</v>
      </c>
      <c r="K107" s="3279">
        <f t="shared" si="24"/>
        <v>92</v>
      </c>
      <c r="L107" s="3279">
        <f t="shared" si="24"/>
        <v>91</v>
      </c>
      <c r="M107" s="3279">
        <f t="shared" si="24"/>
        <v>90</v>
      </c>
      <c r="N107" s="3272"/>
      <c r="O107" s="3272"/>
      <c r="P107" s="3267"/>
      <c r="Q107" s="3232"/>
    </row>
    <row r="108" spans="1:17" ht="15" thickTop="1">
      <c r="A108" s="3268"/>
      <c r="B108" s="3273" t="s">
        <v>3304</v>
      </c>
      <c r="C108" s="3329"/>
      <c r="D108" s="3329"/>
      <c r="E108" s="3329"/>
      <c r="F108" s="3329"/>
      <c r="G108" s="3329"/>
      <c r="H108" s="3329"/>
      <c r="I108" s="3329"/>
      <c r="J108" s="3329"/>
      <c r="K108" s="3330"/>
      <c r="L108" s="3331"/>
      <c r="M108" s="3332"/>
      <c r="N108" s="3266"/>
      <c r="O108" s="3266"/>
      <c r="P108" s="3267"/>
      <c r="Q108" s="3232"/>
    </row>
    <row r="109" spans="1:17" ht="14.4" thickBot="1">
      <c r="A109" s="3268"/>
      <c r="B109" s="3278"/>
      <c r="C109" s="3279">
        <v>100</v>
      </c>
      <c r="D109" s="3279">
        <f>C109-$K34</f>
        <v>100</v>
      </c>
      <c r="E109" s="3279">
        <f t="shared" ref="E109:M109" si="25">D109-$K34</f>
        <v>100</v>
      </c>
      <c r="F109" s="3279">
        <f t="shared" si="25"/>
        <v>100</v>
      </c>
      <c r="G109" s="3279">
        <f t="shared" si="25"/>
        <v>100</v>
      </c>
      <c r="H109" s="3279">
        <f t="shared" si="25"/>
        <v>100</v>
      </c>
      <c r="I109" s="3279">
        <f t="shared" si="25"/>
        <v>100</v>
      </c>
      <c r="J109" s="3279">
        <f t="shared" si="25"/>
        <v>100</v>
      </c>
      <c r="K109" s="3279">
        <f t="shared" si="25"/>
        <v>100</v>
      </c>
      <c r="L109" s="3279">
        <f t="shared" si="25"/>
        <v>100</v>
      </c>
      <c r="M109" s="3279">
        <f t="shared" si="25"/>
        <v>100</v>
      </c>
      <c r="N109" s="3272"/>
      <c r="O109" s="3272"/>
      <c r="P109" s="3267"/>
      <c r="Q109" s="3232"/>
    </row>
    <row r="110" spans="1:17" ht="14.4" thickTop="1">
      <c r="A110" s="3268"/>
      <c r="B110" s="3281">
        <f>B35</f>
        <v>111</v>
      </c>
      <c r="C110" s="3289"/>
      <c r="D110" s="3289"/>
      <c r="E110" s="3289"/>
      <c r="F110" s="3289"/>
      <c r="G110" s="3333"/>
      <c r="H110" s="3333"/>
      <c r="I110" s="3333"/>
      <c r="J110" s="3333"/>
      <c r="K110" s="3334"/>
      <c r="L110" s="3335"/>
      <c r="M110" s="3336"/>
      <c r="N110" s="3266"/>
      <c r="O110" s="3266"/>
      <c r="P110" s="3267"/>
      <c r="Q110" s="3232"/>
    </row>
    <row r="111" spans="1:17" ht="14.4" thickBot="1">
      <c r="A111" s="3268"/>
      <c r="B111" s="3306"/>
      <c r="C111" s="3296"/>
      <c r="D111" s="3296"/>
      <c r="E111" s="3296"/>
      <c r="F111" s="3296"/>
      <c r="G111" s="3337"/>
      <c r="H111" s="3337"/>
      <c r="I111" s="3337"/>
      <c r="J111" s="3337"/>
      <c r="K111" s="3337"/>
      <c r="L111" s="3337"/>
      <c r="M111" s="3338"/>
      <c r="N111" s="3272"/>
      <c r="O111" s="3272"/>
      <c r="P111" s="3267"/>
      <c r="Q111" s="3232"/>
    </row>
    <row r="112" spans="1:17" ht="14.4" thickTop="1">
      <c r="A112" s="3136"/>
      <c r="B112" s="3273">
        <f>B36</f>
        <v>111</v>
      </c>
      <c r="C112" s="3251"/>
      <c r="D112" s="3251"/>
      <c r="E112" s="3251"/>
      <c r="F112" s="3251"/>
      <c r="G112" s="3329"/>
      <c r="H112" s="3329"/>
      <c r="I112" s="3329"/>
      <c r="J112" s="3329"/>
      <c r="K112" s="3330"/>
      <c r="L112" s="3331"/>
      <c r="M112" s="3332"/>
      <c r="N112" s="3266"/>
      <c r="O112" s="3266"/>
      <c r="P112" s="3267"/>
      <c r="Q112" s="3232"/>
    </row>
    <row r="113" spans="1:17" ht="14.4" thickBot="1">
      <c r="A113" s="3268"/>
      <c r="B113" s="3278"/>
      <c r="C113" s="3307"/>
      <c r="D113" s="3307"/>
      <c r="E113" s="3307"/>
      <c r="F113" s="3307"/>
      <c r="G113" s="3270"/>
      <c r="H113" s="3270"/>
      <c r="I113" s="3270"/>
      <c r="J113" s="3270"/>
      <c r="K113" s="3270"/>
      <c r="L113" s="3270"/>
      <c r="M113" s="3271"/>
      <c r="N113" s="3272"/>
      <c r="O113" s="3272"/>
      <c r="P113" s="3267"/>
      <c r="Q113" s="3232"/>
    </row>
    <row r="114" spans="1:17" s="3149" customFormat="1" ht="14.4" thickTop="1">
      <c r="A114" s="3339"/>
      <c r="B114" s="3340">
        <f>B37</f>
        <v>111</v>
      </c>
      <c r="C114" s="3241"/>
      <c r="D114" s="3241"/>
      <c r="E114" s="3241"/>
      <c r="F114" s="3241"/>
      <c r="G114" s="3241"/>
      <c r="H114" s="3241"/>
      <c r="I114" s="3241"/>
      <c r="J114" s="3341"/>
      <c r="K114" s="3341"/>
      <c r="L114" s="3342"/>
      <c r="M114" s="3343"/>
      <c r="N114" s="3293"/>
      <c r="O114" s="3293"/>
      <c r="P114" s="3294"/>
      <c r="Q114" s="3295"/>
    </row>
    <row r="115" spans="1:17" s="3149" customFormat="1" ht="14.4" thickBot="1">
      <c r="A115" s="3287"/>
      <c r="B115" s="3281"/>
      <c r="C115" s="3257"/>
      <c r="D115" s="3344"/>
      <c r="E115" s="3344"/>
      <c r="F115" s="3344"/>
      <c r="G115" s="3344"/>
      <c r="H115" s="3344"/>
      <c r="I115" s="3344"/>
      <c r="J115" s="3344"/>
      <c r="K115" s="3344"/>
      <c r="L115" s="3344"/>
      <c r="M115" s="3345"/>
      <c r="N115" s="3272"/>
      <c r="O115" s="3272"/>
      <c r="P115" s="3294"/>
      <c r="Q115" s="3295"/>
    </row>
    <row r="116" spans="1:17" ht="27.6">
      <c r="A116" s="3259" t="s">
        <v>3227</v>
      </c>
      <c r="B116" s="3260" t="s">
        <v>3305</v>
      </c>
      <c r="C116" s="3311" t="str">
        <f>C117&amp;"(含)"&amp;"-"&amp;D117</f>
        <v>0(含)-10000</v>
      </c>
      <c r="D116" s="3311" t="str">
        <f t="shared" ref="D116:M116" si="26">D117&amp;"(含)"&amp;"-"&amp;E117</f>
        <v>10000(含)-20000</v>
      </c>
      <c r="E116" s="3311" t="str">
        <f t="shared" si="26"/>
        <v>20000(含)-40000</v>
      </c>
      <c r="F116" s="3311" t="str">
        <f t="shared" si="26"/>
        <v>40000(含)-80000</v>
      </c>
      <c r="G116" s="3311" t="str">
        <f t="shared" si="26"/>
        <v>80000(含)-</v>
      </c>
      <c r="H116" s="3311" t="str">
        <f t="shared" si="26"/>
        <v>(含)-</v>
      </c>
      <c r="I116" s="3311" t="str">
        <f t="shared" si="26"/>
        <v>(含)-</v>
      </c>
      <c r="J116" s="3311" t="str">
        <f t="shared" si="26"/>
        <v>(含)-</v>
      </c>
      <c r="K116" s="3311" t="str">
        <f t="shared" si="26"/>
        <v>(含)-</v>
      </c>
      <c r="L116" s="3311" t="str">
        <f t="shared" si="26"/>
        <v>(含)-</v>
      </c>
      <c r="M116" s="3311" t="str">
        <f t="shared" si="26"/>
        <v>(含)-</v>
      </c>
      <c r="N116" s="3266"/>
      <c r="O116" s="3266"/>
      <c r="P116" s="3267"/>
      <c r="Q116" s="3232"/>
    </row>
    <row r="117" spans="1:17">
      <c r="A117" s="3268"/>
      <c r="B117" s="3281"/>
      <c r="C117" s="3241">
        <v>0</v>
      </c>
      <c r="D117" s="3241">
        <v>10000</v>
      </c>
      <c r="E117" s="3241">
        <v>20000</v>
      </c>
      <c r="F117" s="3241">
        <v>40000</v>
      </c>
      <c r="G117" s="3241">
        <v>80000</v>
      </c>
      <c r="H117" s="3241"/>
      <c r="I117" s="3241"/>
      <c r="J117" s="3341"/>
      <c r="K117" s="3341"/>
      <c r="L117" s="3342"/>
      <c r="M117" s="3343"/>
      <c r="N117" s="3266"/>
      <c r="O117" s="3266"/>
      <c r="P117" s="3267"/>
      <c r="Q117" s="3232"/>
    </row>
    <row r="118" spans="1:17" ht="14.4" thickBot="1">
      <c r="A118" s="3268"/>
      <c r="B118" s="3278"/>
      <c r="C118" s="3337">
        <f>B118+0.5</f>
        <v>0.5</v>
      </c>
      <c r="D118" s="3337">
        <f t="shared" ref="D118:G118" si="27">C118+0.5</f>
        <v>1</v>
      </c>
      <c r="E118" s="3337">
        <f t="shared" si="27"/>
        <v>1.5</v>
      </c>
      <c r="F118" s="3337">
        <f t="shared" si="27"/>
        <v>2</v>
      </c>
      <c r="G118" s="3337">
        <f t="shared" si="27"/>
        <v>2.5</v>
      </c>
      <c r="H118" s="3337"/>
      <c r="I118" s="3337"/>
      <c r="J118" s="3337"/>
      <c r="K118" s="3337"/>
      <c r="L118" s="3337"/>
      <c r="M118" s="3338"/>
      <c r="N118" s="3272"/>
      <c r="O118" s="3272"/>
      <c r="P118" s="3267"/>
      <c r="Q118" s="3232"/>
    </row>
    <row r="119" spans="1:17" ht="15" thickTop="1">
      <c r="A119" s="3346"/>
      <c r="B119" s="3273" t="s">
        <v>3229</v>
      </c>
      <c r="C119" s="3347" t="s">
        <v>3306</v>
      </c>
      <c r="D119" s="3347" t="s">
        <v>3307</v>
      </c>
      <c r="E119" s="3347" t="s">
        <v>3308</v>
      </c>
      <c r="F119" s="3347" t="s">
        <v>3309</v>
      </c>
      <c r="G119" s="3347" t="s">
        <v>3310</v>
      </c>
      <c r="H119" s="3329"/>
      <c r="I119" s="3329"/>
      <c r="J119" s="3329"/>
      <c r="K119" s="3330"/>
      <c r="L119" s="3331"/>
      <c r="M119" s="3332"/>
      <c r="N119" s="3266"/>
      <c r="O119" s="3266"/>
      <c r="P119" s="3267"/>
      <c r="Q119" s="3232"/>
    </row>
    <row r="120" spans="1:17" ht="14.4" thickBot="1">
      <c r="A120" s="3268"/>
      <c r="B120" s="3278"/>
      <c r="C120" s="3279">
        <v>100</v>
      </c>
      <c r="D120" s="3279">
        <f t="shared" ref="D120:M120" si="28">C120-$K39</f>
        <v>98</v>
      </c>
      <c r="E120" s="3279">
        <f t="shared" si="28"/>
        <v>96</v>
      </c>
      <c r="F120" s="3279">
        <f t="shared" si="28"/>
        <v>94</v>
      </c>
      <c r="G120" s="3279">
        <f t="shared" si="28"/>
        <v>92</v>
      </c>
      <c r="H120" s="3279">
        <f t="shared" si="28"/>
        <v>90</v>
      </c>
      <c r="I120" s="3279">
        <f t="shared" si="28"/>
        <v>88</v>
      </c>
      <c r="J120" s="3279">
        <f t="shared" si="28"/>
        <v>86</v>
      </c>
      <c r="K120" s="3279">
        <f t="shared" si="28"/>
        <v>84</v>
      </c>
      <c r="L120" s="3279">
        <f t="shared" si="28"/>
        <v>82</v>
      </c>
      <c r="M120" s="3280">
        <f t="shared" si="28"/>
        <v>80</v>
      </c>
      <c r="N120" s="3272"/>
      <c r="O120" s="3272"/>
      <c r="P120" s="3267"/>
      <c r="Q120" s="3232"/>
    </row>
    <row r="121" spans="1:17" ht="29.4" thickTop="1">
      <c r="A121" s="3346"/>
      <c r="B121" s="3273" t="s">
        <v>3231</v>
      </c>
      <c r="C121" s="3328" t="s">
        <v>3311</v>
      </c>
      <c r="D121" s="3328" t="s">
        <v>3312</v>
      </c>
      <c r="E121" s="3328" t="s">
        <v>3308</v>
      </c>
      <c r="F121" s="3347" t="s">
        <v>3313</v>
      </c>
      <c r="G121" s="3347" t="s">
        <v>3314</v>
      </c>
      <c r="H121" s="3329"/>
      <c r="I121" s="3329"/>
      <c r="J121" s="3329"/>
      <c r="K121" s="3330"/>
      <c r="L121" s="3331"/>
      <c r="M121" s="3332"/>
      <c r="N121" s="3266"/>
      <c r="O121" s="3266"/>
      <c r="P121" s="3267"/>
      <c r="Q121" s="3232"/>
    </row>
    <row r="122" spans="1:17" ht="14.4" thickBot="1">
      <c r="A122" s="3268"/>
      <c r="B122" s="3278"/>
      <c r="C122" s="3279">
        <v>100</v>
      </c>
      <c r="D122" s="3279">
        <f t="shared" ref="D122:M122" si="29">C122-$K40</f>
        <v>99</v>
      </c>
      <c r="E122" s="3279">
        <f t="shared" si="29"/>
        <v>98</v>
      </c>
      <c r="F122" s="3279">
        <f t="shared" si="29"/>
        <v>97</v>
      </c>
      <c r="G122" s="3279">
        <f t="shared" si="29"/>
        <v>96</v>
      </c>
      <c r="H122" s="3279">
        <f t="shared" si="29"/>
        <v>95</v>
      </c>
      <c r="I122" s="3279">
        <f t="shared" si="29"/>
        <v>94</v>
      </c>
      <c r="J122" s="3279">
        <f t="shared" si="29"/>
        <v>93</v>
      </c>
      <c r="K122" s="3279">
        <f t="shared" si="29"/>
        <v>92</v>
      </c>
      <c r="L122" s="3279">
        <f t="shared" si="29"/>
        <v>91</v>
      </c>
      <c r="M122" s="3280">
        <f t="shared" si="29"/>
        <v>90</v>
      </c>
      <c r="N122" s="3272"/>
      <c r="O122" s="3272"/>
      <c r="P122" s="3267"/>
      <c r="Q122" s="3232"/>
    </row>
    <row r="123" spans="1:17" s="3149" customFormat="1" ht="15" thickTop="1">
      <c r="A123" s="3339"/>
      <c r="B123" s="3273" t="s">
        <v>3233</v>
      </c>
      <c r="C123" s="3348" t="s">
        <v>3315</v>
      </c>
      <c r="D123" s="3348" t="s">
        <v>3316</v>
      </c>
      <c r="E123" s="3348" t="s">
        <v>3317</v>
      </c>
      <c r="F123" s="3348" t="s">
        <v>3318</v>
      </c>
      <c r="G123" s="3348" t="s">
        <v>3319</v>
      </c>
      <c r="H123" s="3329"/>
      <c r="I123" s="3329"/>
      <c r="J123" s="3329"/>
      <c r="K123" s="3330"/>
      <c r="L123" s="3331"/>
      <c r="M123" s="3332"/>
      <c r="N123" s="3293"/>
      <c r="O123" s="3293"/>
      <c r="P123" s="3294"/>
      <c r="Q123" s="3295"/>
    </row>
    <row r="124" spans="1:17" s="3149" customFormat="1" ht="14.4" thickBot="1">
      <c r="A124" s="3287"/>
      <c r="B124" s="3278"/>
      <c r="C124" s="3279">
        <v>100</v>
      </c>
      <c r="D124" s="3279">
        <f>C124-$K41</f>
        <v>98</v>
      </c>
      <c r="E124" s="3279">
        <f t="shared" ref="E124:M124" si="30">D124-$K41</f>
        <v>96</v>
      </c>
      <c r="F124" s="3279">
        <f t="shared" si="30"/>
        <v>94</v>
      </c>
      <c r="G124" s="3279">
        <f t="shared" si="30"/>
        <v>92</v>
      </c>
      <c r="H124" s="3279">
        <f t="shared" si="30"/>
        <v>90</v>
      </c>
      <c r="I124" s="3279">
        <f t="shared" si="30"/>
        <v>88</v>
      </c>
      <c r="J124" s="3279">
        <f t="shared" si="30"/>
        <v>86</v>
      </c>
      <c r="K124" s="3279">
        <f t="shared" si="30"/>
        <v>84</v>
      </c>
      <c r="L124" s="3279">
        <f t="shared" si="30"/>
        <v>82</v>
      </c>
      <c r="M124" s="3280">
        <f t="shared" si="30"/>
        <v>80</v>
      </c>
      <c r="N124" s="3293"/>
      <c r="O124" s="3293"/>
      <c r="P124" s="3294"/>
      <c r="Q124" s="3295"/>
    </row>
    <row r="125" spans="1:17" ht="15" thickTop="1">
      <c r="A125" s="3346"/>
      <c r="B125" s="3273" t="s">
        <v>3234</v>
      </c>
      <c r="C125" s="3328" t="s">
        <v>3320</v>
      </c>
      <c r="D125" s="3328" t="s">
        <v>3321</v>
      </c>
      <c r="E125" s="3347" t="s">
        <v>3308</v>
      </c>
      <c r="F125" s="3347" t="s">
        <v>3322</v>
      </c>
      <c r="G125" s="3347" t="s">
        <v>3323</v>
      </c>
      <c r="H125" s="3329"/>
      <c r="I125" s="3329"/>
      <c r="J125" s="3329"/>
      <c r="K125" s="3330"/>
      <c r="L125" s="3331"/>
      <c r="M125" s="3332"/>
      <c r="N125" s="3266"/>
      <c r="O125" s="3266"/>
      <c r="P125" s="3267"/>
      <c r="Q125" s="3232"/>
    </row>
    <row r="126" spans="1:17" ht="14.4" thickBot="1">
      <c r="A126" s="3268"/>
      <c r="B126" s="3278"/>
      <c r="C126" s="3279">
        <v>100</v>
      </c>
      <c r="D126" s="3279">
        <f t="shared" ref="D126:M126" si="31">C126-$K42</f>
        <v>98</v>
      </c>
      <c r="E126" s="3279">
        <f t="shared" si="31"/>
        <v>96</v>
      </c>
      <c r="F126" s="3279">
        <f t="shared" si="31"/>
        <v>94</v>
      </c>
      <c r="G126" s="3279">
        <f t="shared" si="31"/>
        <v>92</v>
      </c>
      <c r="H126" s="3279">
        <f t="shared" si="31"/>
        <v>90</v>
      </c>
      <c r="I126" s="3279">
        <f t="shared" si="31"/>
        <v>88</v>
      </c>
      <c r="J126" s="3279">
        <f t="shared" si="31"/>
        <v>86</v>
      </c>
      <c r="K126" s="3279">
        <f t="shared" si="31"/>
        <v>84</v>
      </c>
      <c r="L126" s="3279">
        <f t="shared" si="31"/>
        <v>82</v>
      </c>
      <c r="M126" s="3280">
        <f t="shared" si="31"/>
        <v>80</v>
      </c>
      <c r="N126" s="3272"/>
      <c r="O126" s="3272"/>
      <c r="P126" s="3267"/>
      <c r="Q126" s="3232"/>
    </row>
    <row r="127" spans="1:17" ht="14.4" thickTop="1">
      <c r="A127" s="3346"/>
      <c r="B127" s="3273">
        <f>B43</f>
        <v>111</v>
      </c>
      <c r="C127" s="3289"/>
      <c r="D127" s="3289"/>
      <c r="E127" s="3289"/>
      <c r="F127" s="3289"/>
      <c r="G127" s="3289"/>
      <c r="H127" s="3329"/>
      <c r="I127" s="3329"/>
      <c r="J127" s="3329"/>
      <c r="K127" s="3330"/>
      <c r="L127" s="3331"/>
      <c r="M127" s="3332"/>
      <c r="N127" s="3266"/>
      <c r="O127" s="3266"/>
      <c r="P127" s="3267"/>
      <c r="Q127" s="3232"/>
    </row>
    <row r="128" spans="1:17" ht="14.4" thickBot="1">
      <c r="A128" s="3268"/>
      <c r="B128" s="3278"/>
      <c r="C128" s="3296"/>
      <c r="D128" s="3296"/>
      <c r="E128" s="3296"/>
      <c r="F128" s="3296"/>
      <c r="G128" s="3270"/>
      <c r="H128" s="3270"/>
      <c r="I128" s="3270"/>
      <c r="J128" s="3270"/>
      <c r="K128" s="3270"/>
      <c r="L128" s="3270"/>
      <c r="M128" s="3271"/>
      <c r="N128" s="3272"/>
      <c r="O128" s="3272"/>
      <c r="P128" s="3267"/>
      <c r="Q128" s="3232"/>
    </row>
    <row r="129" spans="1:17" ht="14.4" thickTop="1">
      <c r="A129" s="3346"/>
      <c r="B129" s="3273">
        <f>B44</f>
        <v>111</v>
      </c>
      <c r="C129" s="3251"/>
      <c r="D129" s="3251"/>
      <c r="E129" s="3251"/>
      <c r="F129" s="3251"/>
      <c r="G129" s="3329"/>
      <c r="H129" s="3329"/>
      <c r="I129" s="3329"/>
      <c r="J129" s="3329"/>
      <c r="K129" s="3330"/>
      <c r="L129" s="3331"/>
      <c r="M129" s="3332"/>
      <c r="N129" s="3266"/>
      <c r="O129" s="3266"/>
      <c r="P129" s="3267"/>
      <c r="Q129" s="3232"/>
    </row>
    <row r="130" spans="1:17" ht="14.4" thickBot="1">
      <c r="A130" s="3268"/>
      <c r="B130" s="3278"/>
      <c r="C130" s="3307"/>
      <c r="D130" s="3307"/>
      <c r="E130" s="3307"/>
      <c r="F130" s="3307"/>
      <c r="G130" s="3270"/>
      <c r="H130" s="3270"/>
      <c r="I130" s="3270"/>
      <c r="J130" s="3270"/>
      <c r="K130" s="3270"/>
      <c r="L130" s="3270"/>
      <c r="M130" s="3271"/>
      <c r="N130" s="3272"/>
      <c r="O130" s="3272"/>
      <c r="P130" s="3267"/>
      <c r="Q130" s="3232"/>
    </row>
    <row r="131" spans="1:17" s="3149" customFormat="1" ht="14.4" thickTop="1">
      <c r="A131" s="3339"/>
      <c r="B131" s="3273">
        <f>B45</f>
        <v>111</v>
      </c>
      <c r="C131" s="3251"/>
      <c r="D131" s="3251"/>
      <c r="E131" s="3251"/>
      <c r="F131" s="3251"/>
      <c r="G131" s="3290"/>
      <c r="H131" s="3290"/>
      <c r="I131" s="3290"/>
      <c r="J131" s="3290"/>
      <c r="K131" s="3290"/>
      <c r="L131" s="3291"/>
      <c r="M131" s="3292"/>
      <c r="N131" s="3293"/>
      <c r="O131" s="3293"/>
      <c r="P131" s="3294"/>
      <c r="Q131" s="3295"/>
    </row>
    <row r="132" spans="1:17" s="3149" customFormat="1" ht="14.4" thickBot="1">
      <c r="A132" s="3305"/>
      <c r="B132" s="3349"/>
      <c r="C132" s="3307"/>
      <c r="D132" s="3307"/>
      <c r="E132" s="3307"/>
      <c r="F132" s="3307"/>
      <c r="G132" s="3337"/>
      <c r="H132" s="3337"/>
      <c r="I132" s="3337"/>
      <c r="J132" s="3337"/>
      <c r="K132" s="3337"/>
      <c r="L132" s="3337"/>
      <c r="M132" s="3338"/>
      <c r="N132" s="3293"/>
      <c r="O132" s="3293"/>
      <c r="P132" s="3294"/>
      <c r="Q132" s="3295"/>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4"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A71" xr:uid="{00000000-0002-0000-2E00-000000000000}">
      <formula1>"综合,商业,办公,住宅"</formula1>
    </dataValidation>
    <dataValidation type="list" allowBlank="1" showInputMessage="1" showErrorMessage="1" sqref="C30 E30 G30 I30" xr:uid="{00000000-0002-0000-2E00-000001000000}">
      <formula1>基础设施水平</formula1>
    </dataValidation>
    <dataValidation type="list" allowBlank="1" showInputMessage="1" showErrorMessage="1" sqref="D57:D65" xr:uid="{00000000-0002-0000-2E00-000002000000}">
      <formula1>"25%,1"</formula1>
    </dataValidation>
    <dataValidation type="list" allowBlank="1" showInputMessage="1" showErrorMessage="1" sqref="G63" xr:uid="{00000000-0002-0000-2E00-000003000000}">
      <formula1>"住宅,工业"</formula1>
    </dataValidation>
    <dataValidation type="list" allowBlank="1" showInputMessage="1" showErrorMessage="1" sqref="G62" xr:uid="{00000000-0002-0000-2E00-000004000000}">
      <formula1>"商业,办公,住宅,工业"</formula1>
    </dataValidation>
    <dataValidation type="list" allowBlank="1" showInputMessage="1" showErrorMessage="1" sqref="C55" xr:uid="{00000000-0002-0000-2E00-000005000000}">
      <formula1>"北京市系数,其他省市系数"</formula1>
    </dataValidation>
    <dataValidation type="list" allowBlank="1" showInputMessage="1" showErrorMessage="1" sqref="E24 G24 I24 C24" xr:uid="{00000000-0002-0000-2E00-000006000000}">
      <formula1>区域土地利用方向</formula1>
    </dataValidation>
    <dataValidation type="list" allowBlank="1" showInputMessage="1" showErrorMessage="1" sqref="C31 E31 G31 I31" xr:uid="{00000000-0002-0000-2E00-000007000000}">
      <formula1>临街状况</formula1>
    </dataValidation>
    <dataValidation type="list" allowBlank="1" showInputMessage="1" showErrorMessage="1" sqref="C42 E42 G42 I42" xr:uid="{00000000-0002-0000-2E00-000008000000}">
      <formula1>套综工程地质条件</formula1>
    </dataValidation>
    <dataValidation type="list" allowBlank="1" showInputMessage="1" showErrorMessage="1" sqref="C41 E41 G41 I41" xr:uid="{00000000-0002-0000-2E00-000009000000}">
      <formula1>套综宗地内开发程度</formula1>
    </dataValidation>
    <dataValidation type="list" allowBlank="1" showInputMessage="1" showErrorMessage="1" sqref="C40 E40 G40 I40" xr:uid="{00000000-0002-0000-2E00-00000A000000}">
      <formula1>套综临街宽度及深度</formula1>
    </dataValidation>
    <dataValidation type="list" allowBlank="1" showInputMessage="1" showErrorMessage="1" sqref="C39 E39 G39 I39" xr:uid="{00000000-0002-0000-2E00-00000B000000}">
      <formula1>套综宗地形状</formula1>
    </dataValidation>
    <dataValidation type="list" allowBlank="1" showInputMessage="1" showErrorMessage="1" sqref="C34 E34 G34 I34" xr:uid="{00000000-0002-0000-2E00-00000C000000}">
      <formula1>套综土地级别</formula1>
    </dataValidation>
    <dataValidation type="list" allowBlank="1" showInputMessage="1" showErrorMessage="1" sqref="C33 E33 G33 I33" xr:uid="{00000000-0002-0000-2E00-00000D000000}">
      <formula1>套综道路等级</formula1>
    </dataValidation>
    <dataValidation type="list" allowBlank="1" showInputMessage="1" showErrorMessage="1" sqref="E20 C20 G20 I20" xr:uid="{00000000-0002-0000-2E00-00000E000000}">
      <formula1>办公集聚程度</formula1>
    </dataValidation>
    <dataValidation type="list" allowBlank="1" showInputMessage="1" showErrorMessage="1" sqref="E18 C18 G18 I18" xr:uid="{00000000-0002-0000-2E00-00000F000000}">
      <formula1>商业繁华度</formula1>
    </dataValidation>
    <dataValidation type="list" allowBlank="1" showInputMessage="1" showErrorMessage="1" sqref="C9 E9 G9 I9" xr:uid="{00000000-0002-0000-2E00-000010000000}">
      <formula1>套综用途</formula1>
    </dataValidation>
    <dataValidation type="list" allowBlank="1" showInputMessage="1" showErrorMessage="1" sqref="C8 E8 G8 I8" xr:uid="{00000000-0002-0000-2E00-000011000000}">
      <formula1>套综交易情况</formula1>
    </dataValidation>
    <dataValidation type="list" allowBlank="1" showInputMessage="1" showErrorMessage="1" sqref="B46" xr:uid="{00000000-0002-0000-2E00-000012000000}">
      <formula1>单价内涵</formula1>
    </dataValidation>
    <dataValidation type="list" allowBlank="1" showInputMessage="1" showErrorMessage="1" sqref="C26 E26 G26 I26" xr:uid="{00000000-0002-0000-2E00-000013000000}">
      <formula1>环境</formula1>
    </dataValidation>
    <dataValidation type="list" allowBlank="1" showInputMessage="1" showErrorMessage="1" sqref="E16 G16 I16 C16" xr:uid="{00000000-0002-0000-2E00-000014000000}">
      <formula1>居住社区成熟度</formula1>
    </dataValidation>
    <dataValidation type="list" allowBlank="1" showInputMessage="1" showErrorMessage="1" sqref="E22 C22 G22 I22" xr:uid="{00000000-0002-0000-2E00-000015000000}">
      <formula1>交通便捷度</formula1>
    </dataValidation>
    <dataValidation type="list" allowBlank="1" showInputMessage="1" showErrorMessage="1" sqref="E28 C28 G28 I28" xr:uid="{00000000-0002-0000-2E00-000016000000}">
      <formula1>公共配套设施</formula1>
    </dataValidation>
    <dataValidation type="list" allowBlank="1" showInputMessage="1" showErrorMessage="1" sqref="C25" xr:uid="{00000000-0002-0000-2E00-000017000000}">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S4"/>
  <sheetViews>
    <sheetView workbookViewId="0">
      <selection activeCell="H21" sqref="H21"/>
    </sheetView>
  </sheetViews>
  <sheetFormatPr defaultRowHeight="14.4"/>
  <cols>
    <col min="1" max="1" width="38.44140625" customWidth="1"/>
    <col min="3" max="3" width="14" customWidth="1"/>
  </cols>
  <sheetData>
    <row r="1" spans="1:45" s="1614" customFormat="1">
      <c r="A1" s="1614" t="s">
        <v>3324</v>
      </c>
      <c r="B1" s="1614" t="s">
        <v>3325</v>
      </c>
      <c r="C1" s="1614" t="s">
        <v>3326</v>
      </c>
      <c r="D1" s="1614" t="s">
        <v>3475</v>
      </c>
      <c r="E1" s="1614" t="s">
        <v>3476</v>
      </c>
      <c r="F1" s="1614" t="s">
        <v>3477</v>
      </c>
      <c r="G1" s="1614" t="s">
        <v>3330</v>
      </c>
      <c r="H1" s="1614" t="s">
        <v>3478</v>
      </c>
      <c r="I1" s="1614" t="s">
        <v>3479</v>
      </c>
      <c r="J1" s="1614" t="s">
        <v>3327</v>
      </c>
      <c r="K1" s="1614" t="s">
        <v>3328</v>
      </c>
      <c r="L1" s="1614" t="s">
        <v>3329</v>
      </c>
      <c r="M1" s="1614" t="s">
        <v>3480</v>
      </c>
      <c r="N1" s="1614" t="s">
        <v>3481</v>
      </c>
      <c r="O1" s="1614" t="s">
        <v>3482</v>
      </c>
      <c r="P1" s="1614" t="s">
        <v>3483</v>
      </c>
      <c r="Q1" s="1614" t="s">
        <v>3484</v>
      </c>
      <c r="R1" s="1614" t="s">
        <v>3485</v>
      </c>
      <c r="S1" s="1614" t="s">
        <v>3486</v>
      </c>
      <c r="T1" s="1614" t="s">
        <v>3487</v>
      </c>
      <c r="U1" s="1614" t="s">
        <v>3488</v>
      </c>
      <c r="V1" s="1614" t="s">
        <v>3489</v>
      </c>
      <c r="W1" s="1614" t="s">
        <v>3490</v>
      </c>
      <c r="X1" s="1614" t="s">
        <v>3491</v>
      </c>
      <c r="Y1" s="1614" t="s">
        <v>3492</v>
      </c>
      <c r="Z1" s="1614" t="s">
        <v>3331</v>
      </c>
      <c r="AA1" s="1614" t="s">
        <v>3493</v>
      </c>
      <c r="AB1" s="1614" t="s">
        <v>3494</v>
      </c>
      <c r="AC1" s="1614" t="s">
        <v>3495</v>
      </c>
      <c r="AD1" s="1614" t="s">
        <v>3336</v>
      </c>
      <c r="AE1" s="1614" t="s">
        <v>3496</v>
      </c>
      <c r="AF1" s="1614" t="s">
        <v>3332</v>
      </c>
      <c r="AG1" s="1614" t="s">
        <v>3333</v>
      </c>
      <c r="AH1" s="1614" t="s">
        <v>3497</v>
      </c>
      <c r="AI1" s="1614" t="s">
        <v>3498</v>
      </c>
      <c r="AJ1" s="1614" t="s">
        <v>3499</v>
      </c>
      <c r="AK1" s="1614" t="s">
        <v>3334</v>
      </c>
      <c r="AL1" s="1614" t="s">
        <v>3500</v>
      </c>
      <c r="AM1" s="1614" t="s">
        <v>3501</v>
      </c>
      <c r="AN1" s="1614" t="s">
        <v>3335</v>
      </c>
      <c r="AO1" s="1614" t="s">
        <v>3502</v>
      </c>
      <c r="AP1" s="1614" t="s">
        <v>3503</v>
      </c>
      <c r="AQ1" s="1614" t="s">
        <v>3504</v>
      </c>
      <c r="AR1" s="1614" t="s">
        <v>3505</v>
      </c>
      <c r="AS1" s="1614" t="s">
        <v>3337</v>
      </c>
    </row>
    <row r="2" spans="1:45" s="3418" customFormat="1">
      <c r="A2" s="3418" t="s">
        <v>3435</v>
      </c>
      <c r="B2" s="3418" t="s">
        <v>3436</v>
      </c>
      <c r="C2" s="3418" t="s">
        <v>3338</v>
      </c>
      <c r="D2" s="3418" t="s">
        <v>3437</v>
      </c>
      <c r="E2" s="3418" t="s">
        <v>1320</v>
      </c>
      <c r="F2" s="3418" t="s">
        <v>3435</v>
      </c>
      <c r="G2" s="3418" t="s">
        <v>3438</v>
      </c>
      <c r="H2" s="3418" t="s">
        <v>3439</v>
      </c>
      <c r="I2" s="3418" t="s">
        <v>3440</v>
      </c>
      <c r="J2" s="3418">
        <v>18102.36</v>
      </c>
      <c r="K2" s="3418">
        <v>108614</v>
      </c>
      <c r="L2" s="3418" t="s">
        <v>3441</v>
      </c>
      <c r="M2" s="3418" t="s">
        <v>1320</v>
      </c>
      <c r="N2" s="3418" t="s">
        <v>3442</v>
      </c>
      <c r="O2" s="3418" t="s">
        <v>3443</v>
      </c>
      <c r="P2" s="3418" t="s">
        <v>1320</v>
      </c>
      <c r="Q2" s="3418" t="s">
        <v>1320</v>
      </c>
      <c r="R2" s="3418" t="s">
        <v>1320</v>
      </c>
      <c r="S2" s="3418" t="s">
        <v>1320</v>
      </c>
      <c r="T2" s="3418" t="s">
        <v>1320</v>
      </c>
      <c r="U2" s="3418" t="s">
        <v>1320</v>
      </c>
      <c r="V2" s="3418" t="s">
        <v>1320</v>
      </c>
      <c r="W2" s="3418" t="s">
        <v>3444</v>
      </c>
      <c r="X2" s="3418" t="s">
        <v>3445</v>
      </c>
      <c r="Y2" s="3418" t="s">
        <v>3446</v>
      </c>
      <c r="Z2" s="3418" t="s">
        <v>3446</v>
      </c>
      <c r="AA2" s="3418" t="s">
        <v>3446</v>
      </c>
      <c r="AB2" s="3418" t="s">
        <v>3439</v>
      </c>
      <c r="AC2" s="3418" t="s">
        <v>3447</v>
      </c>
      <c r="AD2" s="3418" t="s">
        <v>3448</v>
      </c>
      <c r="AE2" s="3418">
        <v>27400</v>
      </c>
      <c r="AF2" s="3418">
        <v>136875.39000000001</v>
      </c>
      <c r="AG2" s="3418">
        <v>136875.39000000001</v>
      </c>
      <c r="AH2" s="3418">
        <v>5040.79</v>
      </c>
      <c r="AI2" s="3418">
        <v>5040.79</v>
      </c>
      <c r="AJ2" s="3418">
        <v>12602</v>
      </c>
      <c r="AK2" s="3418">
        <v>12602</v>
      </c>
      <c r="AL2" s="3418" t="s">
        <v>1320</v>
      </c>
      <c r="AM2" s="3418" t="s">
        <v>1320</v>
      </c>
      <c r="AN2" s="3418">
        <v>0</v>
      </c>
      <c r="AO2" s="3418" t="s">
        <v>3449</v>
      </c>
      <c r="AP2" s="3418" t="s">
        <v>1320</v>
      </c>
      <c r="AQ2" s="3418" t="s">
        <v>1320</v>
      </c>
      <c r="AR2" s="3418" t="s">
        <v>1320</v>
      </c>
      <c r="AS2" s="3418" t="s">
        <v>3340</v>
      </c>
    </row>
    <row r="3" spans="1:45" s="3418" customFormat="1">
      <c r="A3" s="3418" t="s">
        <v>3450</v>
      </c>
      <c r="B3" s="3418" t="s">
        <v>3436</v>
      </c>
      <c r="C3" s="3418" t="s">
        <v>3338</v>
      </c>
      <c r="D3" s="3418" t="s">
        <v>3451</v>
      </c>
      <c r="E3" s="3418" t="s">
        <v>1320</v>
      </c>
      <c r="F3" s="3418" t="s">
        <v>3450</v>
      </c>
      <c r="G3" s="3418" t="s">
        <v>3339</v>
      </c>
      <c r="H3" s="3418" t="s">
        <v>3452</v>
      </c>
      <c r="I3" s="3418" t="s">
        <v>3453</v>
      </c>
      <c r="J3" s="3418">
        <v>5998</v>
      </c>
      <c r="K3" s="3418">
        <v>23992</v>
      </c>
      <c r="L3" s="3418" t="s">
        <v>3454</v>
      </c>
      <c r="M3" s="3418" t="s">
        <v>1320</v>
      </c>
      <c r="N3" s="3418" t="s">
        <v>3455</v>
      </c>
      <c r="O3" s="3418" t="s">
        <v>3456</v>
      </c>
      <c r="P3" s="3418" t="s">
        <v>1320</v>
      </c>
      <c r="Q3" s="3418" t="s">
        <v>1320</v>
      </c>
      <c r="R3" s="3418" t="s">
        <v>1320</v>
      </c>
      <c r="S3" s="3418" t="s">
        <v>1320</v>
      </c>
      <c r="T3" s="3418" t="s">
        <v>1320</v>
      </c>
      <c r="U3" s="3418" t="s">
        <v>1320</v>
      </c>
      <c r="V3" s="3418" t="s">
        <v>1320</v>
      </c>
      <c r="W3" s="3418" t="s">
        <v>3457</v>
      </c>
      <c r="X3" s="3418" t="s">
        <v>3458</v>
      </c>
      <c r="Y3" s="3418" t="s">
        <v>3459</v>
      </c>
      <c r="Z3" s="3418" t="s">
        <v>3460</v>
      </c>
      <c r="AA3" s="3418" t="s">
        <v>3460</v>
      </c>
      <c r="AB3" s="3418" t="s">
        <v>3461</v>
      </c>
      <c r="AC3" s="3418" t="s">
        <v>3447</v>
      </c>
      <c r="AD3" s="3418" t="s">
        <v>3462</v>
      </c>
      <c r="AE3" s="3418">
        <v>6000</v>
      </c>
      <c r="AF3" s="3418">
        <v>29510.15</v>
      </c>
      <c r="AG3" s="3418">
        <v>29510.15</v>
      </c>
      <c r="AH3" s="3418">
        <v>3280</v>
      </c>
      <c r="AI3" s="3418">
        <v>3280</v>
      </c>
      <c r="AJ3" s="3418">
        <v>12300</v>
      </c>
      <c r="AK3" s="3418">
        <v>12300</v>
      </c>
      <c r="AL3" s="3418" t="s">
        <v>1320</v>
      </c>
      <c r="AM3" s="3418" t="s">
        <v>1320</v>
      </c>
      <c r="AN3" s="3418">
        <v>0</v>
      </c>
      <c r="AO3" s="3418" t="s">
        <v>3463</v>
      </c>
      <c r="AP3" s="3418" t="s">
        <v>1320</v>
      </c>
      <c r="AQ3" s="3418" t="s">
        <v>1320</v>
      </c>
      <c r="AR3" s="3418" t="s">
        <v>1320</v>
      </c>
      <c r="AS3" s="3418" t="s">
        <v>3340</v>
      </c>
    </row>
    <row r="4" spans="1:45" s="3418" customFormat="1">
      <c r="A4" s="3418" t="s">
        <v>3464</v>
      </c>
      <c r="B4" s="3418" t="s">
        <v>3436</v>
      </c>
      <c r="C4" s="3418" t="s">
        <v>3338</v>
      </c>
      <c r="D4" s="3418" t="s">
        <v>3451</v>
      </c>
      <c r="E4" s="3418" t="s">
        <v>1320</v>
      </c>
      <c r="F4" s="3418" t="s">
        <v>3464</v>
      </c>
      <c r="G4" s="3418" t="s">
        <v>3339</v>
      </c>
      <c r="H4" s="3418" t="s">
        <v>3465</v>
      </c>
      <c r="I4" s="3418" t="s">
        <v>3466</v>
      </c>
      <c r="J4" s="3418">
        <v>6505.68</v>
      </c>
      <c r="K4" s="3418">
        <v>29275</v>
      </c>
      <c r="L4" s="3418" t="s">
        <v>3467</v>
      </c>
      <c r="M4" s="3418" t="s">
        <v>1320</v>
      </c>
      <c r="N4" s="3418" t="s">
        <v>3442</v>
      </c>
      <c r="O4" s="3418" t="s">
        <v>3468</v>
      </c>
      <c r="P4" s="3418" t="s">
        <v>1320</v>
      </c>
      <c r="Q4" s="3418" t="s">
        <v>1320</v>
      </c>
      <c r="R4" s="3418" t="s">
        <v>1320</v>
      </c>
      <c r="S4" s="3418" t="s">
        <v>1320</v>
      </c>
      <c r="T4" s="3418" t="s">
        <v>3469</v>
      </c>
      <c r="U4" s="3418" t="s">
        <v>1320</v>
      </c>
      <c r="V4" s="3418" t="s">
        <v>1320</v>
      </c>
      <c r="W4" s="3418" t="s">
        <v>3444</v>
      </c>
      <c r="X4" s="3418" t="s">
        <v>3470</v>
      </c>
      <c r="Y4" s="3418" t="s">
        <v>3471</v>
      </c>
      <c r="Z4" s="3418" t="s">
        <v>3472</v>
      </c>
      <c r="AA4" s="3418" t="s">
        <v>3472</v>
      </c>
      <c r="AB4" s="3418" t="s">
        <v>3473</v>
      </c>
      <c r="AC4" s="3418" t="s">
        <v>3447</v>
      </c>
      <c r="AD4" s="3418" t="s">
        <v>3474</v>
      </c>
      <c r="AE4" s="3418">
        <v>6210</v>
      </c>
      <c r="AF4" s="3418">
        <v>31031.5</v>
      </c>
      <c r="AG4" s="3418">
        <v>31031.5</v>
      </c>
      <c r="AH4" s="3418">
        <v>3179.94</v>
      </c>
      <c r="AI4" s="3418">
        <v>3179.94</v>
      </c>
      <c r="AJ4" s="3418">
        <v>10600</v>
      </c>
      <c r="AK4" s="3418">
        <v>10600</v>
      </c>
      <c r="AL4" s="3418" t="s">
        <v>1320</v>
      </c>
      <c r="AM4" s="3418" t="s">
        <v>1320</v>
      </c>
      <c r="AN4" s="3418">
        <v>0</v>
      </c>
      <c r="AO4" s="3418" t="s">
        <v>3449</v>
      </c>
      <c r="AP4" s="3418" t="s">
        <v>1320</v>
      </c>
      <c r="AQ4" s="3418" t="s">
        <v>1320</v>
      </c>
      <c r="AR4" s="3418" t="s">
        <v>1320</v>
      </c>
      <c r="AS4" s="3418" t="s">
        <v>3340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I57"/>
  <sheetViews>
    <sheetView workbookViewId="0">
      <selection activeCell="B3" sqref="B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2309</v>
      </c>
      <c r="B1" s="1914" t="s">
        <v>3350</v>
      </c>
      <c r="C1" s="242"/>
      <c r="D1" s="242"/>
      <c r="E1" s="242"/>
      <c r="F1" s="242"/>
      <c r="G1" s="1360">
        <f>MATCH(B1,'数据-取费表'!A6:A16,0)+5</f>
        <v>11</v>
      </c>
    </row>
    <row r="2" spans="1:9" s="244" customFormat="1" ht="18" customHeight="1">
      <c r="A2" s="245" t="s">
        <v>2310</v>
      </c>
      <c r="B2" s="246">
        <f ca="1">IF(D2="——",C52,C52-E2)</f>
        <v>126606</v>
      </c>
      <c r="C2" s="243" t="s">
        <v>2311</v>
      </c>
      <c r="D2" s="2517" t="s">
        <v>70</v>
      </c>
      <c r="E2" s="1420" t="e">
        <f ca="1">SUMIF(INDIRECT("'"&amp;G2&amp;"'"&amp;"!A:A"),"承租人权益价值",INDIRECT("'"&amp;G2&amp;"'"&amp;"!c:c"))</f>
        <v>#REF!</v>
      </c>
      <c r="F2" s="2518" t="s">
        <v>2311</v>
      </c>
      <c r="G2" s="2519"/>
    </row>
    <row r="3" spans="1:9" s="244" customFormat="1" ht="18" customHeight="1" thickBot="1">
      <c r="A3" s="247" t="s">
        <v>2312</v>
      </c>
      <c r="B3" s="248">
        <f ca="1">ROUND(B2*10000/(IF(B1="",'数据-汇总表'!E3,INDIRECT("'数据-取费表'!k"&amp;$G$1))),0)</f>
        <v>31972</v>
      </c>
      <c r="C3" s="243" t="s">
        <v>2313</v>
      </c>
      <c r="D3" s="243"/>
      <c r="E3" s="243"/>
      <c r="F3" s="243"/>
      <c r="G3" s="243"/>
    </row>
    <row r="4" spans="1:9" s="252" customFormat="1" ht="16.2">
      <c r="A4" s="249" t="s">
        <v>2314</v>
      </c>
      <c r="B4" s="250"/>
      <c r="C4" s="250"/>
      <c r="D4" s="250"/>
      <c r="E4" s="250"/>
      <c r="F4" s="250"/>
      <c r="G4" s="251"/>
    </row>
    <row r="5" spans="1:9" s="258" customFormat="1" ht="13.5" customHeight="1">
      <c r="A5" s="299" t="s">
        <v>782</v>
      </c>
      <c r="B5" s="254" t="s">
        <v>2316</v>
      </c>
      <c r="C5" s="255">
        <f ca="1">C6+C7+C8</f>
        <v>53544</v>
      </c>
      <c r="D5" s="255" t="s">
        <v>2317</v>
      </c>
      <c r="E5" s="256" t="s">
        <v>2318</v>
      </c>
      <c r="F5" s="256" t="s">
        <v>2319</v>
      </c>
      <c r="G5" s="257"/>
    </row>
    <row r="6" spans="1:9" s="258" customFormat="1" ht="13.5" customHeight="1">
      <c r="A6" s="938" t="s">
        <v>2320</v>
      </c>
      <c r="B6" s="259" t="s">
        <v>2321</v>
      </c>
      <c r="C6" s="260">
        <f>ROUND('土地比较法-住宅、综合'!C47*'土地比较法-住宅、综合'!D3/10000,0)</f>
        <v>51113</v>
      </c>
      <c r="D6" s="261"/>
      <c r="E6" s="262"/>
      <c r="F6" s="262"/>
      <c r="G6" s="263"/>
    </row>
    <row r="7" spans="1:9" s="258" customFormat="1" ht="13.5" customHeight="1">
      <c r="A7" s="938" t="s">
        <v>792</v>
      </c>
      <c r="B7" s="259" t="s">
        <v>2323</v>
      </c>
      <c r="C7" s="264">
        <f>ROUND(C6*F7,0)</f>
        <v>1559</v>
      </c>
      <c r="D7" s="264"/>
      <c r="E7" s="262"/>
      <c r="F7" s="265">
        <f>IF(项目基本情况!B8="出让",0,'数据-取费表'!B48+'数据-取费表'!B49)</f>
        <v>3.0499999999999999E-2</v>
      </c>
      <c r="G7" s="263"/>
    </row>
    <row r="8" spans="1:9" s="267" customFormat="1">
      <c r="A8" s="938" t="s">
        <v>2324</v>
      </c>
      <c r="B8" s="259" t="s">
        <v>2325</v>
      </c>
      <c r="C8" s="264">
        <f ca="1">IF(G8="已包含在土地购买价格中","0",IF(B1="",'数据-取费表'!B29,IF(G9="全部缴纳",C9+C10,H9)))</f>
        <v>872</v>
      </c>
      <c r="D8" s="266"/>
      <c r="E8" s="264"/>
      <c r="F8" s="265"/>
      <c r="G8" s="2520" t="s">
        <v>3343</v>
      </c>
    </row>
    <row r="9" spans="1:9" s="258" customFormat="1" ht="13.5" customHeight="1">
      <c r="A9" s="939" t="s">
        <v>800</v>
      </c>
      <c r="B9" s="268" t="s">
        <v>2326</v>
      </c>
      <c r="C9" s="269">
        <f ca="1">ROUND(D9*E9/10000,0)</f>
        <v>0</v>
      </c>
      <c r="D9" s="1021">
        <f ca="1">IF(B1="",'数据-汇总表'!E5,IF(INDIRECT("'数据-取费表'!c"&amp;$G$1)="住宅",INDIRECT("'数据-取费表'!k"&amp;$G$1),0))</f>
        <v>0</v>
      </c>
      <c r="E9" s="269">
        <f>'数据-取费表'!B27</f>
        <v>220</v>
      </c>
      <c r="F9" s="265"/>
      <c r="G9" s="2521" t="s">
        <v>3344</v>
      </c>
      <c r="H9" s="1370"/>
      <c r="I9" s="2522" t="s">
        <v>2327</v>
      </c>
    </row>
    <row r="10" spans="1:9" s="258" customFormat="1" ht="13.5" customHeight="1">
      <c r="A10" s="939" t="s">
        <v>801</v>
      </c>
      <c r="B10" s="268" t="s">
        <v>2328</v>
      </c>
      <c r="C10" s="269">
        <f ca="1">ROUND(D10*E10/10000,0)</f>
        <v>872</v>
      </c>
      <c r="D10" s="1021">
        <f ca="1">IF(B1="",'数据-汇总表'!E6,IF(INDIRECT("'数据-取费表'!c"&amp;$G$1)="住宅",INDIRECT("'数据-取费表'!s"&amp;$G$1),INDIRECT("'数据-取费表'!k"&amp;$G$1)+INDIRECT("'数据-取费表'!s"&amp;$G$1)))</f>
        <v>39633.210000000006</v>
      </c>
      <c r="E10" s="269">
        <f>'数据-取费表'!B28</f>
        <v>220</v>
      </c>
      <c r="F10" s="265"/>
      <c r="G10" s="270"/>
    </row>
    <row r="11" spans="1:9" s="258" customFormat="1" ht="13.5" hidden="1" customHeight="1">
      <c r="A11" s="271" t="s">
        <v>7</v>
      </c>
      <c r="B11" s="259" t="s">
        <v>2329</v>
      </c>
      <c r="C11" s="255"/>
      <c r="D11" s="1023"/>
      <c r="E11" s="262"/>
      <c r="F11" s="262"/>
      <c r="G11" s="263"/>
    </row>
    <row r="12" spans="1:9" s="258" customFormat="1" ht="13.5" hidden="1" customHeight="1">
      <c r="A12" s="271" t="s">
        <v>8</v>
      </c>
      <c r="B12" s="259" t="s">
        <v>2330</v>
      </c>
      <c r="C12" s="255">
        <v>0</v>
      </c>
      <c r="D12" s="1023"/>
      <c r="E12" s="272"/>
      <c r="F12" s="265">
        <v>3.0499999999999999E-2</v>
      </c>
      <c r="G12" s="263"/>
    </row>
    <row r="13" spans="1:9" s="258" customFormat="1" ht="13.5" hidden="1" customHeight="1">
      <c r="A13" s="271" t="s">
        <v>9</v>
      </c>
      <c r="B13" s="259" t="s">
        <v>2331</v>
      </c>
      <c r="C13" s="255"/>
      <c r="D13" s="1023"/>
      <c r="E13" s="262"/>
      <c r="F13" s="262"/>
      <c r="G13" s="263"/>
    </row>
    <row r="14" spans="1:9" s="258" customFormat="1" ht="13.5" hidden="1" customHeight="1">
      <c r="A14" s="271" t="s">
        <v>10</v>
      </c>
      <c r="B14" s="259" t="s">
        <v>2332</v>
      </c>
      <c r="C14" s="255"/>
      <c r="D14" s="1023"/>
      <c r="E14" s="262"/>
      <c r="F14" s="262"/>
      <c r="G14" s="263" t="s">
        <v>2333</v>
      </c>
    </row>
    <row r="15" spans="1:9" s="258" customFormat="1" ht="13.5" hidden="1" customHeight="1">
      <c r="A15" s="271" t="s">
        <v>11</v>
      </c>
      <c r="B15" s="259" t="s">
        <v>2334</v>
      </c>
      <c r="C15" s="264"/>
      <c r="D15" s="1023"/>
      <c r="E15" s="262"/>
      <c r="F15" s="262"/>
      <c r="G15" s="263" t="s">
        <v>2335</v>
      </c>
    </row>
    <row r="16" spans="1:9" s="258" customFormat="1" ht="13.5" hidden="1" customHeight="1">
      <c r="A16" s="271" t="s">
        <v>12</v>
      </c>
      <c r="B16" s="259" t="s">
        <v>2332</v>
      </c>
      <c r="C16" s="264"/>
      <c r="D16" s="1023"/>
      <c r="E16" s="262"/>
      <c r="F16" s="262"/>
      <c r="G16" s="263"/>
    </row>
    <row r="17" spans="1:7" s="258" customFormat="1" ht="13.5" hidden="1" customHeight="1">
      <c r="A17" s="271" t="s">
        <v>13</v>
      </c>
      <c r="B17" s="259" t="s">
        <v>2336</v>
      </c>
      <c r="C17" s="273"/>
      <c r="D17" s="1024"/>
      <c r="E17" s="273"/>
      <c r="F17" s="273"/>
      <c r="G17" s="263" t="s">
        <v>2335</v>
      </c>
    </row>
    <row r="18" spans="1:7" s="258" customFormat="1" ht="13.5" hidden="1" customHeight="1">
      <c r="A18" s="271" t="s">
        <v>14</v>
      </c>
      <c r="B18" s="259" t="s">
        <v>2337</v>
      </c>
      <c r="C18" s="264">
        <v>0</v>
      </c>
      <c r="D18" s="1023"/>
      <c r="E18" s="262"/>
      <c r="F18" s="265">
        <v>3.0499999999999999E-2</v>
      </c>
      <c r="G18" s="263" t="s">
        <v>2338</v>
      </c>
    </row>
    <row r="19" spans="1:7" s="267" customFormat="1" ht="13.5" customHeight="1">
      <c r="A19" s="299" t="s">
        <v>2339</v>
      </c>
      <c r="B19" s="254" t="s">
        <v>2340</v>
      </c>
      <c r="C19" s="255" t="str">
        <f>IF(G19="已包含在土地取得成本中","0",ROUND(D19*E19/10000,0))</f>
        <v>0</v>
      </c>
      <c r="D19" s="1025">
        <f ca="1">D9+D10</f>
        <v>39633.210000000006</v>
      </c>
      <c r="E19" s="255">
        <f>'数据-取费表'!B31</f>
        <v>200</v>
      </c>
      <c r="F19" s="275"/>
      <c r="G19" s="2520" t="s">
        <v>3345</v>
      </c>
    </row>
    <row r="20" spans="1:7" s="258" customFormat="1" ht="13.5" customHeight="1">
      <c r="A20" s="299" t="s">
        <v>2341</v>
      </c>
      <c r="B20" s="254" t="s">
        <v>2342</v>
      </c>
      <c r="C20" s="276">
        <f ca="1">ROUND((C5+C19)*F20,0)</f>
        <v>1071</v>
      </c>
      <c r="D20" s="276"/>
      <c r="E20" s="276"/>
      <c r="F20" s="277">
        <f>'数据-取费表'!B37</f>
        <v>0.02</v>
      </c>
      <c r="G20" s="278" t="s">
        <v>2343</v>
      </c>
    </row>
    <row r="21" spans="1:7" s="258" customFormat="1" ht="13.5" customHeight="1">
      <c r="A21" s="299" t="s">
        <v>2344</v>
      </c>
      <c r="B21" s="254" t="s">
        <v>2345</v>
      </c>
      <c r="C21" s="279">
        <f>F21</f>
        <v>0.02</v>
      </c>
      <c r="D21" s="280" t="s">
        <v>2346</v>
      </c>
      <c r="E21" s="276"/>
      <c r="F21" s="277">
        <f>'数据-取费表'!B38</f>
        <v>0.02</v>
      </c>
      <c r="G21" s="278" t="s">
        <v>2347</v>
      </c>
    </row>
    <row r="22" spans="1:7" s="258" customFormat="1" ht="13.5" customHeight="1">
      <c r="A22" s="299" t="s">
        <v>2348</v>
      </c>
      <c r="B22" s="254" t="s">
        <v>2349</v>
      </c>
      <c r="C22" s="1335">
        <f ca="1">ROUND(SUM(C23:C25),0)</f>
        <v>8075</v>
      </c>
      <c r="D22" s="279">
        <f ca="1">C26</f>
        <v>1.4E-3</v>
      </c>
      <c r="E22" s="280" t="s">
        <v>2346</v>
      </c>
      <c r="F22" s="281">
        <f ca="1">'数据-取费表'!B40</f>
        <v>4.7500000000000001E-2</v>
      </c>
      <c r="G22" s="278" t="str">
        <f>IF('数据-取费表'!B22&lt;=1,"单利计息","复利计息")</f>
        <v>复利计息</v>
      </c>
    </row>
    <row r="23" spans="1:7" s="258" customFormat="1" ht="13.5" customHeight="1">
      <c r="A23" s="940" t="s">
        <v>2350</v>
      </c>
      <c r="B23" s="259" t="s">
        <v>2351</v>
      </c>
      <c r="C23" s="1336">
        <f ca="1">ROUND(IF('数据-取费表'!B22&lt;=1,C5*F22*'数据-取费表'!B23,C5*(POWER((1+F22),'数据-取费表'!B23)-1)),0)</f>
        <v>7998</v>
      </c>
      <c r="D23" s="282"/>
      <c r="E23" s="282"/>
      <c r="F23" s="283"/>
      <c r="G23" s="284" t="s">
        <v>2352</v>
      </c>
    </row>
    <row r="24" spans="1:7" s="258" customFormat="1" ht="13.5" customHeight="1">
      <c r="A24" s="940" t="s">
        <v>792</v>
      </c>
      <c r="B24" s="259" t="s">
        <v>2354</v>
      </c>
      <c r="C24" s="1336">
        <f ca="1">ROUND(IF('数据-取费表'!B22&lt;=1,C19*F22*('数据-取费表'!B19/2+'数据-取费表'!B21),C19*(POWER((1+F22),('数据-取费表'!B19/2+'数据-取费表'!B21))-1)),0)</f>
        <v>0</v>
      </c>
      <c r="D24" s="282"/>
      <c r="E24" s="282"/>
      <c r="F24" s="283"/>
      <c r="G24" s="284" t="s">
        <v>2355</v>
      </c>
    </row>
    <row r="25" spans="1:7" s="258" customFormat="1" ht="24">
      <c r="A25" s="940" t="s">
        <v>2356</v>
      </c>
      <c r="B25" s="259" t="s">
        <v>2357</v>
      </c>
      <c r="C25" s="1336">
        <f ca="1">ROUND(IF('数据-取费表'!B22&lt;=1,C20*F22*'数据-取费表'!B23/2,C20*(POWER((1+F22),'数据-取费表'!B23/2)-1)),0)</f>
        <v>77</v>
      </c>
      <c r="D25" s="282"/>
      <c r="E25" s="285"/>
      <c r="F25" s="283"/>
      <c r="G25" s="286" t="s">
        <v>2358</v>
      </c>
    </row>
    <row r="26" spans="1:7" s="258" customFormat="1">
      <c r="A26" s="940" t="s">
        <v>795</v>
      </c>
      <c r="B26" s="259" t="s">
        <v>2359</v>
      </c>
      <c r="C26" s="282">
        <f ca="1">ROUND(IF('数据-取费表'!B22&lt;=1,F21*F22*'数据-取费表'!B23/2,F21*(POWER((1+F22),'数据-取费表'!B23/2)-1)),4)</f>
        <v>1.4E-3</v>
      </c>
      <c r="D26" s="282"/>
      <c r="E26" s="285"/>
      <c r="F26" s="283"/>
      <c r="G26" s="287"/>
    </row>
    <row r="27" spans="1:7" s="258" customFormat="1" ht="26.4">
      <c r="A27" s="299" t="s">
        <v>2360</v>
      </c>
      <c r="B27" s="288" t="s">
        <v>2361</v>
      </c>
      <c r="C27" s="289">
        <f ca="1">C28</f>
        <v>8192</v>
      </c>
      <c r="D27" s="279">
        <f ca="1">C29</f>
        <v>3.0000000000000001E-3</v>
      </c>
      <c r="E27" s="280" t="s">
        <v>2346</v>
      </c>
      <c r="F27" s="290">
        <f ca="1">IF(B1="",'数据-取费表'!Q16,INDIRECT("'数据-取费表'!q"&amp;$G$1))</f>
        <v>0.15</v>
      </c>
      <c r="G27" s="291" t="s">
        <v>2363</v>
      </c>
    </row>
    <row r="28" spans="1:7" s="258" customFormat="1" ht="13.5" customHeight="1">
      <c r="A28" s="940" t="s">
        <v>791</v>
      </c>
      <c r="B28" s="292" t="s">
        <v>2364</v>
      </c>
      <c r="C28" s="293">
        <f ca="1">ROUND((C5+C19+C20)*F27*'数据-取费表'!B21/'数据-取费表'!B20,0)</f>
        <v>8192</v>
      </c>
      <c r="D28" s="279"/>
      <c r="E28" s="280"/>
      <c r="F28" s="290"/>
      <c r="G28" s="291"/>
    </row>
    <row r="29" spans="1:7" s="258" customFormat="1" ht="13.5" customHeight="1">
      <c r="A29" s="940" t="s">
        <v>792</v>
      </c>
      <c r="B29" s="292" t="s">
        <v>2365</v>
      </c>
      <c r="C29" s="282">
        <f ca="1">ROUND(C21*F27*'数据-取费表'!B21/'数据-取费表'!B20,4)</f>
        <v>3.0000000000000001E-3</v>
      </c>
      <c r="D29" s="279"/>
      <c r="E29" s="280"/>
      <c r="F29" s="290"/>
      <c r="G29" s="291"/>
    </row>
    <row r="30" spans="1:7" s="258" customFormat="1" ht="13.5" customHeight="1">
      <c r="A30" s="299" t="s">
        <v>2366</v>
      </c>
      <c r="B30" s="254" t="s">
        <v>2367</v>
      </c>
      <c r="C30" s="279">
        <f>ROUND(F30/(1+'数据-取费表'!C42),4)</f>
        <v>5.33E-2</v>
      </c>
      <c r="D30" s="280" t="s">
        <v>2346</v>
      </c>
      <c r="E30" s="285"/>
      <c r="F30" s="281">
        <f>'数据-取费表'!B41</f>
        <v>5.6000000000000001E-2</v>
      </c>
      <c r="G30" s="278" t="s">
        <v>2368</v>
      </c>
    </row>
    <row r="31" spans="1:7" ht="16.5" customHeight="1">
      <c r="A31" s="253">
        <v>1</v>
      </c>
      <c r="B31" s="254" t="s">
        <v>2369</v>
      </c>
      <c r="C31" s="255">
        <f ca="1">ROUND((C5+C19+C20+C22+C27)/(1-C21-D22-D27-C30),0)</f>
        <v>76854</v>
      </c>
      <c r="D31" s="274"/>
      <c r="E31" s="255"/>
      <c r="F31" s="294"/>
      <c r="G31" s="278" t="s">
        <v>2370</v>
      </c>
    </row>
    <row r="32" spans="1:7" s="252" customFormat="1" ht="16.2">
      <c r="A32" s="296" t="s">
        <v>2371</v>
      </c>
      <c r="B32" s="297"/>
      <c r="C32" s="297"/>
      <c r="D32" s="297"/>
      <c r="E32" s="297"/>
      <c r="F32" s="297"/>
      <c r="G32" s="298"/>
    </row>
    <row r="33" spans="1:7" s="258" customFormat="1" ht="13.5" customHeight="1">
      <c r="A33" s="299" t="s">
        <v>782</v>
      </c>
      <c r="B33" s="254" t="s">
        <v>2372</v>
      </c>
      <c r="C33" s="300">
        <f ca="1">SUM(C34:C38)</f>
        <v>38749</v>
      </c>
      <c r="D33" s="276"/>
      <c r="E33" s="256"/>
      <c r="F33" s="285"/>
      <c r="G33" s="278"/>
    </row>
    <row r="34" spans="1:7" s="302" customFormat="1" ht="13.5" customHeight="1">
      <c r="A34" s="940" t="s">
        <v>791</v>
      </c>
      <c r="B34" s="259" t="s">
        <v>2373</v>
      </c>
      <c r="C34" s="264">
        <f ca="1">IF(B1="",IF(F34=100%,'数据-取费表'!M16,'数据-取费表'!O16),IF(F34=100%,INDIRECT("'数据-取费表'!m"&amp;$G$1)+INDIRECT("'数据-取费表'!t"&amp;$G$1),INDIRECT("'数据-取费表'!o"&amp;$G$1)+INDIRECT("'数据-取费表'!aq"&amp;$G$1)))</f>
        <v>35639</v>
      </c>
      <c r="D34" s="261"/>
      <c r="E34" s="264"/>
      <c r="F34" s="301">
        <f ca="1">IF('数据-取费表'!B24=0,1,IF(B1="",'数据-取费表'!N16,INDIRECT("'数据-取费表'!n"&amp;$G$1)))</f>
        <v>1</v>
      </c>
      <c r="G34" s="263" t="s">
        <v>2374</v>
      </c>
    </row>
    <row r="35" spans="1:7" ht="13.5" customHeight="1">
      <c r="A35" s="940" t="s">
        <v>796</v>
      </c>
      <c r="B35" s="259" t="s">
        <v>2375</v>
      </c>
      <c r="C35" s="264">
        <f ca="1">ROUND(C34*F35,0)</f>
        <v>1782</v>
      </c>
      <c r="D35" s="264"/>
      <c r="E35" s="264"/>
      <c r="F35" s="303">
        <f>'数据-取费表'!B33</f>
        <v>0.05</v>
      </c>
      <c r="G35" s="263" t="s">
        <v>2376</v>
      </c>
    </row>
    <row r="36" spans="1:7" ht="24">
      <c r="A36" s="940"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40" t="s">
        <v>798</v>
      </c>
      <c r="B37" s="259" t="s">
        <v>2379</v>
      </c>
      <c r="C37" s="293">
        <f ca="1">ROUND(E37*D37*F34/10000,0)</f>
        <v>793</v>
      </c>
      <c r="D37" s="261">
        <f ca="1">D19</f>
        <v>39633.210000000006</v>
      </c>
      <c r="E37" s="293">
        <f>'数据-取费表'!B35</f>
        <v>200</v>
      </c>
      <c r="F37" s="303"/>
      <c r="G37" s="305" t="s">
        <v>2380</v>
      </c>
    </row>
    <row r="38" spans="1:7" ht="13.5" customHeight="1">
      <c r="A38" s="940" t="s">
        <v>799</v>
      </c>
      <c r="B38" s="259" t="s">
        <v>2381</v>
      </c>
      <c r="C38" s="264">
        <f ca="1">ROUND(C34*F38,0)</f>
        <v>535</v>
      </c>
      <c r="D38" s="264"/>
      <c r="E38" s="264"/>
      <c r="F38" s="303">
        <f>'数据-取费表'!B36</f>
        <v>1.4999999999999999E-2</v>
      </c>
      <c r="G38" s="263" t="s">
        <v>2376</v>
      </c>
    </row>
    <row r="39" spans="1:7" s="258" customFormat="1" ht="13.5" customHeight="1">
      <c r="A39" s="299" t="s">
        <v>2382</v>
      </c>
      <c r="B39" s="254" t="s">
        <v>2383</v>
      </c>
      <c r="C39" s="276">
        <f ca="1">ROUND(C33*F20,0)</f>
        <v>775</v>
      </c>
      <c r="D39" s="276"/>
      <c r="E39" s="276"/>
      <c r="F39" s="277"/>
      <c r="G39" s="278" t="s">
        <v>2384</v>
      </c>
    </row>
    <row r="40" spans="1:7" s="258" customFormat="1" ht="13.5" customHeight="1">
      <c r="A40" s="299" t="s">
        <v>2341</v>
      </c>
      <c r="B40" s="254" t="s">
        <v>2386</v>
      </c>
      <c r="C40" s="1707">
        <f>F21</f>
        <v>0.02</v>
      </c>
      <c r="D40" s="280" t="s">
        <v>2387</v>
      </c>
      <c r="E40" s="276"/>
      <c r="F40" s="277"/>
      <c r="G40" s="278" t="s">
        <v>2388</v>
      </c>
    </row>
    <row r="41" spans="1:7" s="258" customFormat="1" ht="13.5" customHeight="1">
      <c r="A41" s="299" t="s">
        <v>2344</v>
      </c>
      <c r="B41" s="254" t="s">
        <v>2390</v>
      </c>
      <c r="C41" s="276">
        <f ca="1">ROUND(SUM(C42:C43),0)</f>
        <v>2849</v>
      </c>
      <c r="D41" s="279">
        <f ca="1">C44</f>
        <v>1.4E-3</v>
      </c>
      <c r="E41" s="280" t="s">
        <v>2387</v>
      </c>
      <c r="F41" s="281"/>
      <c r="G41" s="278" t="str">
        <f>IF('数据-取费表'!B22&lt;=1,"单利计息","复利计息")</f>
        <v>复利计息</v>
      </c>
    </row>
    <row r="42" spans="1:7" ht="13.5" customHeight="1">
      <c r="A42" s="940" t="s">
        <v>791</v>
      </c>
      <c r="B42" s="259" t="s">
        <v>2391</v>
      </c>
      <c r="C42" s="282">
        <f ca="1">ROUND(IF('数据-取费表'!B22&lt;=1,C33*F22*'数据-取费表'!B21/2,C33*(POWER((1+F22),'数据-取费表'!B21/2)-1)),0)</f>
        <v>2793</v>
      </c>
      <c r="D42" s="282"/>
      <c r="E42" s="282"/>
      <c r="F42" s="283"/>
      <c r="G42" s="3639" t="s">
        <v>2392</v>
      </c>
    </row>
    <row r="43" spans="1:7" ht="13.5" customHeight="1">
      <c r="A43" s="940" t="s">
        <v>792</v>
      </c>
      <c r="B43" s="259" t="s">
        <v>2354</v>
      </c>
      <c r="C43" s="282">
        <f ca="1">ROUND(IF('数据-取费表'!B22&lt;=1,C39*F22*'数据-取费表'!B21/2,C39*(POWER((1+F22),'数据-取费表'!B21/2)-1)),0)</f>
        <v>56</v>
      </c>
      <c r="D43" s="282"/>
      <c r="E43" s="282"/>
      <c r="F43" s="283"/>
      <c r="G43" s="3640"/>
    </row>
    <row r="44" spans="1:7" ht="13.5" customHeight="1">
      <c r="A44" s="940" t="s">
        <v>793</v>
      </c>
      <c r="B44" s="259" t="s">
        <v>2394</v>
      </c>
      <c r="C44" s="282">
        <f ca="1">ROUND(IF('数据-取费表'!B22&lt;=1,C40*F22*'数据-取费表'!B21/2,C40*(POWER((1+F22),'数据-取费表'!B21/2)-1)),4)</f>
        <v>1.4E-3</v>
      </c>
      <c r="D44" s="282"/>
      <c r="E44" s="282"/>
      <c r="F44" s="283"/>
      <c r="G44" s="3641"/>
    </row>
    <row r="45" spans="1:7" s="258" customFormat="1" ht="13.5" customHeight="1">
      <c r="A45" s="299" t="s">
        <v>2348</v>
      </c>
      <c r="B45" s="288" t="s">
        <v>2361</v>
      </c>
      <c r="C45" s="289">
        <f ca="1">C46</f>
        <v>5929</v>
      </c>
      <c r="D45" s="279">
        <f ca="1">C47</f>
        <v>3.0000000000000001E-3</v>
      </c>
      <c r="E45" s="280" t="s">
        <v>2387</v>
      </c>
      <c r="F45" s="290"/>
      <c r="G45" s="291" t="s">
        <v>2396</v>
      </c>
    </row>
    <row r="46" spans="1:7" s="258" customFormat="1" ht="13.5" customHeight="1">
      <c r="A46" s="940" t="s">
        <v>791</v>
      </c>
      <c r="B46" s="292" t="s">
        <v>2397</v>
      </c>
      <c r="C46" s="293">
        <f ca="1">ROUND((C33+C39)*F27,0)</f>
        <v>5929</v>
      </c>
      <c r="D46" s="307"/>
      <c r="E46" s="280"/>
      <c r="F46" s="290"/>
      <c r="G46" s="291"/>
    </row>
    <row r="47" spans="1:7" s="258" customFormat="1" ht="13.5" customHeight="1">
      <c r="A47" s="940" t="s">
        <v>792</v>
      </c>
      <c r="B47" s="292" t="s">
        <v>2398</v>
      </c>
      <c r="C47" s="282">
        <f ca="1">ROUND(C40*F27,4)</f>
        <v>3.0000000000000001E-3</v>
      </c>
      <c r="D47" s="307"/>
      <c r="E47" s="280"/>
      <c r="F47" s="290"/>
      <c r="G47" s="291"/>
    </row>
    <row r="48" spans="1:7" s="258" customFormat="1" ht="13.5" customHeight="1">
      <c r="A48" s="299" t="s">
        <v>2360</v>
      </c>
      <c r="B48" s="254" t="s">
        <v>2399</v>
      </c>
      <c r="C48" s="1707">
        <f>ROUND(F30/(1+'数据-取费表'!C42),4)</f>
        <v>5.33E-2</v>
      </c>
      <c r="D48" s="280" t="s">
        <v>2387</v>
      </c>
      <c r="E48" s="276"/>
      <c r="F48" s="281"/>
      <c r="G48" s="278" t="s">
        <v>2400</v>
      </c>
    </row>
    <row r="49" spans="1:7" ht="16.5" customHeight="1">
      <c r="A49" s="299" t="s">
        <v>2366</v>
      </c>
      <c r="B49" s="254" t="s">
        <v>2401</v>
      </c>
      <c r="C49" s="276">
        <f ca="1">ROUND((C33+C39+C41+C45)/(1-C40-D41-D45-C48),0)</f>
        <v>52371</v>
      </c>
      <c r="D49" s="276"/>
      <c r="E49" s="276"/>
      <c r="F49" s="308"/>
      <c r="G49" s="278" t="s">
        <v>2402</v>
      </c>
    </row>
    <row r="50" spans="1:7" s="302" customFormat="1" ht="24">
      <c r="A50" s="299" t="s">
        <v>2403</v>
      </c>
      <c r="B50" s="254" t="s">
        <v>2404</v>
      </c>
      <c r="C50" s="276"/>
      <c r="D50" s="276"/>
      <c r="E50" s="276"/>
      <c r="F50" s="308">
        <f>IF('数据-取费表'!B24=0,'数据-取费表'!N16,1)</f>
        <v>0.95</v>
      </c>
      <c r="G50" s="291" t="s">
        <v>2405</v>
      </c>
    </row>
    <row r="51" spans="1:7" ht="16.5" customHeight="1">
      <c r="A51" s="299" t="s">
        <v>2406</v>
      </c>
      <c r="B51" s="254" t="s">
        <v>2407</v>
      </c>
      <c r="C51" s="276">
        <f ca="1">ROUND(C49*F50,0)</f>
        <v>49752</v>
      </c>
      <c r="D51" s="276"/>
      <c r="E51" s="276"/>
      <c r="F51" s="308"/>
      <c r="G51" s="278" t="s">
        <v>2408</v>
      </c>
    </row>
    <row r="52" spans="1:7" s="252" customFormat="1" ht="16.8" thickBot="1">
      <c r="A52" s="309" t="s">
        <v>2409</v>
      </c>
      <c r="B52" s="310"/>
      <c r="C52" s="311">
        <f ca="1">C31+C51</f>
        <v>126606</v>
      </c>
      <c r="D52" s="310"/>
      <c r="E52" s="310"/>
      <c r="F52" s="310"/>
      <c r="G52" s="312"/>
    </row>
    <row r="55" spans="1:7" ht="15">
      <c r="B55" s="314" t="s">
        <v>2410</v>
      </c>
      <c r="C55" s="315"/>
    </row>
    <row r="56" spans="1:7">
      <c r="B56" s="317" t="s">
        <v>1497</v>
      </c>
      <c r="C56" s="319">
        <f ca="1">1-C57</f>
        <v>0.60699999999999998</v>
      </c>
    </row>
    <row r="57" spans="1:7">
      <c r="B57" s="317" t="s">
        <v>1498</v>
      </c>
      <c r="C57" s="318">
        <f ca="1">ROUND(C51/C52,3)</f>
        <v>0.39300000000000002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D2" xr:uid="{00000000-0002-0000-3000-000000000000}">
      <formula1>"需扣减承租人权益,——"</formula1>
    </dataValidation>
    <dataValidation type="list" allowBlank="1" showInputMessage="1" showErrorMessage="1" sqref="G2" xr:uid="{00000000-0002-0000-3000-000001000000}">
      <formula1>估价方法</formula1>
    </dataValidation>
    <dataValidation type="list" allowBlank="1" showInputMessage="1" showErrorMessage="1" sqref="G9" xr:uid="{00000000-0002-0000-3000-000002000000}">
      <formula1>"部分缴纳,全部缴纳"</formula1>
    </dataValidation>
    <dataValidation type="list" allowBlank="1" showInputMessage="1" showErrorMessage="1" sqref="B1" xr:uid="{00000000-0002-0000-3000-000003000000}">
      <formula1>项目类型</formula1>
    </dataValidation>
    <dataValidation type="list" allowBlank="1" showInputMessage="1" showErrorMessage="1" sqref="G19" xr:uid="{00000000-0002-0000-3000-000004000000}">
      <formula1>"已包含在土地取得成本中,未包含在土地取得成本中"</formula1>
    </dataValidation>
    <dataValidation type="list" allowBlank="1" showInputMessage="1" showErrorMessage="1" sqref="G8" xr:uid="{00000000-0002-0000-30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2" customWidth="1"/>
    <col min="2" max="9" width="12.109375" style="1922" customWidth="1"/>
    <col min="10" max="16384" width="9" style="1922"/>
  </cols>
  <sheetData>
    <row r="1" spans="1:9" ht="18" thickBot="1">
      <c r="A1" s="3463" t="str">
        <f>IF(项目基本情况!B9="房地产市场价值","估价结果一览表","结果表-2")</f>
        <v>估价结果一览表</v>
      </c>
      <c r="B1" s="3463"/>
      <c r="C1" s="3463"/>
      <c r="D1" s="3463"/>
      <c r="E1" s="3463"/>
      <c r="F1" s="3463"/>
      <c r="G1" s="3463"/>
      <c r="H1" s="3463"/>
      <c r="I1" s="3463"/>
    </row>
    <row r="2" spans="1:9" ht="30" customHeight="1" thickTop="1">
      <c r="A2" s="3464" t="s">
        <v>1625</v>
      </c>
      <c r="B2" s="3464" t="s">
        <v>1626</v>
      </c>
      <c r="C2" s="3464" t="s">
        <v>1627</v>
      </c>
      <c r="D2" s="3464" t="str">
        <f>结果表商!D116</f>
        <v>出让国有建设用地使用权价值</v>
      </c>
      <c r="E2" s="3464"/>
      <c r="F2" s="3464" t="str">
        <f>结果表商!F116</f>
        <v>在建建筑物价值</v>
      </c>
      <c r="G2" s="3464"/>
      <c r="H2" s="3464" t="str">
        <f>IF(项目基本情况!B9="房地产市场价值","房地产市场价值","房地产价值")</f>
        <v>房地产市场价值</v>
      </c>
      <c r="I2" s="3464"/>
    </row>
    <row r="3" spans="1:9" ht="15.6">
      <c r="A3" s="3458"/>
      <c r="B3" s="3458"/>
      <c r="C3" s="3458"/>
      <c r="D3" s="1033" t="s">
        <v>1622</v>
      </c>
      <c r="E3" s="1033" t="s">
        <v>1628</v>
      </c>
      <c r="F3" s="1033" t="s">
        <v>1622</v>
      </c>
      <c r="G3" s="1033" t="s">
        <v>1623</v>
      </c>
      <c r="H3" s="1033" t="s">
        <v>1622</v>
      </c>
      <c r="I3" s="1033" t="s">
        <v>1623</v>
      </c>
    </row>
    <row r="4" spans="1:9" ht="30">
      <c r="A4" s="1950" t="str">
        <f>项目基本情况!S2</f>
        <v>四川省成都市青羊区西御街3号、5号房地产</v>
      </c>
      <c r="B4" s="1033">
        <f>项目基本情况!C17</f>
        <v>166451.09</v>
      </c>
      <c r="C4" s="1033">
        <f>项目基本情况!C18</f>
        <v>12224.89</v>
      </c>
      <c r="D4" s="1033">
        <f ca="1">结果表商!D118</f>
        <v>39242</v>
      </c>
      <c r="E4" s="1033">
        <f ca="1">结果表商!E118</f>
        <v>39424</v>
      </c>
      <c r="F4" s="1033">
        <f ca="1">结果表商!F118</f>
        <v>13932</v>
      </c>
      <c r="G4" s="1033">
        <f ca="1">结果表商!G118</f>
        <v>13997</v>
      </c>
      <c r="H4" s="1033">
        <f ca="1">结果表商!H118</f>
        <v>53174</v>
      </c>
      <c r="I4" s="1033">
        <f ca="1">结果表商!I118</f>
        <v>53421</v>
      </c>
    </row>
    <row r="5" spans="1:9" ht="30" customHeight="1">
      <c r="A5" s="3458" t="s">
        <v>1624</v>
      </c>
      <c r="B5" s="3458"/>
      <c r="C5" s="3458"/>
      <c r="D5" s="3459" t="str">
        <f ca="1">结果表商!D119</f>
        <v>叁亿玖仟贰佰肆拾贰万元整</v>
      </c>
      <c r="E5" s="3459"/>
      <c r="F5" s="3459" t="str">
        <f ca="1">结果表商!F119</f>
        <v>壹亿叁仟玖佰叁拾贰万元整</v>
      </c>
      <c r="G5" s="3459"/>
      <c r="H5" s="3459" t="str">
        <f ca="1">结果表商!H119</f>
        <v>伍亿叁仟壹佰柒拾肆万元整</v>
      </c>
      <c r="I5" s="3459"/>
    </row>
    <row r="6" spans="1:9" ht="15.6">
      <c r="A6" s="3457" t="str">
        <f>结果表商!A120</f>
        <v/>
      </c>
      <c r="B6" s="3457"/>
      <c r="C6" s="3457"/>
      <c r="D6" s="3457">
        <f>结果表商!D120</f>
        <v>0</v>
      </c>
      <c r="E6" s="3457"/>
      <c r="F6" s="3457"/>
      <c r="G6" s="3457"/>
      <c r="H6" s="3457"/>
      <c r="I6" s="3457"/>
    </row>
    <row r="7" spans="1:9" ht="15">
      <c r="A7" s="3458" t="s">
        <v>1624</v>
      </c>
      <c r="B7" s="3458"/>
      <c r="C7" s="3458"/>
      <c r="D7" s="3460" t="str">
        <f>结果表商!D121</f>
        <v>零元整</v>
      </c>
      <c r="E7" s="3461"/>
      <c r="F7" s="3461"/>
      <c r="G7" s="3461"/>
      <c r="H7" s="3461"/>
      <c r="I7" s="3462"/>
    </row>
    <row r="8" spans="1:9" ht="15.6">
      <c r="A8" s="3457" t="str">
        <f>结果表商!A122</f>
        <v/>
      </c>
      <c r="B8" s="3457"/>
      <c r="C8" s="3457"/>
      <c r="D8" s="3457">
        <f ca="1">结果表商!D122</f>
        <v>53174</v>
      </c>
      <c r="E8" s="3457"/>
      <c r="F8" s="3457"/>
      <c r="G8" s="3457"/>
      <c r="H8" s="3457"/>
      <c r="I8" s="3457"/>
    </row>
    <row r="9" spans="1:9" ht="15">
      <c r="A9" s="3458" t="s">
        <v>1624</v>
      </c>
      <c r="B9" s="3458"/>
      <c r="C9" s="3458"/>
      <c r="D9" s="3459" t="str">
        <f ca="1">结果表商!D123</f>
        <v>伍亿叁仟壹佰柒拾肆万元整</v>
      </c>
      <c r="E9" s="3459"/>
      <c r="F9" s="3459"/>
      <c r="G9" s="3459"/>
      <c r="H9" s="3459"/>
      <c r="I9" s="3459"/>
    </row>
    <row r="10" spans="1:9" ht="15.6">
      <c r="A10" s="3457" t="str">
        <f>结果表商!A124</f>
        <v/>
      </c>
      <c r="B10" s="3457"/>
      <c r="C10" s="3457"/>
      <c r="D10" s="3457" t="str">
        <f>结果表商!D124</f>
        <v>——</v>
      </c>
      <c r="E10" s="3457"/>
      <c r="F10" s="3457"/>
      <c r="G10" s="3457"/>
      <c r="H10" s="3457"/>
      <c r="I10" s="3457"/>
    </row>
    <row r="11" spans="1:9" ht="15">
      <c r="A11" s="3458" t="s">
        <v>1624</v>
      </c>
      <c r="B11" s="3458"/>
      <c r="C11" s="3458"/>
      <c r="D11" s="3459" t="e">
        <f>结果表商!D125</f>
        <v>#VALUE!</v>
      </c>
      <c r="E11" s="3459"/>
      <c r="F11" s="3459"/>
      <c r="G11" s="3459"/>
      <c r="H11" s="3459"/>
      <c r="I11" s="3459"/>
    </row>
    <row r="12" spans="1:9" ht="15.6">
      <c r="A12" s="3457" t="str">
        <f>结果表商!A126</f>
        <v/>
      </c>
      <c r="B12" s="3457"/>
      <c r="C12" s="3457"/>
      <c r="D12" s="3457" t="str">
        <f>结果表商!D126</f>
        <v>——</v>
      </c>
      <c r="E12" s="3457"/>
      <c r="F12" s="3457"/>
      <c r="G12" s="3457"/>
      <c r="H12" s="3457"/>
      <c r="I12" s="3457"/>
    </row>
    <row r="13" spans="1:9" ht="15.6" thickBot="1">
      <c r="A13" s="3454" t="s">
        <v>1624</v>
      </c>
      <c r="B13" s="3454"/>
      <c r="C13" s="3454"/>
      <c r="D13" s="3455" t="e">
        <f>结果表商!D127</f>
        <v>#VALUE!</v>
      </c>
      <c r="E13" s="3455"/>
      <c r="F13" s="3455"/>
      <c r="G13" s="3455"/>
      <c r="H13" s="3455"/>
      <c r="I13" s="3455"/>
    </row>
    <row r="14" spans="1:9" ht="14.4" thickTop="1">
      <c r="A14" s="3456" t="s">
        <v>1629</v>
      </c>
      <c r="B14" s="3456"/>
      <c r="C14" s="3456"/>
      <c r="D14" s="3456"/>
      <c r="E14" s="3456"/>
      <c r="F14" s="3456"/>
      <c r="G14" s="3456"/>
      <c r="H14" s="3456"/>
      <c r="I14" s="3456"/>
    </row>
    <row r="16" spans="1:9" ht="17.399999999999999">
      <c r="A16" s="1951" t="s">
        <v>1612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118"/>
  <sheetViews>
    <sheetView topLeftCell="A52" zoomScale="80" zoomScaleNormal="80" zoomScaleSheetLayoutView="96" workbookViewId="0">
      <selection activeCell="E66" sqref="E66"/>
    </sheetView>
  </sheetViews>
  <sheetFormatPr defaultColWidth="12" defaultRowHeight="13.2"/>
  <cols>
    <col min="1" max="1" width="9.77734375" style="2756" customWidth="1"/>
    <col min="2" max="2" width="19.21875" style="2862" customWidth="1"/>
    <col min="3" max="4" width="12" style="2688"/>
    <col min="5" max="5" width="14.6640625" style="2688" customWidth="1"/>
    <col min="6" max="8" width="12" style="2688"/>
    <col min="9" max="9" width="12.21875" style="2688" bestFit="1" customWidth="1"/>
    <col min="10" max="10" width="12" style="2688"/>
    <col min="11" max="11" width="8.109375" style="2751" customWidth="1"/>
    <col min="12" max="12" width="12" style="2688"/>
    <col min="13" max="13" width="8.44140625" style="2688" customWidth="1"/>
    <col min="14" max="14" width="9.77734375" style="2688" customWidth="1"/>
    <col min="15" max="25" width="12" style="2688"/>
    <col min="26" max="26" width="9.33203125" style="2756" customWidth="1"/>
    <col min="27" max="32" width="9.33203125" style="1353" customWidth="1"/>
    <col min="33" max="36" width="9.33203125" style="2756" customWidth="1"/>
    <col min="37" max="38" width="9.33203125" style="2688" customWidth="1"/>
    <col min="39" max="16384" width="12" style="2688"/>
  </cols>
  <sheetData>
    <row r="1" spans="1:36" ht="31.2">
      <c r="A1" s="240" t="s">
        <v>2777</v>
      </c>
      <c r="B1" s="241"/>
      <c r="C1" s="245" t="s">
        <v>2778</v>
      </c>
      <c r="D1" s="388">
        <f>SUM(D29:D30,D33:D39)</f>
        <v>82629.64</v>
      </c>
      <c r="E1" s="2685"/>
      <c r="F1" s="2685"/>
      <c r="G1" s="2685"/>
      <c r="H1" s="2685"/>
      <c r="I1" s="2685"/>
      <c r="J1" s="2685"/>
      <c r="K1" s="1351"/>
      <c r="L1" s="2686" t="s">
        <v>2779</v>
      </c>
      <c r="M1" s="1069">
        <f>SUMPRODUCT((区片价!B5:B9=I2)*(区片价!C3:F3=E2)*(区片价!C5:F9))</f>
        <v>0</v>
      </c>
      <c r="N1" s="1072">
        <f>SUMPRODUCT((因素修正幅度!B5:B9=I2)*(因素修正幅度!C3:F3=E2)*(因素修正幅度!C5:F9))</f>
        <v>0</v>
      </c>
      <c r="O1" s="2687"/>
      <c r="P1" s="2687"/>
      <c r="Q1" s="1351"/>
      <c r="R1" s="1581" t="s">
        <v>2780</v>
      </c>
      <c r="S1" s="1581" t="s">
        <v>2781</v>
      </c>
      <c r="T1" s="1581" t="s">
        <v>2782</v>
      </c>
      <c r="U1" s="1581" t="s">
        <v>2783</v>
      </c>
      <c r="V1" s="1581" t="s">
        <v>2784</v>
      </c>
      <c r="W1" s="1585"/>
      <c r="X1" s="1585"/>
      <c r="Y1" s="1585"/>
      <c r="Z1" s="1585"/>
      <c r="AA1" s="1585"/>
      <c r="AB1" s="1585"/>
      <c r="AC1" s="1586"/>
      <c r="AD1" s="1587"/>
      <c r="AE1" s="1587"/>
      <c r="AF1" s="1587"/>
      <c r="AG1" s="1587"/>
      <c r="AH1" s="1587"/>
      <c r="AI1" s="1587"/>
      <c r="AJ1" s="1588"/>
    </row>
    <row r="2" spans="1:36" ht="15.6">
      <c r="A2" s="245" t="s">
        <v>2785</v>
      </c>
      <c r="B2" s="248" t="e">
        <f ca="1">C26</f>
        <v>#DIV/0!</v>
      </c>
      <c r="C2" s="2689" t="s">
        <v>2786</v>
      </c>
      <c r="D2" s="2690" t="s">
        <v>2787</v>
      </c>
      <c r="E2" s="2691" t="s">
        <v>27</v>
      </c>
      <c r="F2" s="2690" t="s">
        <v>2788</v>
      </c>
      <c r="G2" s="2692" t="str">
        <f>IF(E2="商业",项目基本情况!B37,IF(E2="办公",项目基本情况!C37,IF(E2="住宅",项目基本情况!D37,项目基本情况!E37)))</f>
        <v>四级</v>
      </c>
      <c r="H2" s="2690" t="s">
        <v>2789</v>
      </c>
      <c r="I2" s="2692" t="str">
        <f>IF(E2="商业",项目基本情况!B38,IF(E2="办公",项目基本情况!C38,IF(E2="住宅",项目基本情况!D38,项目基本情况!E38)))</f>
        <v>Ⅳ-20</v>
      </c>
      <c r="J2" s="2693"/>
      <c r="K2" s="1351"/>
      <c r="L2" s="2694" t="s">
        <v>2790</v>
      </c>
      <c r="M2" s="1070">
        <f>SUMPRODUCT((区片价!B10:B28=I2)*(区片价!C3:F3=E2)*(区片价!C10:F28))</f>
        <v>0</v>
      </c>
      <c r="N2" s="1072">
        <f>SUMPRODUCT((因素修正幅度!B10:B28=I2)*(因素修正幅度!C3:F3=E2)*(因素修正幅度!C10:F28))</f>
        <v>0</v>
      </c>
      <c r="O2" s="1351"/>
      <c r="P2" s="1351"/>
      <c r="Q2" s="1351"/>
      <c r="R2" s="1581">
        <v>1</v>
      </c>
      <c r="S2" s="1581">
        <f>ROUND(IF(G3&gt;1,IF(R2&lt;7,SUMPRODUCT((B93:B98=R2)*(C92:N92=G2)*(C93:N98)),SUMIF(C92:N92,G2,C100:N100)),IF(R2&lt;7,SUMPRODUCT((B102:B107=R2)*(C92:N92=G2)*(C102:N107)),SUMIF(C92:N92,G2,C109:N109))),4)</f>
        <v>1.8629</v>
      </c>
      <c r="T2" s="1581" t="e">
        <f ca="1">ROUND($C$5*$C$18*$C$19*$C$20*S2*$C$24,0)</f>
        <v>#DIV/0!</v>
      </c>
      <c r="U2" s="1582"/>
      <c r="V2" s="1581" t="e">
        <f ca="1">ROUND(T2*U2/10000,0)</f>
        <v>#DIV/0!</v>
      </c>
      <c r="W2" s="1585"/>
      <c r="X2" s="1585"/>
      <c r="Y2" s="1585"/>
      <c r="Z2" s="1585"/>
      <c r="AA2" s="1585"/>
      <c r="AB2" s="1585"/>
      <c r="AC2" s="1586"/>
      <c r="AD2" s="1587"/>
      <c r="AE2" s="1587"/>
      <c r="AF2" s="1587"/>
      <c r="AG2" s="1587"/>
      <c r="AH2" s="1587"/>
      <c r="AI2" s="1587"/>
      <c r="AJ2" s="1588"/>
    </row>
    <row r="3" spans="1:36" ht="26.4">
      <c r="A3" s="247" t="s">
        <v>2791</v>
      </c>
      <c r="B3" s="248" t="e">
        <f ca="1">ROUND(B2*10000/D1,0)</f>
        <v>#DIV/0!</v>
      </c>
      <c r="C3" s="2689" t="s">
        <v>2792</v>
      </c>
      <c r="D3" s="2690" t="s">
        <v>2793</v>
      </c>
      <c r="E3" s="2695" t="s">
        <v>3043</v>
      </c>
      <c r="F3" s="2696" t="s">
        <v>2794</v>
      </c>
      <c r="G3" s="905">
        <f>IF(F3="宗地容积率",'数据-汇总表'!I4,IF(F3="估价对象容积率",'数据-汇总表'!I6,'数据-汇总表'!I7))</f>
        <v>10.54</v>
      </c>
      <c r="H3" s="198" t="s">
        <v>2795</v>
      </c>
      <c r="I3" s="933"/>
      <c r="J3" s="2693" t="s">
        <v>2796</v>
      </c>
      <c r="K3" s="1351"/>
      <c r="L3" s="2694" t="s">
        <v>2797</v>
      </c>
      <c r="M3" s="1070">
        <f>SUMPRODUCT((区片价!B29:B48=I2)*(区片价!C3:F3=E2)*(区片价!C29:F48))</f>
        <v>0</v>
      </c>
      <c r="N3" s="1072">
        <f>SUMPRODUCT((因素修正幅度!B29:B48=I2)*(因素修正幅度!C3:F3=E2)*(因素修正幅度!C29:F48))</f>
        <v>0</v>
      </c>
      <c r="O3" s="1351"/>
      <c r="P3" s="1351"/>
      <c r="Q3" s="1351"/>
      <c r="R3" s="1581">
        <v>2</v>
      </c>
      <c r="S3" s="1581">
        <f>ROUND(IF(G3&gt;1,IF(R3&lt;7,SUMPRODUCT((B93:B98=R3)*(C92:N92=G2)*(C93:N98)),SUMIF(C92:N92,G2,C100:N100)),IF(R3&lt;7,SUMPRODUCT((B102:B107=R3)*(C92:N92=G2)*(C102:N107)),SUMIF(C92:N92,G2,C109:N109))),4)</f>
        <v>1.3371999999999999</v>
      </c>
      <c r="T3" s="1581" t="e">
        <f t="shared" ref="T3:T16" ca="1" si="0">ROUND($C$5*$C$18*$C$19*$C$20*S3*$C$24,0)</f>
        <v>#DIV/0!</v>
      </c>
      <c r="U3" s="1582"/>
      <c r="V3" s="1581" t="e">
        <f t="shared" ref="V3:V16" ca="1" si="1">ROUND(T3*U3/10000,0)</f>
        <v>#DIV/0!</v>
      </c>
      <c r="W3" s="1585"/>
      <c r="X3" s="1585"/>
      <c r="Y3" s="1585"/>
      <c r="Z3" s="1585"/>
      <c r="AA3" s="1585"/>
      <c r="AB3" s="1585"/>
      <c r="AC3" s="1586"/>
      <c r="AD3" s="1587"/>
      <c r="AE3" s="1587"/>
      <c r="AF3" s="1587"/>
      <c r="AG3" s="1587"/>
      <c r="AH3" s="1587"/>
      <c r="AI3" s="1587"/>
      <c r="AJ3" s="1588"/>
    </row>
    <row r="4" spans="1:36" ht="15.6">
      <c r="A4" s="3783"/>
      <c r="B4" s="3784"/>
      <c r="C4" s="3784"/>
      <c r="D4" s="3785"/>
      <c r="E4" s="3785"/>
      <c r="F4" s="3785"/>
      <c r="G4" s="3785"/>
      <c r="H4" s="3785"/>
      <c r="I4" s="3785"/>
      <c r="J4" s="3786"/>
      <c r="K4" s="1351"/>
      <c r="L4" s="2694" t="s">
        <v>2798</v>
      </c>
      <c r="M4" s="1070">
        <f>SUMPRODUCT((区片价!B49:B75=I2)*(区片价!C3:F3=E2)*(区片价!C49:F75))</f>
        <v>18000</v>
      </c>
      <c r="N4" s="1072">
        <f>SUMPRODUCT((因素修正幅度!B49:B75=I2)*(因素修正幅度!C3:F3=E2)*(因素修正幅度!C49:F75))</f>
        <v>8.7999999999999995E-2</v>
      </c>
      <c r="O4" s="1351"/>
      <c r="P4" s="1351"/>
      <c r="Q4" s="1351"/>
      <c r="R4" s="1581">
        <v>3</v>
      </c>
      <c r="S4" s="1581">
        <f>ROUND(IF(G3&gt;1,IF(R4&lt;7,SUMPRODUCT((B93:B98=R4)*(C92:N92=G2)*(C93:N98)),SUMIF(C92:N92,G2,C100:N100)),IF(R4&lt;7,SUMPRODUCT((B102:B107=R4)*(C92:N92=G2)*(C102:N107)),SUMIF(C92:N92,G2,C109:N109))),4)</f>
        <v>1.0788</v>
      </c>
      <c r="T4" s="1581" t="e">
        <f t="shared" ca="1" si="0"/>
        <v>#DIV/0!</v>
      </c>
      <c r="U4" s="1582"/>
      <c r="V4" s="1581" t="e">
        <f t="shared" ca="1" si="1"/>
        <v>#DIV/0!</v>
      </c>
      <c r="W4" s="1585"/>
      <c r="X4" s="1585"/>
      <c r="Y4" s="1585"/>
      <c r="Z4" s="1585"/>
      <c r="AA4" s="1585"/>
      <c r="AB4" s="1585"/>
      <c r="AC4" s="1586"/>
      <c r="AD4" s="1587"/>
      <c r="AE4" s="1587"/>
      <c r="AF4" s="1587"/>
      <c r="AG4" s="1587"/>
      <c r="AH4" s="1587"/>
      <c r="AI4" s="1587"/>
      <c r="AJ4" s="1588"/>
    </row>
    <row r="5" spans="1:36" s="2706" customFormat="1" ht="15.6" thickBot="1">
      <c r="A5" s="2697" t="s">
        <v>807</v>
      </c>
      <c r="B5" s="2698" t="s">
        <v>2799</v>
      </c>
      <c r="C5" s="906">
        <f>ROUND(IF(E2="商业",C6*C7+C16,(IF(E2="住宅",C6*C12+C16,C6+C16))),0)</f>
        <v>18000</v>
      </c>
      <c r="D5" s="1765">
        <f>ROUND(C6+C16,0)</f>
        <v>18000</v>
      </c>
      <c r="E5" s="1765"/>
      <c r="F5" s="2699"/>
      <c r="G5" s="2700"/>
      <c r="H5" s="2700"/>
      <c r="I5" s="2700"/>
      <c r="J5" s="2701"/>
      <c r="K5" s="2702"/>
      <c r="L5" s="2694" t="s">
        <v>2800</v>
      </c>
      <c r="M5" s="1070">
        <f>SUMPRODUCT((区片价!B76:B109=I2)*(区片价!C3:F3=E2)*(区片价!C76:F109))</f>
        <v>0</v>
      </c>
      <c r="N5" s="1072">
        <f>SUMPRODUCT((因素修正幅度!B76:B109=I2)*(因素修正幅度!C3:F3=E2)*(因素修正幅度!C76:F109))</f>
        <v>0</v>
      </c>
      <c r="O5" s="1351"/>
      <c r="P5" s="1351"/>
      <c r="Q5" s="1351"/>
      <c r="R5" s="1581">
        <v>4</v>
      </c>
      <c r="S5" s="1581">
        <f>ROUND(IF(G3&gt;1,IF(R5&lt;7,SUMPRODUCT((B93:B98=R5)*(C92:N92=G2)*(C93:N98)),SUMIF(C92:N92,G2,C100:N100)),IF(R5&lt;7,SUMPRODUCT((B102:B107=R5)*(C92:N92=G2)*(C102:N107)),SUMIF(C92:N92,G2,C109:N109))),4)</f>
        <v>0.86560000000000004</v>
      </c>
      <c r="T5" s="1581" t="e">
        <f t="shared" ca="1" si="0"/>
        <v>#DIV/0!</v>
      </c>
      <c r="U5" s="1582"/>
      <c r="V5" s="1581" t="e">
        <f t="shared" ca="1" si="1"/>
        <v>#DIV/0!</v>
      </c>
      <c r="W5" s="1585"/>
      <c r="X5" s="1585"/>
      <c r="Y5" s="1585"/>
      <c r="Z5" s="1585"/>
      <c r="AA5" s="1585"/>
      <c r="AB5" s="1585"/>
      <c r="AC5" s="2703"/>
      <c r="AD5" s="2704"/>
      <c r="AE5" s="2704"/>
      <c r="AF5" s="2704"/>
      <c r="AG5" s="2704"/>
      <c r="AH5" s="2704"/>
      <c r="AI5" s="2704"/>
      <c r="AJ5" s="2705"/>
    </row>
    <row r="6" spans="1:36" ht="15.6" thickBot="1">
      <c r="A6" s="2707" t="s">
        <v>2801</v>
      </c>
      <c r="B6" s="2708" t="s">
        <v>2802</v>
      </c>
      <c r="C6" s="907">
        <f>SUMIF(L1:L12,G2,M1:M12)</f>
        <v>18000</v>
      </c>
      <c r="D6" s="2709" t="s">
        <v>2803</v>
      </c>
      <c r="E6" s="2710"/>
      <c r="F6" s="2710"/>
      <c r="G6" s="2711"/>
      <c r="H6" s="2711"/>
      <c r="I6" s="2711"/>
      <c r="J6" s="2712"/>
      <c r="K6" s="1820"/>
      <c r="L6" s="2694" t="s">
        <v>2804</v>
      </c>
      <c r="M6" s="1070">
        <f>SUMPRODUCT((区片价!B110:B157=I2)*(区片价!C3:F3=E2)*(区片价!C110:F157))</f>
        <v>0</v>
      </c>
      <c r="N6" s="1072">
        <f>SUMPRODUCT((因素修正幅度!B110:B157=I2)*(因素修正幅度!C3:F3=E2)*(因素修正幅度!C110:F157))</f>
        <v>0</v>
      </c>
      <c r="O6" s="1351"/>
      <c r="P6" s="1351"/>
      <c r="Q6" s="1351"/>
      <c r="R6" s="1581">
        <v>5</v>
      </c>
      <c r="S6" s="1581">
        <f>ROUND(IF(G3&gt;1,IF(R6&lt;7,SUMPRODUCT((B93:B98=R6)*(C92:N92=G2)*(C93:N98)),SUMIF(C92:N92,G2,C100:N100)),IF(R6&lt;7,SUMPRODUCT((B102:B107=R6)*(C92:N92=G2)*(C102:N107)),SUMIF(C92:N92,G2,C109:N109))),4)</f>
        <v>0.73709999999999998</v>
      </c>
      <c r="T6" s="1581" t="e">
        <f t="shared" ca="1" si="0"/>
        <v>#DIV/0!</v>
      </c>
      <c r="U6" s="1582"/>
      <c r="V6" s="1581" t="e">
        <f t="shared" ca="1" si="1"/>
        <v>#DIV/0!</v>
      </c>
      <c r="W6" s="1585"/>
      <c r="X6" s="1585"/>
      <c r="Y6" s="1585"/>
      <c r="Z6" s="1585"/>
      <c r="AA6" s="1585"/>
      <c r="AB6" s="1585"/>
      <c r="AC6" s="2703"/>
      <c r="AD6" s="2704"/>
      <c r="AE6" s="2704"/>
      <c r="AF6" s="2704"/>
      <c r="AG6" s="2704"/>
      <c r="AH6" s="2704"/>
      <c r="AI6" s="2704"/>
      <c r="AJ6" s="2705"/>
    </row>
    <row r="7" spans="1:36" ht="24">
      <c r="A7" s="3787" t="str">
        <f>IF(E2="商业",IF(C8="不临58条商业街","",2),"")</f>
        <v/>
      </c>
      <c r="B7" s="2713" t="s">
        <v>2805</v>
      </c>
      <c r="C7" s="908">
        <f>IF(C8="不临58条商业街",1,ROUND(1+(1.6*E8+1.2*E9+0.8*E10+0.4*E11)*C9,4))</f>
        <v>1</v>
      </c>
      <c r="D7" s="2714" t="s">
        <v>2806</v>
      </c>
      <c r="E7" s="934"/>
      <c r="F7" s="2715"/>
      <c r="G7" s="2716"/>
      <c r="H7" s="2716"/>
      <c r="I7" s="2716"/>
      <c r="J7" s="2717"/>
      <c r="K7" s="1820"/>
      <c r="L7" s="2694" t="s">
        <v>2807</v>
      </c>
      <c r="M7" s="1070">
        <f>SUMPRODUCT((区片价!B158:B205=I2)*(区片价!C3:F3=E2)*(区片价!C158:F205))</f>
        <v>0</v>
      </c>
      <c r="N7" s="1072">
        <f>SUMPRODUCT((因素修正幅度!B158:B205=I2)*(因素修正幅度!C3:F3=E2)*(因素修正幅度!C158:F205))</f>
        <v>0</v>
      </c>
      <c r="O7" s="1351"/>
      <c r="P7" s="1351"/>
      <c r="Q7" s="1351"/>
      <c r="R7" s="1581">
        <v>6</v>
      </c>
      <c r="S7" s="1581">
        <f>ROUND(IF(G3&gt;1,IF(R7&lt;7,SUMPRODUCT((B93:B98=R7)*(C92:N92=G2)*(C93:N98)),SUMIF(C92:N92,G2,C100:N100)),IF(R7&lt;7,SUMPRODUCT((B102:B107=R7)*(C92:N92=G2)*(C102:N107)),SUMIF(C92:N92,G2,C109:N109))),4)</f>
        <v>0.6482</v>
      </c>
      <c r="T7" s="1581" t="e">
        <f t="shared" ca="1" si="0"/>
        <v>#DIV/0!</v>
      </c>
      <c r="U7" s="1582"/>
      <c r="V7" s="1581" t="e">
        <f t="shared" ca="1" si="1"/>
        <v>#DIV/0!</v>
      </c>
      <c r="W7" s="1794" t="s">
        <v>2808</v>
      </c>
      <c r="X7" s="1583" t="str">
        <f>G2</f>
        <v>四级</v>
      </c>
      <c r="Y7" s="1583" t="s">
        <v>2809</v>
      </c>
      <c r="Z7" s="1584">
        <f>G3</f>
        <v>10.54</v>
      </c>
      <c r="AA7" s="1585"/>
      <c r="AB7" s="1585"/>
      <c r="AC7" s="1586"/>
      <c r="AD7" s="1587"/>
      <c r="AE7" s="1587"/>
      <c r="AF7" s="1587"/>
      <c r="AG7" s="1587"/>
      <c r="AH7" s="1587"/>
      <c r="AI7" s="1587"/>
      <c r="AJ7" s="1588"/>
    </row>
    <row r="8" spans="1:36" ht="26.4">
      <c r="A8" s="3788"/>
      <c r="B8" s="198" t="s">
        <v>2810</v>
      </c>
      <c r="C8" s="2718" t="s">
        <v>3044</v>
      </c>
      <c r="D8" s="909" t="s">
        <v>139</v>
      </c>
      <c r="E8" s="910" t="e">
        <f>ROUND(C11/E7,4)</f>
        <v>#DIV/0!</v>
      </c>
      <c r="F8" s="2719" t="s">
        <v>2811</v>
      </c>
      <c r="G8" s="2720"/>
      <c r="H8" s="2720"/>
      <c r="I8" s="2720"/>
      <c r="J8" s="2721"/>
      <c r="K8" s="1351"/>
      <c r="L8" s="2694" t="s">
        <v>2812</v>
      </c>
      <c r="M8" s="1070">
        <f>SUMPRODUCT((区片价!B206:B244=I2)*(区片价!C3:F3=E2)*(区片价!C206:F244))</f>
        <v>0</v>
      </c>
      <c r="N8" s="1072">
        <f>SUMPRODUCT((因素修正幅度!B206:B244=I2)*(因素修正幅度!C3:F3=E2)*(因素修正幅度!C206:F244))</f>
        <v>0</v>
      </c>
      <c r="O8" s="1351"/>
      <c r="P8" s="1351"/>
      <c r="Q8" s="1351"/>
      <c r="R8" s="1581">
        <v>7</v>
      </c>
      <c r="S8" s="1582"/>
      <c r="T8" s="1581" t="e">
        <f t="shared" ca="1" si="0"/>
        <v>#DIV/0!</v>
      </c>
      <c r="U8" s="1582"/>
      <c r="V8" s="1581" t="e">
        <f t="shared" ca="1" si="1"/>
        <v>#DIV/0!</v>
      </c>
      <c r="W8" s="3780" t="s">
        <v>2813</v>
      </c>
      <c r="X8" s="3781"/>
      <c r="Y8" s="1589" t="s">
        <v>2814</v>
      </c>
      <c r="Z8" s="1589" t="s">
        <v>2815</v>
      </c>
      <c r="AA8" s="1589" t="s">
        <v>2816</v>
      </c>
      <c r="AB8" s="1589" t="s">
        <v>2817</v>
      </c>
      <c r="AC8" s="1589" t="s">
        <v>2818</v>
      </c>
      <c r="AD8" s="1589" t="s">
        <v>2819</v>
      </c>
      <c r="AE8" s="1589" t="s">
        <v>2820</v>
      </c>
      <c r="AF8" s="1589" t="s">
        <v>2821</v>
      </c>
      <c r="AG8" s="1589" t="s">
        <v>2822</v>
      </c>
      <c r="AH8" s="1589" t="s">
        <v>2823</v>
      </c>
      <c r="AI8" s="1589" t="s">
        <v>2824</v>
      </c>
      <c r="AJ8" s="1589" t="s">
        <v>2825</v>
      </c>
    </row>
    <row r="9" spans="1:36" ht="15">
      <c r="A9" s="3788"/>
      <c r="B9" s="198" t="s">
        <v>2826</v>
      </c>
      <c r="C9" s="911">
        <f>SUMIF(修正!C59:C119,C8,修正!E59:E119)</f>
        <v>0</v>
      </c>
      <c r="D9" s="200" t="s">
        <v>140</v>
      </c>
      <c r="E9" s="200" t="e">
        <f>ROUND(C11/E7,4)</f>
        <v>#DIV/0!</v>
      </c>
      <c r="F9" s="2719" t="s">
        <v>2827</v>
      </c>
      <c r="G9" s="2720"/>
      <c r="H9" s="2720"/>
      <c r="I9" s="2720"/>
      <c r="J9" s="2721"/>
      <c r="K9" s="1351"/>
      <c r="L9" s="2694" t="s">
        <v>2828</v>
      </c>
      <c r="M9" s="1070">
        <f>SUMPRODUCT((区片价!B245:B289=I2)*(区片价!C3:F3=E2)*(区片价!C245:F289))</f>
        <v>0</v>
      </c>
      <c r="N9" s="1072">
        <f>SUMPRODUCT((因素修正幅度!B245:B289=I2)*(因素修正幅度!C3:F3=E2)*(因素修正幅度!C245:F289))</f>
        <v>0</v>
      </c>
      <c r="O9" s="1351"/>
      <c r="P9" s="1351"/>
      <c r="Q9" s="1351"/>
      <c r="R9" s="1581">
        <v>8</v>
      </c>
      <c r="S9" s="1582"/>
      <c r="T9" s="1581" t="e">
        <f t="shared" ca="1" si="0"/>
        <v>#DIV/0!</v>
      </c>
      <c r="U9" s="1582"/>
      <c r="V9" s="1581" t="e">
        <f t="shared" ca="1" si="1"/>
        <v>#DIV/0!</v>
      </c>
      <c r="W9" s="3782" t="s">
        <v>2829</v>
      </c>
      <c r="X9" s="1590" t="s">
        <v>2830</v>
      </c>
      <c r="Y9" s="1750"/>
      <c r="Z9" s="1591">
        <f>$Y$9</f>
        <v>0</v>
      </c>
      <c r="AA9" s="1591">
        <f t="shared" ref="AA9:AJ9" si="2">$Y$9</f>
        <v>0</v>
      </c>
      <c r="AB9" s="1591">
        <f t="shared" si="2"/>
        <v>0</v>
      </c>
      <c r="AC9" s="1591">
        <f t="shared" si="2"/>
        <v>0</v>
      </c>
      <c r="AD9" s="1591">
        <f t="shared" si="2"/>
        <v>0</v>
      </c>
      <c r="AE9" s="1591">
        <f t="shared" si="2"/>
        <v>0</v>
      </c>
      <c r="AF9" s="1591">
        <f t="shared" si="2"/>
        <v>0</v>
      </c>
      <c r="AG9" s="1591">
        <f t="shared" si="2"/>
        <v>0</v>
      </c>
      <c r="AH9" s="1591">
        <f t="shared" si="2"/>
        <v>0</v>
      </c>
      <c r="AI9" s="1591">
        <f t="shared" si="2"/>
        <v>0</v>
      </c>
      <c r="AJ9" s="1591">
        <f t="shared" si="2"/>
        <v>0</v>
      </c>
    </row>
    <row r="10" spans="1:36" ht="15">
      <c r="A10" s="3788"/>
      <c r="B10" s="198" t="s">
        <v>2831</v>
      </c>
      <c r="C10" s="200">
        <f>SUMIF(修正!C59:C119,C8,修正!F59:F119)</f>
        <v>0</v>
      </c>
      <c r="D10" s="200" t="s">
        <v>141</v>
      </c>
      <c r="E10" s="200" t="e">
        <f>ROUND(C11/E7,4)</f>
        <v>#DIV/0!</v>
      </c>
      <c r="F10" s="2719" t="s">
        <v>2832</v>
      </c>
      <c r="G10" s="2720"/>
      <c r="H10" s="2720"/>
      <c r="I10" s="2720"/>
      <c r="J10" s="2721"/>
      <c r="K10" s="1351"/>
      <c r="L10" s="2694" t="s">
        <v>2833</v>
      </c>
      <c r="M10" s="1070">
        <f>SUMPRODUCT((区片价!B290:B316=I2)*(区片价!C3:F3=E2)*(区片价!C290:F316))</f>
        <v>0</v>
      </c>
      <c r="N10" s="1072">
        <f>SUMPRODUCT((因素修正幅度!B290:B316=I2)*(因素修正幅度!C3:F3=E2)*(因素修正幅度!C290:F316))</f>
        <v>0</v>
      </c>
      <c r="O10" s="1351"/>
      <c r="P10" s="1351"/>
      <c r="Q10" s="1351"/>
      <c r="R10" s="1581">
        <v>9</v>
      </c>
      <c r="S10" s="1582"/>
      <c r="T10" s="1581" t="e">
        <f t="shared" ca="1" si="0"/>
        <v>#DIV/0!</v>
      </c>
      <c r="U10" s="1582"/>
      <c r="V10" s="1581" t="e">
        <f t="shared" ca="1" si="1"/>
        <v>#DIV/0!</v>
      </c>
      <c r="W10" s="3782"/>
      <c r="X10" s="1590">
        <v>7</v>
      </c>
      <c r="Y10" s="1592">
        <f>(-0.163*(Y9^2)-0.59*Y9+7617)*(10^(-4))</f>
        <v>0.76170000000000004</v>
      </c>
      <c r="Z10" s="1592">
        <f>(-0.163*(Z9^2)-0.59*Z9+7617)*(10^(-4))</f>
        <v>0.76170000000000004</v>
      </c>
      <c r="AA10" s="1592">
        <f>(-0.161*(AA9^2)-7.509*AA9+6533)*(10^(-4))</f>
        <v>0.65329999999999999</v>
      </c>
      <c r="AB10" s="1592">
        <f>(-0.161*(AB9^2)-7.509*AB9+6533)*(10^(-4))</f>
        <v>0.65329999999999999</v>
      </c>
      <c r="AC10" s="1592">
        <f>(-0.161*(AC9^2)-7.509*AC9+6533)*(10^(-4))</f>
        <v>0.65329999999999999</v>
      </c>
      <c r="AD10" s="1592">
        <f>(-0.161*(AD9^2)-7.509*AD9+6533)*(10^(-4))</f>
        <v>0.65329999999999999</v>
      </c>
      <c r="AE10" s="1592">
        <f>(-0.161*(AE9^2)-7.509*AE9+6533)*(10^(-4))</f>
        <v>0.65329999999999999</v>
      </c>
      <c r="AF10" s="1592">
        <f>(-0.214*(AF9^2)-21.991*AF9+4665)*(10^(-4))</f>
        <v>0.46650000000000003</v>
      </c>
      <c r="AG10" s="1592">
        <f>(-0.214*(AG9^2)-21.991*AG9+4665)*(10^(-4))</f>
        <v>0.46650000000000003</v>
      </c>
      <c r="AH10" s="1592">
        <f>(-0.214*(AH9^2)-21.991*AH9+4665)*(10^(-4))</f>
        <v>0.46650000000000003</v>
      </c>
      <c r="AI10" s="1592">
        <f>(-0.214*(AI9^2)-21.991*AI9+4665)*(10^(-4))</f>
        <v>0.46650000000000003</v>
      </c>
      <c r="AJ10" s="1592">
        <f>(-0.214*(AJ9^2)-21.991*AJ9+4665)*(10^(-4))</f>
        <v>0.46650000000000003</v>
      </c>
    </row>
    <row r="11" spans="1:36" ht="15.6" thickBot="1">
      <c r="A11" s="3788"/>
      <c r="B11" s="2722" t="s">
        <v>2834</v>
      </c>
      <c r="C11" s="912">
        <f>C10/4</f>
        <v>0</v>
      </c>
      <c r="D11" s="912" t="s">
        <v>142</v>
      </c>
      <c r="E11" s="912" t="e">
        <f>ROUND(C11/E7,4)</f>
        <v>#DIV/0!</v>
      </c>
      <c r="F11" s="2723" t="s">
        <v>2835</v>
      </c>
      <c r="G11" s="2724"/>
      <c r="H11" s="2724"/>
      <c r="I11" s="2724"/>
      <c r="J11" s="2725"/>
      <c r="K11" s="1351"/>
      <c r="L11" s="2694" t="s">
        <v>2836</v>
      </c>
      <c r="M11" s="1070">
        <f>SUMPRODUCT((区片价!B317:B337=I2)*(区片价!C3:F3=E2)*(区片价!C317:F337))</f>
        <v>0</v>
      </c>
      <c r="N11" s="1072">
        <f>SUMPRODUCT((因素修正幅度!B317:B337=I2)*(因素修正幅度!C3:F3=E2)*(因素修正幅度!C317:F337))</f>
        <v>0</v>
      </c>
      <c r="O11" s="1351"/>
      <c r="P11" s="1351"/>
      <c r="Q11" s="1351"/>
      <c r="R11" s="1581">
        <v>10</v>
      </c>
      <c r="S11" s="1582"/>
      <c r="T11" s="1581" t="e">
        <f t="shared" ca="1" si="0"/>
        <v>#DIV/0!</v>
      </c>
      <c r="U11" s="1582"/>
      <c r="V11" s="1581" t="e">
        <f t="shared" ca="1" si="1"/>
        <v>#DIV/0!</v>
      </c>
      <c r="W11" s="3782" t="s">
        <v>2837</v>
      </c>
      <c r="X11" s="1593" t="s">
        <v>2838</v>
      </c>
      <c r="Y11" s="1594">
        <f>$G$3</f>
        <v>10.54</v>
      </c>
      <c r="Z11" s="1594">
        <f t="shared" ref="Z11:AJ11" si="3">$G$3</f>
        <v>10.54</v>
      </c>
      <c r="AA11" s="1594">
        <f t="shared" si="3"/>
        <v>10.54</v>
      </c>
      <c r="AB11" s="1594">
        <f t="shared" si="3"/>
        <v>10.54</v>
      </c>
      <c r="AC11" s="1594">
        <f t="shared" si="3"/>
        <v>10.54</v>
      </c>
      <c r="AD11" s="1594">
        <f t="shared" si="3"/>
        <v>10.54</v>
      </c>
      <c r="AE11" s="1594">
        <f t="shared" si="3"/>
        <v>10.54</v>
      </c>
      <c r="AF11" s="1594">
        <f t="shared" si="3"/>
        <v>10.54</v>
      </c>
      <c r="AG11" s="1594">
        <f t="shared" si="3"/>
        <v>10.54</v>
      </c>
      <c r="AH11" s="1594">
        <f t="shared" si="3"/>
        <v>10.54</v>
      </c>
      <c r="AI11" s="1594">
        <f t="shared" si="3"/>
        <v>10.54</v>
      </c>
      <c r="AJ11" s="1594">
        <f t="shared" si="3"/>
        <v>10.54</v>
      </c>
    </row>
    <row r="12" spans="1:36" ht="25.8" thickBot="1">
      <c r="A12" s="3787" t="s">
        <v>2839</v>
      </c>
      <c r="B12" s="2726" t="s">
        <v>2840</v>
      </c>
      <c r="C12" s="908">
        <f>ROUND(C15*D15*E15*F15*G15*H15*I15*J15,4)</f>
        <v>1</v>
      </c>
      <c r="D12" s="2727" t="s">
        <v>2841</v>
      </c>
      <c r="E12" s="2728"/>
      <c r="F12" s="2728"/>
      <c r="G12" s="2729"/>
      <c r="H12" s="2729"/>
      <c r="I12" s="2729"/>
      <c r="J12" s="2730"/>
      <c r="K12" s="1351"/>
      <c r="L12" s="2731" t="s">
        <v>2842</v>
      </c>
      <c r="M12" s="1071">
        <f>SUMPRODUCT((区片价!B338:B344=I2)*(区片价!C3:F3=E2)*(区片价!C338:F344))</f>
        <v>0</v>
      </c>
      <c r="N12" s="1072">
        <f>SUMPRODUCT((因素修正幅度!B338:B344=I2)*(因素修正幅度!C3:F3=E2)*(因素修正幅度!C338:F344))</f>
        <v>0</v>
      </c>
      <c r="O12" s="1351"/>
      <c r="P12" s="1351"/>
      <c r="Q12" s="1351"/>
      <c r="R12" s="1581">
        <v>11</v>
      </c>
      <c r="S12" s="1582"/>
      <c r="T12" s="1581" t="e">
        <f t="shared" ca="1" si="0"/>
        <v>#DIV/0!</v>
      </c>
      <c r="U12" s="1582"/>
      <c r="V12" s="1581" t="e">
        <f t="shared" ca="1" si="1"/>
        <v>#DIV/0!</v>
      </c>
      <c r="W12" s="3782"/>
      <c r="X12" s="1595" t="s">
        <v>2843</v>
      </c>
      <c r="Y12" s="1591">
        <f t="shared" ref="Y12:AJ12" si="4">Y9</f>
        <v>0</v>
      </c>
      <c r="Z12" s="1591">
        <f t="shared" si="4"/>
        <v>0</v>
      </c>
      <c r="AA12" s="1591">
        <f t="shared" si="4"/>
        <v>0</v>
      </c>
      <c r="AB12" s="1591">
        <f t="shared" si="4"/>
        <v>0</v>
      </c>
      <c r="AC12" s="1591">
        <f t="shared" si="4"/>
        <v>0</v>
      </c>
      <c r="AD12" s="1591">
        <f t="shared" si="4"/>
        <v>0</v>
      </c>
      <c r="AE12" s="1591">
        <f t="shared" si="4"/>
        <v>0</v>
      </c>
      <c r="AF12" s="1591">
        <f t="shared" si="4"/>
        <v>0</v>
      </c>
      <c r="AG12" s="1591">
        <f t="shared" si="4"/>
        <v>0</v>
      </c>
      <c r="AH12" s="1591">
        <f t="shared" si="4"/>
        <v>0</v>
      </c>
      <c r="AI12" s="1591">
        <f t="shared" si="4"/>
        <v>0</v>
      </c>
      <c r="AJ12" s="1591">
        <f t="shared" si="4"/>
        <v>0</v>
      </c>
    </row>
    <row r="13" spans="1:36" ht="24">
      <c r="A13" s="3789"/>
      <c r="B13" s="2732" t="s">
        <v>2844</v>
      </c>
      <c r="C13" s="2733" t="s">
        <v>2845</v>
      </c>
      <c r="D13" s="1786" t="s">
        <v>2846</v>
      </c>
      <c r="E13" s="1786" t="s">
        <v>2847</v>
      </c>
      <c r="F13" s="30" t="s">
        <v>2848</v>
      </c>
      <c r="G13" s="2734" t="s">
        <v>2849</v>
      </c>
      <c r="H13" s="2734" t="s">
        <v>2849</v>
      </c>
      <c r="I13" s="2734" t="s">
        <v>2849</v>
      </c>
      <c r="J13" s="2735" t="s">
        <v>2849</v>
      </c>
      <c r="K13" s="1351"/>
      <c r="L13" s="1351"/>
      <c r="M13" s="1351"/>
      <c r="N13" s="1351"/>
      <c r="O13" s="1351"/>
      <c r="P13" s="1351"/>
      <c r="Q13" s="1351"/>
      <c r="R13" s="1581">
        <v>12</v>
      </c>
      <c r="S13" s="1582"/>
      <c r="T13" s="1581" t="e">
        <f t="shared" ca="1" si="0"/>
        <v>#DIV/0!</v>
      </c>
      <c r="U13" s="1582"/>
      <c r="V13" s="1581" t="e">
        <f t="shared" ca="1" si="1"/>
        <v>#DIV/0!</v>
      </c>
      <c r="W13" s="3782"/>
      <c r="X13" s="1595"/>
      <c r="Y13" s="1592">
        <f>(-0.163*(Y12^2)-0.59*Y12+7617)*(10^(-4))/Y11</f>
        <v>7.22675521821632E-2</v>
      </c>
      <c r="Z13" s="1592">
        <f t="shared" ref="Z13:AJ13" si="5">(-0.163*(Z12^2)-0.59*Z12+7617)*(10^(-4))/Z11</f>
        <v>7.22675521821632E-2</v>
      </c>
      <c r="AA13" s="1592">
        <f t="shared" si="5"/>
        <v>7.22675521821632E-2</v>
      </c>
      <c r="AB13" s="1592">
        <f t="shared" si="5"/>
        <v>7.22675521821632E-2</v>
      </c>
      <c r="AC13" s="1592">
        <f t="shared" si="5"/>
        <v>7.22675521821632E-2</v>
      </c>
      <c r="AD13" s="1592">
        <f t="shared" si="5"/>
        <v>7.22675521821632E-2</v>
      </c>
      <c r="AE13" s="1592">
        <f t="shared" si="5"/>
        <v>7.22675521821632E-2</v>
      </c>
      <c r="AF13" s="1592">
        <f t="shared" si="5"/>
        <v>7.22675521821632E-2</v>
      </c>
      <c r="AG13" s="1592">
        <f t="shared" si="5"/>
        <v>7.22675521821632E-2</v>
      </c>
      <c r="AH13" s="1592">
        <f t="shared" si="5"/>
        <v>7.22675521821632E-2</v>
      </c>
      <c r="AI13" s="1592">
        <f t="shared" si="5"/>
        <v>7.22675521821632E-2</v>
      </c>
      <c r="AJ13" s="1592">
        <f t="shared" si="5"/>
        <v>7.22675521821632E-2</v>
      </c>
    </row>
    <row r="14" spans="1:36" ht="15">
      <c r="A14" s="3789"/>
      <c r="B14" s="2736"/>
      <c r="C14" s="2737"/>
      <c r="D14" s="2738"/>
      <c r="E14" s="2738"/>
      <c r="F14" s="2739"/>
      <c r="G14" s="2740" t="s">
        <v>2850</v>
      </c>
      <c r="H14" s="2741"/>
      <c r="I14" s="2742"/>
      <c r="J14" s="2743"/>
      <c r="K14" s="1351"/>
      <c r="L14" s="1351"/>
      <c r="M14" s="1351"/>
      <c r="N14" s="1351"/>
      <c r="O14" s="1351"/>
      <c r="P14" s="1351"/>
      <c r="Q14" s="1351"/>
      <c r="R14" s="1581">
        <v>13</v>
      </c>
      <c r="S14" s="1582"/>
      <c r="T14" s="1581" t="e">
        <f t="shared" ca="1" si="0"/>
        <v>#DIV/0!</v>
      </c>
      <c r="U14" s="1582"/>
      <c r="V14" s="1581" t="e">
        <f t="shared" ca="1" si="1"/>
        <v>#DIV/0!</v>
      </c>
      <c r="W14" s="1585"/>
      <c r="X14" s="1585"/>
      <c r="Y14" s="1585"/>
      <c r="Z14" s="1585"/>
      <c r="AA14" s="1585"/>
      <c r="AB14" s="1585"/>
      <c r="AC14" s="1586"/>
      <c r="AD14" s="1587"/>
      <c r="AE14" s="1587"/>
      <c r="AF14" s="1587"/>
      <c r="AG14" s="1587"/>
      <c r="AH14" s="1587"/>
      <c r="AI14" s="1587"/>
      <c r="AJ14" s="1588"/>
    </row>
    <row r="15" spans="1:36" ht="15.6" thickBot="1">
      <c r="A15" s="3790"/>
      <c r="B15" s="2744" t="s">
        <v>2851</v>
      </c>
      <c r="C15" s="229">
        <f>IF(C14="有",1.1,1)</f>
        <v>1</v>
      </c>
      <c r="D15" s="229">
        <f>IF(D14="有",1.1,1)</f>
        <v>1</v>
      </c>
      <c r="E15" s="229">
        <f>IF(E14="有",1.1,1)</f>
        <v>1</v>
      </c>
      <c r="F15" s="229">
        <f>IF(F14="500米范围内",1.2,IF(F14="500-1000米",1.1,1))</f>
        <v>1</v>
      </c>
      <c r="G15" s="935">
        <v>1</v>
      </c>
      <c r="H15" s="935">
        <v>1</v>
      </c>
      <c r="I15" s="935">
        <v>1</v>
      </c>
      <c r="J15" s="936">
        <v>1</v>
      </c>
      <c r="K15" s="1351"/>
      <c r="Q15" s="1351"/>
      <c r="R15" s="1581">
        <v>14</v>
      </c>
      <c r="S15" s="1582"/>
      <c r="T15" s="1581" t="e">
        <f t="shared" ca="1" si="0"/>
        <v>#DIV/0!</v>
      </c>
      <c r="U15" s="1582"/>
      <c r="V15" s="1581" t="e">
        <f t="shared" ca="1" si="1"/>
        <v>#DIV/0!</v>
      </c>
      <c r="W15" s="1585"/>
      <c r="X15" s="1585"/>
      <c r="Y15" s="1585"/>
      <c r="Z15" s="1585"/>
      <c r="AA15" s="1585"/>
      <c r="AB15" s="1585"/>
      <c r="AC15" s="1586"/>
      <c r="AD15" s="1587"/>
      <c r="AE15" s="1587"/>
      <c r="AF15" s="1587"/>
      <c r="AG15" s="1587"/>
      <c r="AH15" s="1587"/>
      <c r="AI15" s="1587"/>
      <c r="AJ15" s="1588"/>
    </row>
    <row r="16" spans="1:36" ht="24.6" customHeight="1">
      <c r="A16" s="3787" t="s">
        <v>2856</v>
      </c>
      <c r="B16" s="2713" t="s">
        <v>2857</v>
      </c>
      <c r="C16" s="2900">
        <f>ROUND(IF(F17="与级别开发程度一致",0,(G17-E17)/C17),0)</f>
        <v>0</v>
      </c>
      <c r="D16" s="3801" t="s">
        <v>2861</v>
      </c>
      <c r="E16" s="3802"/>
      <c r="F16" s="3801" t="s">
        <v>2858</v>
      </c>
      <c r="G16" s="3802"/>
      <c r="H16" s="2747"/>
      <c r="I16" s="2747"/>
      <c r="J16" s="2904"/>
      <c r="K16" s="2747"/>
      <c r="L16" s="2747"/>
      <c r="M16" s="2747"/>
      <c r="N16" s="2747"/>
      <c r="O16" s="2748"/>
      <c r="Q16" s="1351"/>
      <c r="R16" s="1581">
        <v>15</v>
      </c>
      <c r="S16" s="1582"/>
      <c r="T16" s="1581" t="e">
        <f t="shared" ca="1" si="0"/>
        <v>#DIV/0!</v>
      </c>
      <c r="U16" s="1582"/>
      <c r="V16" s="1581" t="e">
        <f t="shared" ca="1" si="1"/>
        <v>#DIV/0!</v>
      </c>
      <c r="W16" s="1585"/>
      <c r="X16" s="1585"/>
      <c r="Y16" s="1585"/>
      <c r="Z16" s="1585"/>
      <c r="AA16" s="1585"/>
      <c r="AB16" s="1585"/>
      <c r="AC16" s="1586"/>
      <c r="AD16" s="1587"/>
      <c r="AE16" s="1587"/>
      <c r="AF16" s="1587"/>
      <c r="AG16" s="1587"/>
      <c r="AH16" s="1587"/>
      <c r="AI16" s="1587"/>
      <c r="AJ16" s="1588"/>
    </row>
    <row r="17" spans="1:37" ht="27" thickBot="1">
      <c r="A17" s="3791"/>
      <c r="B17" s="2911" t="s">
        <v>2860</v>
      </c>
      <c r="C17" s="2912">
        <f>SUMPRODUCT((修正!A2:A5=E2)*(修正!B1:M1=G2)*(修正!B2:M5))</f>
        <v>2.5</v>
      </c>
      <c r="D17" s="229" t="str">
        <f>IF(OR(G2="八级",G2="九级",G2="十级",G2="十一级",G2="十二级"),"五通一平","七通一平")</f>
        <v>七通一平</v>
      </c>
      <c r="E17" s="2901">
        <f>SUMPRODUCT((修正!B1:M1=G2)*(修正!B15:M15))</f>
        <v>300</v>
      </c>
      <c r="F17" s="2902" t="s">
        <v>3045</v>
      </c>
      <c r="G17" s="2903">
        <f>SUM(H17:O17)</f>
        <v>0</v>
      </c>
      <c r="H17" s="2912">
        <f>SUMPRODUCT((七通一平=H16)*(修正!B1:M1=G2)*(修正!B6:M14))</f>
        <v>0</v>
      </c>
      <c r="I17" s="2912">
        <f>SUMPRODUCT((七通一平=I16)*(修正!B1:M1=G2)*(修正!B6:M14))</f>
        <v>0</v>
      </c>
      <c r="J17" s="2913">
        <f>SUMPRODUCT((七通一平=J16)*(修正!B1:M1=G2)*(修正!B6:M14))</f>
        <v>0</v>
      </c>
      <c r="K17" s="2912">
        <f>SUMPRODUCT((七通一平=K16)*(修正!B1:M1=G2)*(修正!B6:M14))</f>
        <v>0</v>
      </c>
      <c r="L17" s="2912">
        <f>SUMPRODUCT((七通一平=L16)*(修正!B1:M1=G2)*(修正!B6:M14))</f>
        <v>0</v>
      </c>
      <c r="M17" s="2912">
        <f>SUMPRODUCT((七通一平=M16)*(修正!B1:M1=G2)*(修正!B6:M14))</f>
        <v>0</v>
      </c>
      <c r="N17" s="2912">
        <f>SUMPRODUCT((七通一平=N16)*(修正!B1:M1=G2)*(修正!B6:M14))</f>
        <v>0</v>
      </c>
      <c r="O17" s="2914">
        <f>SUMPRODUCT((七通一平=O16)*(修正!B1:M1=G2)*(修正!B6:M14))</f>
        <v>0</v>
      </c>
      <c r="Q17" s="1351"/>
      <c r="R17" s="1351"/>
      <c r="S17" s="1351"/>
      <c r="T17" s="1351"/>
      <c r="U17" s="1351"/>
      <c r="V17" s="1351"/>
      <c r="W17" s="1351"/>
      <c r="X17" s="1351"/>
      <c r="Y17" s="1351"/>
      <c r="Z17" s="1352"/>
      <c r="AE17" s="2751"/>
      <c r="AF17" s="2751"/>
      <c r="AG17" s="2688"/>
      <c r="AH17" s="2688"/>
      <c r="AI17" s="2688"/>
      <c r="AJ17" s="2688"/>
    </row>
    <row r="18" spans="1:37" s="2706" customFormat="1" ht="15" thickBot="1">
      <c r="A18" s="2905" t="s">
        <v>808</v>
      </c>
      <c r="B18" s="2906" t="s">
        <v>2863</v>
      </c>
      <c r="C18" s="2907">
        <f>SUMIF(修正!C18:C39,E3,修正!E18:E39)</f>
        <v>1</v>
      </c>
      <c r="D18" s="2908"/>
      <c r="E18" s="2909"/>
      <c r="F18" s="2909"/>
      <c r="G18" s="2909"/>
      <c r="H18" s="2909"/>
      <c r="I18" s="2909"/>
      <c r="J18" s="2910"/>
      <c r="K18" s="1358"/>
      <c r="O18" s="1356"/>
      <c r="P18" s="1356"/>
      <c r="Q18" s="1357"/>
      <c r="R18" s="1357"/>
      <c r="S18" s="1357"/>
      <c r="T18" s="1352"/>
      <c r="U18" s="1352"/>
      <c r="V18" s="1352"/>
      <c r="W18" s="1351"/>
      <c r="X18" s="1351"/>
      <c r="Y18" s="1351"/>
      <c r="Z18" s="1358"/>
      <c r="AA18" s="1359"/>
      <c r="AB18" s="1359"/>
      <c r="AC18" s="1359"/>
      <c r="AD18" s="1359"/>
      <c r="AE18" s="1353"/>
      <c r="AF18" s="1353"/>
      <c r="AG18" s="2756"/>
      <c r="AH18" s="2756"/>
      <c r="AI18" s="2756"/>
    </row>
    <row r="19" spans="1:37" s="2706" customFormat="1" ht="29.4" thickBot="1">
      <c r="A19" s="2752" t="s">
        <v>809</v>
      </c>
      <c r="B19" s="2753" t="s">
        <v>2864</v>
      </c>
      <c r="C19" s="913">
        <f>ROUND(IF(H19="按公示增长率计算",SUMPRODUCT((地价!A3:A28=YEAR(G19)&amp;"-"&amp;ROUNDUP(MONTH(G19)/3,0))*(地价!X2:AB2=E2)*(地价!X3:AB28)),IF(H19="地价指数",M20/M19,(1+I19)^O19)),4)</f>
        <v>1.6084000000000001</v>
      </c>
      <c r="D19" s="2757" t="s">
        <v>2865</v>
      </c>
      <c r="E19" s="914">
        <v>41640</v>
      </c>
      <c r="F19" s="2757" t="s">
        <v>2866</v>
      </c>
      <c r="G19" s="915">
        <f>'数据-取费表'!B2</f>
        <v>43903</v>
      </c>
      <c r="H19" s="2758" t="s">
        <v>3161</v>
      </c>
      <c r="I19" s="916">
        <f>IF(H19="季度增幅（自定义）",SUMIF(N21:N24,E2,O21:O24),"")</f>
        <v>0.02</v>
      </c>
      <c r="J19" s="2755"/>
      <c r="K19" s="1358"/>
      <c r="L19" s="2759" t="s">
        <v>2867</v>
      </c>
      <c r="M19" s="1713">
        <f>ROUND(SUMIF(地价!B2:F2,E2,地价!B28:F28),0)</f>
        <v>258</v>
      </c>
      <c r="N19" s="2760" t="s">
        <v>2868</v>
      </c>
      <c r="O19" s="917">
        <f>ROUNDDOWN(DATEDIF(E19,G19,"M")/3,0)</f>
        <v>24</v>
      </c>
      <c r="P19" s="1355"/>
      <c r="Q19" s="1357"/>
      <c r="R19" s="1357"/>
      <c r="S19" s="1357"/>
      <c r="T19" s="1352"/>
      <c r="U19" s="1352"/>
      <c r="V19" s="1352"/>
      <c r="W19" s="1351"/>
      <c r="X19" s="1351"/>
      <c r="Y19" s="1351"/>
      <c r="Z19" s="1358"/>
      <c r="AA19" s="1359"/>
      <c r="AB19" s="1359"/>
      <c r="AC19" s="1359"/>
      <c r="AD19" s="1359"/>
      <c r="AE19" s="1359"/>
      <c r="AF19" s="2761"/>
      <c r="AG19" s="2762"/>
      <c r="AH19" s="2756"/>
      <c r="AI19" s="2763"/>
      <c r="AJ19" s="2763"/>
      <c r="AK19" s="2763"/>
    </row>
    <row r="20" spans="1:37" s="2706" customFormat="1" ht="29.4" thickBot="1">
      <c r="A20" s="2764" t="s">
        <v>810</v>
      </c>
      <c r="B20" s="2765" t="s">
        <v>2869</v>
      </c>
      <c r="C20" s="918" t="e">
        <f ca="1">ROUND(POWER(1+G20,J20-I20)*(POWER(1+G20,I20)-1)/(POWER(1+G20,J20)-1),4)</f>
        <v>#DIV/0!</v>
      </c>
      <c r="D20" s="2766" t="s">
        <v>2870</v>
      </c>
      <c r="E20" s="1746">
        <f ca="1">存贷款利率!D4/100</f>
        <v>4.3499999999999997E-2</v>
      </c>
      <c r="F20" s="2766" t="s">
        <v>2862</v>
      </c>
      <c r="G20" s="923">
        <f ca="1">SUMIF(M26:P26,E2,M28:P28)</f>
        <v>5.1999999999999998E-2</v>
      </c>
      <c r="H20" s="2766" t="s">
        <v>2871</v>
      </c>
      <c r="I20" s="924" t="e">
        <f>SUMIF('数据-取费表'!C6:C15,E2,'数据-取费表'!F6:F15)/COUNTIF('数据-取费表'!C6:C15,E2)</f>
        <v>#DIV/0!</v>
      </c>
      <c r="J20" s="925">
        <f>IF(E2="住宅",70,IF(E2="商业",40,50))</f>
        <v>50</v>
      </c>
      <c r="K20" s="1358"/>
      <c r="L20" s="2767" t="s">
        <v>2872</v>
      </c>
      <c r="M20" s="1714">
        <f>ROUND(SUMPRODUCT((地价!A4:A28=YEAR(G19)&amp;"-"&amp;ROUNDUP(MONTH(G19)/3,0))*(地价!B2:F2=E2)*(地价!B4:F28)),0)</f>
        <v>0</v>
      </c>
      <c r="N20" s="2768" t="s">
        <v>2873</v>
      </c>
      <c r="O20" s="2769" t="s">
        <v>2874</v>
      </c>
      <c r="P20" s="2770" t="s">
        <v>2875</v>
      </c>
      <c r="R20" s="1357"/>
      <c r="S20" s="1357"/>
      <c r="T20" s="1352"/>
      <c r="U20" s="1352"/>
      <c r="V20" s="1352"/>
      <c r="W20" s="1351"/>
      <c r="X20" s="1351"/>
      <c r="Y20" s="1351"/>
      <c r="Z20" s="1358"/>
      <c r="AA20" s="1359"/>
      <c r="AB20" s="1359"/>
      <c r="AC20" s="1359"/>
      <c r="AD20" s="1359"/>
      <c r="AE20" s="1359"/>
      <c r="AF20" s="1359"/>
    </row>
    <row r="21" spans="1:37" s="2706" customFormat="1" ht="14.4">
      <c r="A21" s="2771" t="s">
        <v>811</v>
      </c>
      <c r="B21" s="2772" t="s">
        <v>3046</v>
      </c>
      <c r="C21" s="926">
        <f>IF(B21="容积率修正",IF(G3&lt;=10,D22,J22),C23)</f>
        <v>0.71970000000000001</v>
      </c>
      <c r="D21" s="2773"/>
      <c r="E21" s="2773"/>
      <c r="F21" s="2773"/>
      <c r="G21" s="2773"/>
      <c r="H21" s="2773"/>
      <c r="I21" s="2773"/>
      <c r="J21" s="2774"/>
      <c r="K21" s="1358"/>
      <c r="N21" s="2775" t="s">
        <v>2876</v>
      </c>
      <c r="O21" s="1541"/>
      <c r="P21" s="1542">
        <f>SUMPRODUCT((地价!A3:A28=YEAR(G19)&amp;"-"&amp;ROUNDUP(MONTH(G19)/3,0))*(地价!AD2:AH2=N21)*(地价!AD3:AH28))</f>
        <v>0</v>
      </c>
      <c r="R21" s="1357"/>
      <c r="S21" s="1357"/>
      <c r="T21" s="1352"/>
      <c r="U21" s="1352"/>
      <c r="V21" s="1352"/>
      <c r="W21" s="1351"/>
      <c r="X21" s="1351"/>
      <c r="Y21" s="1351"/>
      <c r="Z21" s="1358"/>
      <c r="AA21" s="1359"/>
      <c r="AB21" s="1359"/>
      <c r="AC21" s="1359"/>
      <c r="AD21" s="1359"/>
      <c r="AE21" s="1359"/>
      <c r="AF21" s="1359"/>
    </row>
    <row r="22" spans="1:37" s="2706" customFormat="1" ht="14.4">
      <c r="A22" s="2634" t="s">
        <v>2877</v>
      </c>
      <c r="B22" s="2776" t="s">
        <v>2878</v>
      </c>
      <c r="C22" s="1788" t="s">
        <v>2879</v>
      </c>
      <c r="D22" s="1788" t="str">
        <f>IF(E22=G22,F22,IF(G3&lt;=10,ROUND(F22+(H22-F22)*(G3-E22)/(G22-E22),4),"——"))</f>
        <v>——</v>
      </c>
      <c r="E22" s="905">
        <f>ROUNDDOWN(G3,1)</f>
        <v>10.5</v>
      </c>
      <c r="F22" s="178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5">
        <f>ROUNDUP(G3,1)</f>
        <v>10.6</v>
      </c>
      <c r="H22" s="178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8" t="s">
        <v>155</v>
      </c>
      <c r="J22" s="927">
        <f>IF(G3&gt;10,D113,"——")</f>
        <v>0.71970000000000001</v>
      </c>
      <c r="K22" s="1358"/>
      <c r="N22" s="2775" t="s">
        <v>2880</v>
      </c>
      <c r="O22" s="1541">
        <v>0.02</v>
      </c>
      <c r="P22" s="1542">
        <f>SUMPRODUCT((地价!A3:A28=YEAR(G19)&amp;"-"&amp;ROUNDUP(MONTH(G19)/3,0))*(地价!AD2:AH2=N22)*(地价!AD3:AH28))</f>
        <v>0</v>
      </c>
      <c r="R22" s="1357"/>
      <c r="S22" s="1357"/>
      <c r="T22" s="1352"/>
      <c r="U22" s="1352"/>
      <c r="V22" s="1352"/>
      <c r="W22" s="1351"/>
      <c r="X22" s="1351"/>
      <c r="Y22" s="1351"/>
      <c r="Z22" s="1358"/>
      <c r="AA22" s="1359"/>
      <c r="AB22" s="1359"/>
      <c r="AC22" s="1359"/>
      <c r="AD22" s="1359"/>
      <c r="AE22" s="1359"/>
      <c r="AF22" s="1359"/>
    </row>
    <row r="23" spans="1:37" ht="29.4" thickBot="1">
      <c r="A23" s="2634" t="s">
        <v>2881</v>
      </c>
      <c r="B23" s="2777" t="s">
        <v>2882</v>
      </c>
      <c r="C23" s="1002">
        <f>ROUND(IF(G3&gt;1,IF(I3&lt;7,SUMPRODUCT((B93:B98=I3)*(C92:N92=G2)*(C93:N98)),SUMIF(C92:N92,G2,C100:N100)),IF(I3&lt;7,SUMPRODUCT((B102:B107=I3)*(C92:N92=G2)*(C102:N107)),SUMIF(C92:N92,G2,C109:N109))),4)</f>
        <v>0</v>
      </c>
      <c r="D23" s="2741"/>
      <c r="E23" s="2741"/>
      <c r="F23" s="2778"/>
      <c r="G23" s="2779"/>
      <c r="H23" s="2780"/>
      <c r="I23" s="2781"/>
      <c r="J23" s="2782"/>
      <c r="K23" s="1351"/>
      <c r="N23" s="2775" t="s">
        <v>2883</v>
      </c>
      <c r="O23" s="1541"/>
      <c r="P23" s="1542">
        <f>SUMPRODUCT((地价!A3:A28=YEAR(G19)&amp;"-"&amp;ROUNDUP(MONTH(G19)/3,0))*(地价!AD2:AH2=N23)*(地价!AD3:AH28))</f>
        <v>0</v>
      </c>
      <c r="R23" s="1357"/>
      <c r="S23" s="1357"/>
      <c r="T23" s="1352"/>
      <c r="U23" s="1352"/>
      <c r="V23" s="1352"/>
      <c r="W23" s="1351"/>
      <c r="X23" s="1351"/>
      <c r="Y23" s="1351"/>
      <c r="Z23" s="1358"/>
      <c r="AA23" s="1359"/>
      <c r="AB23" s="1359"/>
      <c r="AC23" s="1359"/>
      <c r="AD23" s="1359"/>
      <c r="AK23" s="2756"/>
    </row>
    <row r="24" spans="1:37" s="2706" customFormat="1" ht="15" thickBot="1">
      <c r="A24" s="2764" t="s">
        <v>812</v>
      </c>
      <c r="B24" s="2753" t="s">
        <v>2884</v>
      </c>
      <c r="C24" s="913">
        <f>SUMIF(A45:A88,E2,B45:B88)</f>
        <v>1.0836999999999999</v>
      </c>
      <c r="D24" s="2754"/>
      <c r="E24" s="2783"/>
      <c r="F24" s="2783"/>
      <c r="G24" s="2783"/>
      <c r="H24" s="2783"/>
      <c r="I24" s="2783"/>
      <c r="J24" s="2784"/>
      <c r="K24" s="1358"/>
      <c r="N24" s="2785" t="s">
        <v>2885</v>
      </c>
      <c r="O24" s="1543"/>
      <c r="P24" s="1544">
        <f>SUMPRODUCT((地价!A3:A28=YEAR(G19)&amp;"-"&amp;ROUNDUP(MONTH(G19)/3,0))*(地价!AD2:AH2=N24)*(地价!AD3:AH28))</f>
        <v>0</v>
      </c>
      <c r="R24" s="1357"/>
      <c r="S24" s="1357"/>
      <c r="T24" s="1352"/>
      <c r="U24" s="1352"/>
      <c r="V24" s="1352"/>
      <c r="W24" s="1351"/>
      <c r="X24" s="1351"/>
      <c r="Y24" s="1351"/>
      <c r="Z24" s="1358"/>
      <c r="AA24" s="1359"/>
      <c r="AB24" s="1359"/>
      <c r="AC24" s="1359"/>
      <c r="AD24" s="1359"/>
      <c r="AE24" s="1359"/>
      <c r="AF24" s="1359"/>
    </row>
    <row r="25" spans="1:37" ht="15" thickBot="1">
      <c r="A25" s="2764" t="s">
        <v>813</v>
      </c>
      <c r="B25" s="2786" t="s">
        <v>2886</v>
      </c>
      <c r="C25" s="919"/>
      <c r="D25" s="2716"/>
      <c r="E25" s="2716"/>
      <c r="F25" s="2787"/>
      <c r="G25" s="2716"/>
      <c r="H25" s="2716"/>
      <c r="I25" s="2716"/>
      <c r="J25" s="2717"/>
      <c r="K25" s="1351"/>
      <c r="N25" s="2788" t="s">
        <v>2887</v>
      </c>
      <c r="O25" s="1545"/>
      <c r="P25" s="1544">
        <f>SUMPRODUCT((地价!A3:A28=YEAR(G19)&amp;"-"&amp;ROUNDUP(MONTH(G19)/3,0))*(地价!AD2:AH2=N25)*(地价!AD3:AH28))</f>
        <v>0</v>
      </c>
      <c r="R25" s="1357"/>
      <c r="S25" s="1357"/>
      <c r="T25" s="1352"/>
      <c r="U25" s="1352"/>
      <c r="V25" s="1352"/>
      <c r="W25" s="1351"/>
      <c r="X25" s="1351"/>
      <c r="Y25" s="1351"/>
      <c r="Z25" s="1358"/>
      <c r="AA25" s="1359"/>
      <c r="AB25" s="1359"/>
      <c r="AC25" s="1359"/>
      <c r="AD25" s="1359"/>
    </row>
    <row r="26" spans="1:37" ht="14.4">
      <c r="A26" s="2789"/>
      <c r="B26" s="2776" t="s">
        <v>2888</v>
      </c>
      <c r="C26" s="206" t="e">
        <f ca="1">E29+SUM(E33:E39)</f>
        <v>#DIV/0!</v>
      </c>
      <c r="D26" s="2790"/>
      <c r="E26" s="2741"/>
      <c r="F26" s="2791"/>
      <c r="G26" s="2741"/>
      <c r="H26" s="2741"/>
      <c r="I26" s="2741"/>
      <c r="J26" s="2792"/>
      <c r="K26" s="1351"/>
      <c r="L26" s="2745" t="s">
        <v>2787</v>
      </c>
      <c r="M26" s="909" t="s">
        <v>2852</v>
      </c>
      <c r="N26" s="909" t="s">
        <v>2853</v>
      </c>
      <c r="O26" s="909" t="s">
        <v>2854</v>
      </c>
      <c r="P26" s="2746" t="s">
        <v>2855</v>
      </c>
      <c r="R26" s="1357"/>
      <c r="S26" s="1357"/>
      <c r="T26" s="1352"/>
      <c r="U26" s="1352"/>
      <c r="V26" s="1352"/>
      <c r="W26" s="1351"/>
      <c r="X26" s="1351"/>
      <c r="Y26" s="1351"/>
      <c r="Z26" s="1358"/>
      <c r="AA26" s="1359"/>
      <c r="AB26" s="1359"/>
      <c r="AC26" s="1359"/>
      <c r="AD26" s="1359"/>
    </row>
    <row r="27" spans="1:37" ht="15" thickBot="1">
      <c r="A27" s="2789"/>
      <c r="B27" s="2793" t="s">
        <v>2889</v>
      </c>
      <c r="C27" s="920" t="e">
        <f ca="1">E30+SUM(I33:I39)</f>
        <v>#DIV/0!</v>
      </c>
      <c r="D27" s="2794"/>
      <c r="E27" s="2795"/>
      <c r="F27" s="2796"/>
      <c r="G27" s="2795"/>
      <c r="H27" s="2795"/>
      <c r="I27" s="2795"/>
      <c r="J27" s="2797"/>
      <c r="K27" s="1351"/>
      <c r="L27" s="2749" t="s">
        <v>2859</v>
      </c>
      <c r="M27" s="911">
        <v>0.25</v>
      </c>
      <c r="N27" s="911">
        <v>0.2</v>
      </c>
      <c r="O27" s="911">
        <v>0.15</v>
      </c>
      <c r="P27" s="1350">
        <v>0.1</v>
      </c>
      <c r="Q27" s="1357"/>
      <c r="R27" s="1357"/>
      <c r="S27" s="1357"/>
      <c r="T27" s="1352"/>
      <c r="U27" s="1352"/>
      <c r="V27" s="1352"/>
      <c r="W27" s="1351"/>
      <c r="X27" s="1351"/>
      <c r="Y27" s="1351"/>
      <c r="Z27" s="1358"/>
      <c r="AA27" s="1359"/>
      <c r="AB27" s="1359"/>
      <c r="AC27" s="1359"/>
      <c r="AD27" s="1359"/>
    </row>
    <row r="28" spans="1:37" ht="15" thickBot="1">
      <c r="A28" s="2798"/>
      <c r="B28" s="2799" t="s">
        <v>2890</v>
      </c>
      <c r="C28" s="2800" t="s">
        <v>2891</v>
      </c>
      <c r="D28" s="2800" t="s">
        <v>2892</v>
      </c>
      <c r="E28" s="2801" t="s">
        <v>2893</v>
      </c>
      <c r="F28" s="2802"/>
      <c r="G28" s="2729"/>
      <c r="H28" s="2729"/>
      <c r="I28" s="2729"/>
      <c r="J28" s="2730"/>
      <c r="K28" s="1351"/>
      <c r="L28" s="2750" t="s">
        <v>2862</v>
      </c>
      <c r="M28" s="211">
        <f ca="1">ROUND($E$20*(1+M27),3)</f>
        <v>5.3999999999999999E-2</v>
      </c>
      <c r="N28" s="211">
        <f ca="1">ROUND($E$20*(1+N27),3)</f>
        <v>5.1999999999999998E-2</v>
      </c>
      <c r="O28" s="211">
        <f ca="1">ROUND($E$20*(1+O27),3)</f>
        <v>0.05</v>
      </c>
      <c r="P28" s="1354">
        <f ca="1">ROUND($E$20*(1+P27),3)</f>
        <v>4.8000000000000001E-2</v>
      </c>
      <c r="Q28" s="1357"/>
      <c r="R28" s="1357"/>
      <c r="S28" s="1357"/>
      <c r="T28" s="1352"/>
      <c r="U28" s="1352"/>
      <c r="V28" s="1352"/>
      <c r="W28" s="1351"/>
      <c r="X28" s="1351"/>
      <c r="Y28" s="1351"/>
      <c r="Z28" s="1358"/>
      <c r="AA28" s="1359"/>
      <c r="AB28" s="1359"/>
      <c r="AC28" s="1359"/>
      <c r="AD28" s="1359"/>
    </row>
    <row r="29" spans="1:37" ht="22.5" customHeight="1">
      <c r="A29" s="2803"/>
      <c r="B29" s="2804" t="s">
        <v>2894</v>
      </c>
      <c r="C29" s="206" t="e">
        <f ca="1">ROUND(C5*C18*C19*C20*C21*C24,0)</f>
        <v>#DIV/0!</v>
      </c>
      <c r="D29" s="2805"/>
      <c r="E29" s="931" t="e">
        <f ca="1">ROUND(C29*D29/10000,0)</f>
        <v>#DIV/0!</v>
      </c>
      <c r="F29" s="2806" t="s">
        <v>2895</v>
      </c>
      <c r="G29" s="2807"/>
      <c r="H29" s="2807"/>
      <c r="I29" s="2807"/>
      <c r="J29" s="2808"/>
      <c r="K29" s="1351"/>
      <c r="L29" s="1351"/>
      <c r="M29" s="1351"/>
      <c r="N29" s="1351"/>
      <c r="O29" s="1356"/>
      <c r="P29" s="1356"/>
      <c r="Q29" s="1357"/>
      <c r="R29" s="1357"/>
      <c r="S29" s="1357"/>
      <c r="T29" s="1352"/>
      <c r="U29" s="1352"/>
      <c r="V29" s="1352"/>
      <c r="W29" s="1351"/>
      <c r="X29" s="1351"/>
      <c r="Y29" s="1351"/>
      <c r="Z29" s="1358"/>
      <c r="AA29" s="1359"/>
      <c r="AB29" s="1359"/>
      <c r="AC29" s="1359"/>
      <c r="AD29" s="1359"/>
      <c r="AE29" s="2751"/>
      <c r="AF29" s="2751"/>
      <c r="AG29" s="2688"/>
      <c r="AH29" s="2688"/>
      <c r="AI29" s="2688"/>
      <c r="AJ29" s="2688"/>
    </row>
    <row r="30" spans="1:37" ht="25.8" thickBot="1">
      <c r="A30" s="2809"/>
      <c r="B30" s="2810" t="s">
        <v>2896</v>
      </c>
      <c r="C30" s="229" t="e">
        <f ca="1">ROUND(IF(E2="工业",C29*M39,C29*M38),0)</f>
        <v>#DIV/0!</v>
      </c>
      <c r="D30" s="2811"/>
      <c r="E30" s="931" t="e">
        <f ca="1">ROUND(C30*D30/10000,0)</f>
        <v>#DIV/0!</v>
      </c>
      <c r="F30" s="2812" t="s">
        <v>2897</v>
      </c>
      <c r="G30" s="2813"/>
      <c r="H30" s="2813"/>
      <c r="I30" s="2813"/>
      <c r="J30" s="2814"/>
      <c r="K30" s="1351"/>
      <c r="L30" s="1351"/>
      <c r="M30" s="1351"/>
      <c r="N30" s="1351"/>
      <c r="O30" s="1356"/>
      <c r="P30" s="1356"/>
      <c r="Q30" s="1357"/>
      <c r="R30" s="1357"/>
      <c r="S30" s="1357"/>
      <c r="T30" s="1352"/>
      <c r="U30" s="1352"/>
      <c r="V30" s="1352"/>
      <c r="W30" s="1351"/>
      <c r="X30" s="1351"/>
      <c r="Y30" s="1351"/>
      <c r="Z30" s="1358"/>
      <c r="AA30" s="1359"/>
      <c r="AB30" s="1359"/>
      <c r="AC30" s="1359"/>
      <c r="AD30" s="1359"/>
      <c r="AE30" s="2751"/>
      <c r="AF30" s="2751"/>
      <c r="AG30" s="2688"/>
      <c r="AH30" s="2688"/>
      <c r="AI30" s="2688"/>
      <c r="AJ30" s="2688"/>
    </row>
    <row r="31" spans="1:37" ht="13.8">
      <c r="A31" s="2815"/>
      <c r="B31" s="2816" t="s">
        <v>2898</v>
      </c>
      <c r="C31" s="2817" t="s">
        <v>2899</v>
      </c>
      <c r="D31" s="2729"/>
      <c r="E31" s="2817"/>
      <c r="F31" s="2817"/>
      <c r="G31" s="2727" t="s">
        <v>2900</v>
      </c>
      <c r="H31" s="2729"/>
      <c r="I31" s="2818"/>
      <c r="J31" s="2730"/>
      <c r="K31" s="1351"/>
      <c r="L31" s="1351"/>
      <c r="M31" s="1351"/>
      <c r="N31" s="1351"/>
      <c r="O31" s="1356"/>
      <c r="P31" s="1356"/>
      <c r="Q31" s="1357"/>
      <c r="R31" s="1357"/>
      <c r="S31" s="1357"/>
      <c r="T31" s="1352"/>
      <c r="U31" s="1352"/>
      <c r="V31" s="1352"/>
      <c r="W31" s="1351"/>
      <c r="X31" s="1351"/>
      <c r="Y31" s="1351"/>
      <c r="Z31" s="1358"/>
      <c r="AA31" s="1359"/>
      <c r="AB31" s="1359"/>
      <c r="AC31" s="1359"/>
      <c r="AD31" s="1359"/>
      <c r="AE31" s="2751"/>
      <c r="AF31" s="2751"/>
      <c r="AG31" s="2688"/>
      <c r="AH31" s="2688"/>
      <c r="AI31" s="2688"/>
      <c r="AJ31" s="2688"/>
    </row>
    <row r="32" spans="1:37" ht="36">
      <c r="A32" s="2803"/>
      <c r="B32" s="2819"/>
      <c r="C32" s="500" t="s">
        <v>2891</v>
      </c>
      <c r="D32" s="497" t="s">
        <v>2892</v>
      </c>
      <c r="E32" s="497" t="s">
        <v>2893</v>
      </c>
      <c r="F32" s="388" t="s">
        <v>2901</v>
      </c>
      <c r="G32" s="2820" t="s">
        <v>2891</v>
      </c>
      <c r="H32" s="2820" t="s">
        <v>2892</v>
      </c>
      <c r="I32" s="2820" t="s">
        <v>2893</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51"/>
      <c r="AF32" s="2751"/>
      <c r="AG32" s="2688"/>
      <c r="AH32" s="2688"/>
      <c r="AI32" s="2688"/>
      <c r="AJ32" s="2688"/>
    </row>
    <row r="33" spans="1:37" ht="36" customHeight="1">
      <c r="A33" s="3798" t="s">
        <v>2902</v>
      </c>
      <c r="B33" s="2821" t="s">
        <v>2903</v>
      </c>
      <c r="C33" s="206" t="e">
        <f ca="1">ROUND(D5*C19*C20*C24*F33,0)</f>
        <v>#DIV/0!</v>
      </c>
      <c r="D33" s="2805"/>
      <c r="E33" s="200" t="e">
        <f ca="1">ROUND(C33*D33/10000,0)</f>
        <v>#DIV/0!</v>
      </c>
      <c r="F33" s="200">
        <f>SUMIF(修正!A45:A56,G2,修正!B45:B56)</f>
        <v>0.7</v>
      </c>
      <c r="G33" s="200" t="e">
        <f t="shared" ref="G33" ca="1" si="6">ROUND(IF(E2="工业",C33*$M$39,C33*$M$38),0)</f>
        <v>#DIV/0!</v>
      </c>
      <c r="H33" s="200">
        <f>D33</f>
        <v>0</v>
      </c>
      <c r="I33" s="200" t="e">
        <f ca="1">ROUND(G33*H33/10000,0)</f>
        <v>#DIV/0!</v>
      </c>
      <c r="J33" s="2822"/>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3.8">
      <c r="A34" s="3799"/>
      <c r="B34" s="2733" t="s">
        <v>2904</v>
      </c>
      <c r="C34" s="206" t="e">
        <f ca="1">ROUND(D5*C19*C20*C24*F34,0)</f>
        <v>#DIV/0!</v>
      </c>
      <c r="D34" s="2805"/>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2"/>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799"/>
      <c r="B35" s="2733" t="s">
        <v>2905</v>
      </c>
      <c r="C35" s="206" t="e">
        <f ca="1">ROUND(D5*C19*C20*C24*F35,0)</f>
        <v>#DIV/0!</v>
      </c>
      <c r="D35" s="2805"/>
      <c r="E35" s="200" t="e">
        <f t="shared" ca="1" si="7"/>
        <v>#DIV/0!</v>
      </c>
      <c r="F35" s="200">
        <f>SUMIF(修正!A45:A56,G2,修正!D45:D56)</f>
        <v>0.28000000000000003</v>
      </c>
      <c r="G35" s="200" t="e">
        <f ca="1">ROUND(IF(E2="工业",C35*$M$39,C35*$M$38),0)</f>
        <v>#DIV/0!</v>
      </c>
      <c r="H35" s="200">
        <f t="shared" si="8"/>
        <v>0</v>
      </c>
      <c r="I35" s="200" t="e">
        <f t="shared" ca="1" si="9"/>
        <v>#DIV/0!</v>
      </c>
      <c r="J35" s="2822"/>
      <c r="K35" s="1351"/>
      <c r="L35" s="1351"/>
      <c r="M35" s="1351"/>
      <c r="N35" s="1351"/>
      <c r="O35" s="1351"/>
      <c r="P35" s="1351"/>
      <c r="Q35" s="1351"/>
      <c r="R35" s="1351"/>
      <c r="S35" s="1351"/>
      <c r="T35" s="1351"/>
      <c r="U35" s="1351"/>
      <c r="V35" s="1351"/>
      <c r="W35" s="1351"/>
      <c r="X35" s="1351"/>
      <c r="Y35" s="1351"/>
      <c r="Z35" s="1352"/>
    </row>
    <row r="36" spans="1:37" ht="13.8" thickBot="1">
      <c r="A36" s="3800"/>
      <c r="B36" s="2733" t="s">
        <v>2906</v>
      </c>
      <c r="C36" s="206" t="e">
        <f ca="1">ROUND(D5*C19*C20*C24*F36,0)</f>
        <v>#DIV/0!</v>
      </c>
      <c r="D36" s="2805"/>
      <c r="E36" s="200" t="e">
        <f t="shared" ca="1" si="7"/>
        <v>#DIV/0!</v>
      </c>
      <c r="F36" s="200">
        <f>SUMIF(修正!A45:A56,G2,修正!E45:E56)</f>
        <v>0.25</v>
      </c>
      <c r="G36" s="200" t="e">
        <f ca="1">ROUND(IF(E2="工业",C36*$M$39,C36*$M$38),0)</f>
        <v>#DIV/0!</v>
      </c>
      <c r="H36" s="200">
        <f t="shared" si="8"/>
        <v>0</v>
      </c>
      <c r="I36" s="200" t="e">
        <f t="shared" ca="1" si="9"/>
        <v>#DIV/0!</v>
      </c>
      <c r="J36" s="2822"/>
      <c r="K36" s="1351"/>
      <c r="L36" s="2687"/>
      <c r="M36" s="2687"/>
      <c r="N36" s="1351"/>
      <c r="O36" s="1351"/>
      <c r="P36" s="1351"/>
      <c r="Q36" s="1351"/>
      <c r="R36" s="1351"/>
      <c r="S36" s="1351"/>
      <c r="T36" s="1351"/>
      <c r="U36" s="1351"/>
      <c r="V36" s="1351"/>
      <c r="W36" s="1351"/>
      <c r="X36" s="1351"/>
      <c r="Y36" s="1351"/>
      <c r="Z36" s="1352"/>
    </row>
    <row r="37" spans="1:37">
      <c r="A37" s="2823"/>
      <c r="B37" s="2733" t="s">
        <v>2907</v>
      </c>
      <c r="C37" s="200" t="e">
        <f ca="1">ROUND(D5*C19*C20*C24*F37,0)</f>
        <v>#DIV/0!</v>
      </c>
      <c r="D37" s="2805">
        <f>'数据-基础表'!M13</f>
        <v>82629.64</v>
      </c>
      <c r="E37" s="200" t="e">
        <f t="shared" ca="1" si="7"/>
        <v>#DIV/0!</v>
      </c>
      <c r="F37" s="206">
        <f>SUMIF(修正!A45:A56,G2,修正!F45:F56)</f>
        <v>0.25</v>
      </c>
      <c r="G37" s="200" t="e">
        <f ca="1">ROUND(IF(E2="工业",C37*$M$39,C37*$M$38),0)</f>
        <v>#DIV/0!</v>
      </c>
      <c r="H37" s="200">
        <f t="shared" si="8"/>
        <v>82629.64</v>
      </c>
      <c r="I37" s="200" t="e">
        <f t="shared" ca="1" si="9"/>
        <v>#DIV/0!</v>
      </c>
      <c r="J37" s="2822"/>
      <c r="K37" s="1351"/>
      <c r="L37" s="2824" t="s">
        <v>2908</v>
      </c>
      <c r="M37" s="2825"/>
      <c r="N37" s="1351"/>
      <c r="O37" s="1351"/>
      <c r="P37" s="1351"/>
      <c r="Q37" s="1351"/>
      <c r="R37" s="1351"/>
      <c r="S37" s="1351"/>
      <c r="T37" s="1351"/>
      <c r="U37" s="1351"/>
      <c r="V37" s="1351"/>
      <c r="W37" s="1351"/>
      <c r="X37" s="1351"/>
      <c r="Y37" s="1351"/>
      <c r="Z37" s="1352"/>
    </row>
    <row r="38" spans="1:37">
      <c r="A38" s="2823"/>
      <c r="B38" s="2733" t="s">
        <v>2909</v>
      </c>
      <c r="C38" s="200">
        <f ca="1">ROUND(D5*C19*C41*C24*F38,0)</f>
        <v>0</v>
      </c>
      <c r="D38" s="2805"/>
      <c r="E38" s="200">
        <f t="shared" ca="1" si="7"/>
        <v>0</v>
      </c>
      <c r="F38" s="206">
        <f>SUMIF(修正!A45:A56,G2,修正!G45:G56)</f>
        <v>0.25</v>
      </c>
      <c r="G38" s="200">
        <f ca="1">ROUND(IF(E2="工业",C38*$M$39,C38*$M$38),0)</f>
        <v>0</v>
      </c>
      <c r="H38" s="200">
        <f t="shared" si="8"/>
        <v>0</v>
      </c>
      <c r="I38" s="200">
        <f t="shared" ca="1" si="9"/>
        <v>0</v>
      </c>
      <c r="J38" s="2822"/>
      <c r="K38" s="1351"/>
      <c r="L38" s="1865" t="s">
        <v>2910</v>
      </c>
      <c r="M38" s="2826">
        <v>0.25</v>
      </c>
      <c r="N38" s="1351"/>
      <c r="O38" s="1351"/>
      <c r="P38" s="1351"/>
      <c r="Q38" s="1351"/>
      <c r="R38" s="1351"/>
      <c r="S38" s="1351"/>
      <c r="T38" s="1351"/>
      <c r="U38" s="1351"/>
      <c r="V38" s="1351"/>
      <c r="W38" s="1351"/>
      <c r="X38" s="1351"/>
      <c r="Y38" s="1351"/>
      <c r="Z38" s="1352"/>
    </row>
    <row r="39" spans="1:37" ht="13.8" thickBot="1">
      <c r="A39" s="2809"/>
      <c r="B39" s="2827" t="s">
        <v>2911</v>
      </c>
      <c r="C39" s="229">
        <f ca="1">ROUND(D5*C19*C41*C24*F39,0)</f>
        <v>0</v>
      </c>
      <c r="D39" s="2811"/>
      <c r="E39" s="229">
        <f t="shared" ca="1" si="7"/>
        <v>0</v>
      </c>
      <c r="F39" s="921">
        <f>SUMIF(修正!A45:A56,G2,修正!H45:H56)</f>
        <v>0.2</v>
      </c>
      <c r="G39" s="229">
        <f ca="1">ROUND(IF(E2="工业",C39*$M$39,C39*$M$38),0)</f>
        <v>0</v>
      </c>
      <c r="H39" s="229">
        <f t="shared" si="8"/>
        <v>0</v>
      </c>
      <c r="I39" s="229">
        <f t="shared" ca="1" si="9"/>
        <v>0</v>
      </c>
      <c r="J39" s="2828"/>
      <c r="K39" s="1351"/>
      <c r="L39" s="2829" t="s">
        <v>2855</v>
      </c>
      <c r="M39" s="2830">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ht="24">
      <c r="A41" s="1352"/>
      <c r="B41" s="2898" t="s">
        <v>3017</v>
      </c>
      <c r="C41" s="388">
        <f ca="1">ROUND(POWER(1+E41,H41-G41)*(POWER(1+E41,G41)-1)/(POWER(1+E41,H41)-1),4)</f>
        <v>0</v>
      </c>
      <c r="D41" s="200" t="s">
        <v>2862</v>
      </c>
      <c r="E41" s="2897">
        <f ca="1">G20</f>
        <v>5.1999999999999998E-2</v>
      </c>
      <c r="F41" s="200" t="s">
        <v>2871</v>
      </c>
      <c r="G41" s="218"/>
      <c r="H41" s="200">
        <v>50</v>
      </c>
      <c r="Z41" s="1352"/>
      <c r="AA41" s="1352"/>
      <c r="AB41" s="1352"/>
      <c r="AC41" s="1352"/>
      <c r="AD41" s="1352"/>
      <c r="AE41" s="1352"/>
      <c r="AF41" s="1352"/>
      <c r="AG41" s="1352"/>
      <c r="AH41" s="1352"/>
      <c r="AI41" s="1352"/>
      <c r="AJ41" s="1352"/>
    </row>
    <row r="42" spans="1:37" s="1351" customFormat="1">
      <c r="A42" s="1352"/>
      <c r="B42" s="2831"/>
      <c r="Z42" s="1352"/>
      <c r="AA42" s="1352"/>
      <c r="AB42" s="1352"/>
      <c r="AC42" s="1352"/>
      <c r="AD42" s="1352"/>
      <c r="AE42" s="1352"/>
      <c r="AF42" s="1352"/>
      <c r="AG42" s="1352"/>
      <c r="AH42" s="1352"/>
      <c r="AI42" s="1352"/>
      <c r="AJ42" s="1352"/>
    </row>
    <row r="43" spans="1:37" s="1351" customFormat="1">
      <c r="A43" s="1352"/>
      <c r="B43" s="2831"/>
      <c r="Z43" s="1352"/>
      <c r="AA43" s="1352"/>
      <c r="AB43" s="1352"/>
      <c r="AC43" s="1352"/>
      <c r="AD43" s="1352"/>
      <c r="AE43" s="1352"/>
      <c r="AF43" s="1352"/>
      <c r="AG43" s="1352"/>
      <c r="AH43" s="1352"/>
      <c r="AI43" s="1352"/>
      <c r="AJ43" s="1352"/>
    </row>
    <row r="44" spans="1:37" s="1351" customFormat="1">
      <c r="A44" s="1352"/>
      <c r="B44" s="2831"/>
      <c r="Z44" s="1352"/>
      <c r="AA44" s="1352"/>
      <c r="AB44" s="1352"/>
      <c r="AC44" s="1352"/>
      <c r="AD44" s="1352"/>
      <c r="AE44" s="1352"/>
      <c r="AF44" s="1352"/>
      <c r="AG44" s="1352"/>
      <c r="AH44" s="1352"/>
      <c r="AI44" s="1352"/>
      <c r="AJ44" s="1352"/>
    </row>
    <row r="45" spans="1:37" s="1351" customFormat="1" ht="15" thickBot="1">
      <c r="A45" s="2832" t="s">
        <v>2912</v>
      </c>
      <c r="B45" s="2833"/>
      <c r="C45" s="7"/>
      <c r="D45" s="7"/>
      <c r="E45" s="7"/>
      <c r="F45" s="6"/>
      <c r="G45" s="6"/>
      <c r="H45" s="6"/>
      <c r="I45" s="7"/>
      <c r="J45" s="7"/>
      <c r="K45" s="7"/>
      <c r="L45" s="7"/>
      <c r="M45" s="7"/>
      <c r="N45" s="2751"/>
      <c r="Z45" s="1352"/>
      <c r="AA45" s="1352"/>
      <c r="AB45" s="1352"/>
      <c r="AC45" s="1352"/>
      <c r="AD45" s="1352"/>
      <c r="AE45" s="1352"/>
      <c r="AF45" s="1352"/>
      <c r="AG45" s="1352"/>
      <c r="AH45" s="1352"/>
      <c r="AI45" s="1352"/>
      <c r="AJ45" s="1352"/>
    </row>
    <row r="46" spans="1:37" s="1351" customFormat="1" ht="14.4">
      <c r="A46" s="2834" t="s">
        <v>2913</v>
      </c>
      <c r="B46" s="2835">
        <f>1+E48</f>
        <v>1</v>
      </c>
      <c r="C46" s="2836"/>
      <c r="D46" s="803"/>
      <c r="E46" s="804"/>
      <c r="F46" s="2837"/>
      <c r="G46" s="6"/>
      <c r="H46" s="7"/>
      <c r="I46" s="7"/>
      <c r="J46" s="7"/>
      <c r="K46" s="7"/>
      <c r="L46" s="7"/>
      <c r="M46" s="7"/>
      <c r="N46" s="2751"/>
      <c r="Z46" s="1352"/>
      <c r="AA46" s="1352"/>
      <c r="AB46" s="1352"/>
      <c r="AC46" s="1352"/>
      <c r="AD46" s="1352"/>
      <c r="AE46" s="1352"/>
      <c r="AF46" s="1352"/>
      <c r="AG46" s="1352"/>
      <c r="AH46" s="1352"/>
      <c r="AI46" s="1352"/>
      <c r="AJ46" s="1352"/>
    </row>
    <row r="47" spans="1:37" s="1351" customFormat="1" ht="25.2">
      <c r="A47" s="2838" t="s">
        <v>2914</v>
      </c>
      <c r="B47" s="1787" t="s">
        <v>2915</v>
      </c>
      <c r="C47" s="1787" t="s">
        <v>2916</v>
      </c>
      <c r="D47" s="1787" t="s">
        <v>2917</v>
      </c>
      <c r="E47" s="808" t="s">
        <v>2918</v>
      </c>
      <c r="F47" s="2839" t="s">
        <v>2919</v>
      </c>
      <c r="G47" s="1787" t="s">
        <v>754</v>
      </c>
      <c r="H47" s="2840" t="s">
        <v>2920</v>
      </c>
      <c r="I47" s="1787" t="s">
        <v>2921</v>
      </c>
      <c r="J47" s="602" t="s">
        <v>2580</v>
      </c>
      <c r="K47" s="602" t="s">
        <v>2581</v>
      </c>
      <c r="L47" s="602" t="s">
        <v>2582</v>
      </c>
      <c r="M47" s="602" t="s">
        <v>2583</v>
      </c>
      <c r="N47" s="602" t="s">
        <v>2584</v>
      </c>
      <c r="AA47" s="1352"/>
      <c r="AB47" s="1352"/>
      <c r="AC47" s="1352"/>
      <c r="AD47" s="1352"/>
      <c r="AE47" s="1352"/>
      <c r="AF47" s="1352"/>
      <c r="AG47" s="1352"/>
      <c r="AH47" s="1352"/>
      <c r="AI47" s="1352"/>
      <c r="AJ47" s="1352"/>
      <c r="AK47" s="1352"/>
    </row>
    <row r="48" spans="1:37" s="1351" customFormat="1" ht="52.8">
      <c r="A48" s="2838" t="s">
        <v>2922</v>
      </c>
      <c r="B48" s="2841" t="str">
        <f>估价对象房地状况!C4</f>
        <v>估价对象位于天府广场商圈，周边商业氛围成熟，人流量大，商业繁华度好</v>
      </c>
      <c r="C48" s="2738"/>
      <c r="D48" s="1267">
        <f t="shared" ref="D48:D56" si="10">SUMIF($J$47:$N$47,C48,J48:N48)</f>
        <v>0</v>
      </c>
      <c r="E48" s="810">
        <f>ROUND(SUM(D48:D56),4)</f>
        <v>0</v>
      </c>
      <c r="F48" s="2471" t="str">
        <f>IF(E2="商业",SUMIF(L1:L12,G2,N1:N12),"——")</f>
        <v>——</v>
      </c>
      <c r="G48" s="1265"/>
      <c r="H48" s="1269" t="str">
        <f t="shared" ref="H48:H56" si="11">IFERROR(ROUNDDOWN($F$48*I48/2,4),"——")</f>
        <v>——</v>
      </c>
      <c r="I48" s="809">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79.2">
      <c r="A49" s="2838" t="s">
        <v>2923</v>
      </c>
      <c r="B49" s="2842" t="str">
        <f>估价对象房地状况!C18</f>
        <v>估价对象周边道路状况较好、地铁14、15号线通过，公共交通通达情况较好、停车便捷程度较好，综合评价交通便捷度较好</v>
      </c>
      <c r="C49" s="2738"/>
      <c r="D49" s="1267">
        <f t="shared" si="10"/>
        <v>0</v>
      </c>
      <c r="E49" s="811"/>
      <c r="F49" s="2471"/>
      <c r="G49" s="1265"/>
      <c r="H49" s="1269" t="str">
        <f t="shared" si="11"/>
        <v>——</v>
      </c>
      <c r="I49" s="809">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6.4">
      <c r="A50" s="2838" t="s">
        <v>2924</v>
      </c>
      <c r="B50" s="2842" t="str">
        <f>估价对象房地状况!C19</f>
        <v>零星有其他用地，基本不影响本宗地</v>
      </c>
      <c r="C50" s="2738"/>
      <c r="D50" s="1267">
        <f t="shared" si="10"/>
        <v>0</v>
      </c>
      <c r="E50" s="811"/>
      <c r="F50" s="2471"/>
      <c r="G50" s="1265"/>
      <c r="H50" s="1269" t="str">
        <f t="shared" si="11"/>
        <v>——</v>
      </c>
      <c r="I50" s="809">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50.4">
      <c r="A51" s="2838" t="s">
        <v>2925</v>
      </c>
      <c r="B51" s="2843" t="s">
        <v>2926</v>
      </c>
      <c r="C51" s="2738"/>
      <c r="D51" s="1267">
        <f t="shared" si="10"/>
        <v>0</v>
      </c>
      <c r="E51" s="811"/>
      <c r="F51" s="2471"/>
      <c r="G51" s="1265"/>
      <c r="H51" s="1269" t="str">
        <f t="shared" si="11"/>
        <v>——</v>
      </c>
      <c r="I51" s="809">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6.4">
      <c r="A52" s="2838" t="s">
        <v>2927</v>
      </c>
      <c r="B52" s="2842" t="str">
        <f>估价对象房地状况!C24</f>
        <v>城市主干道——望京北路</v>
      </c>
      <c r="C52" s="2738"/>
      <c r="D52" s="1267">
        <f t="shared" si="10"/>
        <v>0</v>
      </c>
      <c r="E52" s="811"/>
      <c r="F52" s="2471"/>
      <c r="G52" s="1265"/>
      <c r="H52" s="1269" t="str">
        <f t="shared" si="11"/>
        <v>——</v>
      </c>
      <c r="I52" s="809">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36">
      <c r="A53" s="2838" t="s">
        <v>2928</v>
      </c>
      <c r="B53" s="2844" t="s">
        <v>2929</v>
      </c>
      <c r="C53" s="2738"/>
      <c r="D53" s="1267">
        <f t="shared" si="10"/>
        <v>0</v>
      </c>
      <c r="E53" s="811"/>
      <c r="F53" s="2471"/>
      <c r="G53" s="1265"/>
      <c r="H53" s="1269" t="str">
        <f t="shared" si="11"/>
        <v>——</v>
      </c>
      <c r="I53" s="809">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39.6">
      <c r="A54" s="2845" t="s">
        <v>2930</v>
      </c>
      <c r="B54" s="1704" t="str">
        <f>估价对象房地状况!C21</f>
        <v>估价对象所在区域公共配套设施齐备情况较好</v>
      </c>
      <c r="C54" s="2738"/>
      <c r="D54" s="1267">
        <f t="shared" si="10"/>
        <v>0</v>
      </c>
      <c r="E54" s="811"/>
      <c r="F54" s="2471"/>
      <c r="G54" s="1265"/>
      <c r="H54" s="1269" t="str">
        <f t="shared" si="11"/>
        <v>——</v>
      </c>
      <c r="I54" s="809">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6.4">
      <c r="A55" s="2845" t="s">
        <v>2931</v>
      </c>
      <c r="B55" s="2842" t="str">
        <f>估价对象房地状况!C22</f>
        <v>估价对象所在区域基础设施水平“七通一平</v>
      </c>
      <c r="C55" s="2738"/>
      <c r="D55" s="1267">
        <f t="shared" si="10"/>
        <v>0</v>
      </c>
      <c r="E55" s="811"/>
      <c r="F55" s="2471"/>
      <c r="G55" s="1265"/>
      <c r="H55" s="1269" t="str">
        <f t="shared" si="11"/>
        <v>——</v>
      </c>
      <c r="I55" s="809">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6.599999999999994" thickBot="1">
      <c r="A56" s="2846" t="s">
        <v>2932</v>
      </c>
      <c r="B56" s="2847" t="str">
        <f>估价对象房地状况!C20</f>
        <v>区域自然环境：望湖公园、北小河公园；人文环境：青年政治学院；综合评价环境状况较好</v>
      </c>
      <c r="C56" s="2738"/>
      <c r="D56" s="1267">
        <f t="shared" si="10"/>
        <v>0</v>
      </c>
      <c r="E56" s="814"/>
      <c r="F56" s="2471"/>
      <c r="G56" s="1265"/>
      <c r="H56" s="1269" t="str">
        <f t="shared" si="11"/>
        <v>——</v>
      </c>
      <c r="I56" s="813">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4.4">
      <c r="A57" s="2834" t="s">
        <v>2933</v>
      </c>
      <c r="B57" s="2835">
        <f>1+E59</f>
        <v>1.0836999999999999</v>
      </c>
      <c r="C57" s="803"/>
      <c r="D57" s="803"/>
      <c r="E57" s="804"/>
      <c r="F57" s="2837"/>
      <c r="G57" s="6"/>
      <c r="H57" s="6"/>
      <c r="I57" s="6"/>
      <c r="J57" s="7"/>
      <c r="K57" s="7"/>
      <c r="L57" s="7"/>
      <c r="M57" s="7"/>
      <c r="N57" s="7"/>
      <c r="AA57" s="1352"/>
      <c r="AB57" s="1352"/>
      <c r="AC57" s="1352"/>
      <c r="AD57" s="1352"/>
      <c r="AE57" s="1352"/>
      <c r="AF57" s="1352"/>
      <c r="AG57" s="1352"/>
      <c r="AH57" s="1352"/>
      <c r="AI57" s="1352"/>
      <c r="AJ57" s="1352"/>
      <c r="AK57" s="1352"/>
    </row>
    <row r="58" spans="1:37" s="1351" customFormat="1" ht="25.2">
      <c r="A58" s="2838" t="s">
        <v>2914</v>
      </c>
      <c r="B58" s="1787"/>
      <c r="C58" s="1787" t="s">
        <v>2916</v>
      </c>
      <c r="D58" s="1787" t="s">
        <v>2917</v>
      </c>
      <c r="E58" s="808" t="s">
        <v>2918</v>
      </c>
      <c r="F58" s="2839" t="s">
        <v>2934</v>
      </c>
      <c r="G58" s="1787" t="s">
        <v>754</v>
      </c>
      <c r="H58" s="2840" t="s">
        <v>2920</v>
      </c>
      <c r="I58" s="1787" t="s">
        <v>2921</v>
      </c>
      <c r="J58" s="602" t="s">
        <v>2580</v>
      </c>
      <c r="K58" s="602" t="s">
        <v>2581</v>
      </c>
      <c r="L58" s="602" t="s">
        <v>2582</v>
      </c>
      <c r="M58" s="602" t="s">
        <v>2583</v>
      </c>
      <c r="N58" s="602" t="s">
        <v>2584</v>
      </c>
      <c r="AA58" s="1352"/>
      <c r="AB58" s="1352"/>
      <c r="AC58" s="1352"/>
      <c r="AD58" s="1352"/>
      <c r="AE58" s="1352"/>
      <c r="AF58" s="1352"/>
      <c r="AG58" s="1352"/>
      <c r="AH58" s="1352"/>
      <c r="AI58" s="1352"/>
      <c r="AJ58" s="1352"/>
      <c r="AK58" s="1352"/>
    </row>
    <row r="59" spans="1:37" s="1351" customFormat="1" ht="52.8">
      <c r="A59" s="2838" t="s">
        <v>2935</v>
      </c>
      <c r="B59" s="2841" t="str">
        <f>估价对象房地状况!C17</f>
        <v>估价对象位于天府广场商圈，周边办公楼项目多，入驻率高，办公集聚程度好</v>
      </c>
      <c r="C59" s="2953" t="s">
        <v>3047</v>
      </c>
      <c r="D59" s="1267">
        <f t="shared" ref="D59:D67" si="15">SUMIF($J$58:$N$58,C59,J59:N59)</f>
        <v>2.3400000000000001E-2</v>
      </c>
      <c r="E59" s="810">
        <f>ROUND(SUM(D59:D67),4)</f>
        <v>8.3699999999999997E-2</v>
      </c>
      <c r="F59" s="2471">
        <f>IF(E2="办公",SUMIF(L1:L12,G2,N1:N12),"——")</f>
        <v>8.7999999999999995E-2</v>
      </c>
      <c r="G59" s="1265">
        <v>1.17E-2</v>
      </c>
      <c r="H59" s="1269">
        <f t="shared" ref="H59:H67" si="16">IFERROR(ROUNDDOWN($F$59*I59/2,4),"——")</f>
        <v>1.0500000000000001E-2</v>
      </c>
      <c r="I59" s="809">
        <v>0.24</v>
      </c>
      <c r="J59" s="1266">
        <f t="shared" ref="J59:J67" si="17">K59+$G59</f>
        <v>2.3400000000000001E-2</v>
      </c>
      <c r="K59" s="1266">
        <f t="shared" ref="K59:K67" si="18">$L59+$G59</f>
        <v>1.17E-2</v>
      </c>
      <c r="L59" s="1266">
        <v>0</v>
      </c>
      <c r="M59" s="1266">
        <f t="shared" ref="M59:N67" si="19">L59-$G59</f>
        <v>-1.17E-2</v>
      </c>
      <c r="N59" s="1266">
        <f t="shared" si="19"/>
        <v>-2.3400000000000001E-2</v>
      </c>
      <c r="AA59" s="1352"/>
      <c r="AB59" s="1352"/>
      <c r="AC59" s="1352"/>
      <c r="AD59" s="1352"/>
      <c r="AE59" s="1352"/>
      <c r="AF59" s="1352"/>
      <c r="AG59" s="1352"/>
      <c r="AH59" s="1352"/>
      <c r="AI59" s="1352"/>
      <c r="AJ59" s="1352"/>
      <c r="AK59" s="1352"/>
    </row>
    <row r="60" spans="1:37" s="1351" customFormat="1" ht="79.2">
      <c r="A60" s="2838" t="s">
        <v>2923</v>
      </c>
      <c r="B60" s="2842" t="str">
        <f>估价对象房地状况!C18</f>
        <v>估价对象周边道路状况较好、地铁14、15号线通过，公共交通通达情况较好、停车便捷程度较好，综合评价交通便捷度较好</v>
      </c>
      <c r="C60" s="2953" t="s">
        <v>3047</v>
      </c>
      <c r="D60" s="1267">
        <f t="shared" si="15"/>
        <v>2.9399999999999999E-2</v>
      </c>
      <c r="E60" s="811"/>
      <c r="F60" s="2471"/>
      <c r="G60" s="1265">
        <v>1.47E-2</v>
      </c>
      <c r="H60" s="1269">
        <f t="shared" si="16"/>
        <v>1.32E-2</v>
      </c>
      <c r="I60" s="809">
        <v>0.3</v>
      </c>
      <c r="J60" s="1266">
        <f t="shared" si="17"/>
        <v>2.9399999999999999E-2</v>
      </c>
      <c r="K60" s="1266">
        <f t="shared" si="18"/>
        <v>1.47E-2</v>
      </c>
      <c r="L60" s="1266">
        <v>0</v>
      </c>
      <c r="M60" s="1266">
        <f t="shared" si="19"/>
        <v>-1.47E-2</v>
      </c>
      <c r="N60" s="1266">
        <f t="shared" si="19"/>
        <v>-2.9399999999999999E-2</v>
      </c>
      <c r="AA60" s="1352"/>
      <c r="AB60" s="1352"/>
      <c r="AC60" s="1352"/>
      <c r="AD60" s="1352"/>
      <c r="AE60" s="1352"/>
      <c r="AF60" s="1352"/>
      <c r="AG60" s="1352"/>
      <c r="AH60" s="1352"/>
      <c r="AI60" s="1352"/>
      <c r="AJ60" s="1352"/>
      <c r="AK60" s="1352"/>
    </row>
    <row r="61" spans="1:37" s="1351" customFormat="1" ht="26.4">
      <c r="A61" s="2838" t="s">
        <v>2924</v>
      </c>
      <c r="B61" s="2842" t="str">
        <f>估价对象房地状况!C19</f>
        <v>零星有其他用地，基本不影响本宗地</v>
      </c>
      <c r="C61" s="2953" t="s">
        <v>3048</v>
      </c>
      <c r="D61" s="1267">
        <f t="shared" si="15"/>
        <v>3.8999999999999998E-3</v>
      </c>
      <c r="E61" s="811"/>
      <c r="F61" s="2471"/>
      <c r="G61" s="1265">
        <v>3.8999999999999998E-3</v>
      </c>
      <c r="H61" s="1269">
        <f t="shared" si="16"/>
        <v>3.5000000000000001E-3</v>
      </c>
      <c r="I61" s="809">
        <v>0.08</v>
      </c>
      <c r="J61" s="1266">
        <f t="shared" si="17"/>
        <v>7.7999999999999996E-3</v>
      </c>
      <c r="K61" s="1266">
        <f t="shared" si="18"/>
        <v>3.8999999999999998E-3</v>
      </c>
      <c r="L61" s="1266">
        <v>0</v>
      </c>
      <c r="M61" s="1266">
        <f t="shared" si="19"/>
        <v>-3.8999999999999998E-3</v>
      </c>
      <c r="N61" s="1266">
        <f t="shared" si="19"/>
        <v>-7.7999999999999996E-3</v>
      </c>
      <c r="AA61" s="1352"/>
      <c r="AB61" s="1352"/>
      <c r="AC61" s="1352"/>
      <c r="AD61" s="1352"/>
      <c r="AE61" s="1352"/>
      <c r="AF61" s="1352"/>
      <c r="AG61" s="1352"/>
      <c r="AH61" s="1352"/>
      <c r="AI61" s="1352"/>
      <c r="AJ61" s="1352"/>
      <c r="AK61" s="1352"/>
    </row>
    <row r="62" spans="1:37" s="1351" customFormat="1" ht="50.4">
      <c r="A62" s="2838" t="s">
        <v>2925</v>
      </c>
      <c r="B62" s="2843" t="s">
        <v>2926</v>
      </c>
      <c r="C62" s="2953" t="s">
        <v>3048</v>
      </c>
      <c r="D62" s="1267">
        <f t="shared" si="15"/>
        <v>1.9E-3</v>
      </c>
      <c r="E62" s="811"/>
      <c r="F62" s="2471"/>
      <c r="G62" s="1265">
        <v>1.9E-3</v>
      </c>
      <c r="H62" s="1269">
        <f t="shared" si="16"/>
        <v>1.6999999999999999E-3</v>
      </c>
      <c r="I62" s="809">
        <v>0.04</v>
      </c>
      <c r="J62" s="1266">
        <f t="shared" si="17"/>
        <v>3.8E-3</v>
      </c>
      <c r="K62" s="1266">
        <f t="shared" si="18"/>
        <v>1.9E-3</v>
      </c>
      <c r="L62" s="1266">
        <v>0</v>
      </c>
      <c r="M62" s="1266">
        <f t="shared" si="19"/>
        <v>-1.9E-3</v>
      </c>
      <c r="N62" s="1266">
        <f t="shared" si="19"/>
        <v>-3.8E-3</v>
      </c>
      <c r="AA62" s="1352"/>
      <c r="AB62" s="1352"/>
      <c r="AC62" s="1352"/>
      <c r="AD62" s="1352"/>
      <c r="AE62" s="1352"/>
      <c r="AF62" s="1352"/>
      <c r="AG62" s="1352"/>
      <c r="AH62" s="1352"/>
      <c r="AI62" s="1352"/>
      <c r="AJ62" s="1352"/>
      <c r="AK62" s="1352"/>
    </row>
    <row r="63" spans="1:37" s="1351" customFormat="1" ht="26.4">
      <c r="A63" s="2838" t="s">
        <v>2927</v>
      </c>
      <c r="B63" s="2842" t="str">
        <f>估价对象房地状况!C24</f>
        <v>城市主干道——望京北路</v>
      </c>
      <c r="C63" s="2953" t="s">
        <v>3049</v>
      </c>
      <c r="D63" s="1267">
        <f t="shared" si="15"/>
        <v>0</v>
      </c>
      <c r="E63" s="811"/>
      <c r="F63" s="2471"/>
      <c r="G63" s="1265">
        <v>2.3999999999999998E-3</v>
      </c>
      <c r="H63" s="1269">
        <f t="shared" si="16"/>
        <v>2.2000000000000001E-3</v>
      </c>
      <c r="I63" s="809">
        <v>0.05</v>
      </c>
      <c r="J63" s="1266">
        <f t="shared" si="17"/>
        <v>4.7999999999999996E-3</v>
      </c>
      <c r="K63" s="1266">
        <f t="shared" si="18"/>
        <v>2.3999999999999998E-3</v>
      </c>
      <c r="L63" s="1266">
        <v>0</v>
      </c>
      <c r="M63" s="1266">
        <f t="shared" si="19"/>
        <v>-2.3999999999999998E-3</v>
      </c>
      <c r="N63" s="1266">
        <f t="shared" si="19"/>
        <v>-4.7999999999999996E-3</v>
      </c>
      <c r="AA63" s="1352"/>
      <c r="AB63" s="1352"/>
      <c r="AC63" s="1352"/>
      <c r="AD63" s="1352"/>
      <c r="AE63" s="1352"/>
      <c r="AF63" s="1352"/>
      <c r="AG63" s="1352"/>
      <c r="AH63" s="1352"/>
      <c r="AI63" s="1352"/>
      <c r="AJ63" s="1352"/>
      <c r="AK63" s="1352"/>
    </row>
    <row r="64" spans="1:37" s="1351" customFormat="1" ht="36">
      <c r="A64" s="2838" t="s">
        <v>2928</v>
      </c>
      <c r="B64" s="2844" t="s">
        <v>2929</v>
      </c>
      <c r="C64" s="2953" t="s">
        <v>3047</v>
      </c>
      <c r="D64" s="1267">
        <f t="shared" si="15"/>
        <v>4.7999999999999996E-3</v>
      </c>
      <c r="E64" s="811"/>
      <c r="F64" s="2471"/>
      <c r="G64" s="1265">
        <v>2.3999999999999998E-3</v>
      </c>
      <c r="H64" s="1269">
        <f t="shared" si="16"/>
        <v>2.2000000000000001E-3</v>
      </c>
      <c r="I64" s="809">
        <v>0.05</v>
      </c>
      <c r="J64" s="1266">
        <f t="shared" si="17"/>
        <v>4.7999999999999996E-3</v>
      </c>
      <c r="K64" s="1266">
        <f t="shared" si="18"/>
        <v>2.3999999999999998E-3</v>
      </c>
      <c r="L64" s="1266">
        <v>0</v>
      </c>
      <c r="M64" s="1266">
        <f t="shared" si="19"/>
        <v>-2.3999999999999998E-3</v>
      </c>
      <c r="N64" s="1266">
        <f t="shared" si="19"/>
        <v>-4.7999999999999996E-3</v>
      </c>
      <c r="AA64" s="1352"/>
      <c r="AB64" s="1352"/>
      <c r="AC64" s="1352"/>
      <c r="AD64" s="1352"/>
      <c r="AE64" s="1352"/>
      <c r="AF64" s="1352"/>
      <c r="AG64" s="1352"/>
      <c r="AH64" s="1352"/>
      <c r="AI64" s="1352"/>
      <c r="AJ64" s="1352"/>
      <c r="AK64" s="1352"/>
    </row>
    <row r="65" spans="1:37" s="1351" customFormat="1" ht="39.6">
      <c r="A65" s="2838" t="s">
        <v>2930</v>
      </c>
      <c r="B65" s="1704" t="str">
        <f>估价对象房地状况!C21</f>
        <v>估价对象所在区域公共配套设施齐备情况较好</v>
      </c>
      <c r="C65" s="2953" t="s">
        <v>3047</v>
      </c>
      <c r="D65" s="1267">
        <f t="shared" si="15"/>
        <v>5.7999999999999996E-3</v>
      </c>
      <c r="E65" s="811"/>
      <c r="F65" s="2471"/>
      <c r="G65" s="1265">
        <v>2.8999999999999998E-3</v>
      </c>
      <c r="H65" s="1269">
        <f t="shared" si="16"/>
        <v>2.5999999999999999E-3</v>
      </c>
      <c r="I65" s="809">
        <v>0.06</v>
      </c>
      <c r="J65" s="1266">
        <f t="shared" si="17"/>
        <v>5.7999999999999996E-3</v>
      </c>
      <c r="K65" s="1266">
        <f t="shared" si="18"/>
        <v>2.8999999999999998E-3</v>
      </c>
      <c r="L65" s="1266">
        <v>0</v>
      </c>
      <c r="M65" s="1266">
        <f t="shared" si="19"/>
        <v>-2.8999999999999998E-3</v>
      </c>
      <c r="N65" s="1266">
        <f t="shared" si="19"/>
        <v>-5.7999999999999996E-3</v>
      </c>
      <c r="AA65" s="1352"/>
      <c r="AB65" s="1352"/>
      <c r="AC65" s="1352"/>
      <c r="AD65" s="1352"/>
      <c r="AE65" s="1352"/>
      <c r="AF65" s="1352"/>
      <c r="AG65" s="1352"/>
      <c r="AH65" s="1352"/>
      <c r="AI65" s="1352"/>
      <c r="AJ65" s="1352"/>
      <c r="AK65" s="1352"/>
    </row>
    <row r="66" spans="1:37" s="1351" customFormat="1" ht="26.4">
      <c r="A66" s="2838" t="s">
        <v>2931</v>
      </c>
      <c r="B66" s="1704" t="str">
        <f>估价对象房地状况!C22</f>
        <v>估价对象所在区域基础设施水平“七通一平</v>
      </c>
      <c r="C66" s="2953" t="s">
        <v>3047</v>
      </c>
      <c r="D66" s="1267">
        <f t="shared" si="15"/>
        <v>1.1599999999999999E-2</v>
      </c>
      <c r="E66" s="811"/>
      <c r="F66" s="2471"/>
      <c r="G66" s="1265">
        <v>5.7999999999999996E-3</v>
      </c>
      <c r="H66" s="1269">
        <f t="shared" si="16"/>
        <v>5.1999999999999998E-3</v>
      </c>
      <c r="I66" s="809">
        <v>0.12</v>
      </c>
      <c r="J66" s="1266">
        <f t="shared" si="17"/>
        <v>1.1599999999999999E-2</v>
      </c>
      <c r="K66" s="1266">
        <f t="shared" si="18"/>
        <v>5.7999999999999996E-3</v>
      </c>
      <c r="L66" s="1266">
        <v>0</v>
      </c>
      <c r="M66" s="1266">
        <f t="shared" si="19"/>
        <v>-5.7999999999999996E-3</v>
      </c>
      <c r="N66" s="1266">
        <f t="shared" si="19"/>
        <v>-1.1599999999999999E-2</v>
      </c>
      <c r="AA66" s="1352"/>
      <c r="AB66" s="1352"/>
      <c r="AC66" s="1352"/>
      <c r="AD66" s="1352"/>
      <c r="AE66" s="1352"/>
      <c r="AF66" s="1352"/>
      <c r="AG66" s="1352"/>
      <c r="AH66" s="1352"/>
      <c r="AI66" s="1352"/>
      <c r="AJ66" s="1352"/>
      <c r="AK66" s="1352"/>
    </row>
    <row r="67" spans="1:37" s="1351" customFormat="1" ht="66.599999999999994" thickBot="1">
      <c r="A67" s="2846" t="s">
        <v>2932</v>
      </c>
      <c r="B67" s="2848" t="str">
        <f>估价对象房地状况!C20</f>
        <v>区域自然环境：望湖公园、北小河公园；人文环境：青年政治学院；综合评价环境状况较好</v>
      </c>
      <c r="C67" s="2953" t="s">
        <v>3048</v>
      </c>
      <c r="D67" s="1267">
        <f t="shared" si="15"/>
        <v>2.8999999999999998E-3</v>
      </c>
      <c r="E67" s="814"/>
      <c r="F67" s="2471"/>
      <c r="G67" s="1265">
        <v>2.8999999999999998E-3</v>
      </c>
      <c r="H67" s="1269">
        <f t="shared" si="16"/>
        <v>2.5999999999999999E-3</v>
      </c>
      <c r="I67" s="813">
        <v>0.06</v>
      </c>
      <c r="J67" s="1266">
        <f t="shared" si="17"/>
        <v>5.7999999999999996E-3</v>
      </c>
      <c r="K67" s="1266">
        <f t="shared" si="18"/>
        <v>2.8999999999999998E-3</v>
      </c>
      <c r="L67" s="1266">
        <v>0</v>
      </c>
      <c r="M67" s="1266">
        <f t="shared" si="19"/>
        <v>-2.8999999999999998E-3</v>
      </c>
      <c r="N67" s="1266">
        <f t="shared" si="19"/>
        <v>-5.7999999999999996E-3</v>
      </c>
      <c r="AA67" s="1352"/>
      <c r="AB67" s="1352"/>
      <c r="AC67" s="1352"/>
      <c r="AD67" s="1352"/>
      <c r="AE67" s="1352"/>
      <c r="AF67" s="1352"/>
      <c r="AG67" s="1352"/>
      <c r="AH67" s="1352"/>
      <c r="AI67" s="1352"/>
      <c r="AJ67" s="1352"/>
      <c r="AK67" s="1352"/>
    </row>
    <row r="68" spans="1:37" s="1351" customFormat="1" ht="14.4">
      <c r="A68" s="2834" t="s">
        <v>2936</v>
      </c>
      <c r="B68" s="2835">
        <f>1+E70</f>
        <v>1</v>
      </c>
      <c r="C68" s="803"/>
      <c r="D68" s="803"/>
      <c r="E68" s="804"/>
      <c r="F68" s="2837"/>
      <c r="G68" s="6"/>
      <c r="H68" s="6"/>
      <c r="I68" s="6"/>
      <c r="J68" s="7"/>
      <c r="K68" s="7"/>
      <c r="L68" s="7"/>
      <c r="M68" s="7"/>
      <c r="N68" s="7"/>
      <c r="AA68" s="1352"/>
      <c r="AB68" s="1352"/>
      <c r="AC68" s="1352"/>
      <c r="AD68" s="1352"/>
      <c r="AE68" s="1352"/>
      <c r="AF68" s="1352"/>
      <c r="AG68" s="1352"/>
      <c r="AH68" s="1352"/>
      <c r="AI68" s="1352"/>
      <c r="AJ68" s="1352"/>
      <c r="AK68" s="1352"/>
    </row>
    <row r="69" spans="1:37" s="1351" customFormat="1" ht="25.2">
      <c r="A69" s="2838" t="s">
        <v>2914</v>
      </c>
      <c r="B69" s="1787"/>
      <c r="C69" s="1787" t="s">
        <v>2916</v>
      </c>
      <c r="D69" s="1787" t="s">
        <v>2917</v>
      </c>
      <c r="E69" s="808" t="s">
        <v>2918</v>
      </c>
      <c r="F69" s="2839" t="s">
        <v>2934</v>
      </c>
      <c r="G69" s="1787" t="s">
        <v>754</v>
      </c>
      <c r="H69" s="2840" t="s">
        <v>2920</v>
      </c>
      <c r="I69" s="1787" t="s">
        <v>2921</v>
      </c>
      <c r="J69" s="602" t="s">
        <v>2580</v>
      </c>
      <c r="K69" s="602" t="s">
        <v>2581</v>
      </c>
      <c r="L69" s="602" t="s">
        <v>2582</v>
      </c>
      <c r="M69" s="602" t="s">
        <v>2583</v>
      </c>
      <c r="N69" s="602" t="s">
        <v>2584</v>
      </c>
      <c r="AA69" s="1352"/>
      <c r="AB69" s="1352"/>
      <c r="AC69" s="1352"/>
      <c r="AD69" s="1352"/>
      <c r="AE69" s="1352"/>
      <c r="AF69" s="1352"/>
      <c r="AG69" s="1352"/>
      <c r="AH69" s="1352"/>
      <c r="AI69" s="1352"/>
      <c r="AJ69" s="1352"/>
      <c r="AK69" s="1352"/>
    </row>
    <row r="70" spans="1:37" s="1351" customFormat="1" ht="24">
      <c r="A70" s="2838" t="s">
        <v>2937</v>
      </c>
      <c r="B70" s="2841">
        <f>估价对象房地状况!C15</f>
        <v>0</v>
      </c>
      <c r="C70" s="2738"/>
      <c r="D70" s="1267">
        <f t="shared" ref="D70:D78" si="20">SUMIF($J$69:$N$69,C70,J70:N70)</f>
        <v>0</v>
      </c>
      <c r="E70" s="810">
        <f>ROUND(SUM(D70:D78),4)</f>
        <v>0</v>
      </c>
      <c r="F70" s="2471" t="str">
        <f>IF(E2="住宅",SUMIF(L1:L12,G2,N1:N12),"——")</f>
        <v>——</v>
      </c>
      <c r="G70" s="1265"/>
      <c r="H70" s="1269" t="str">
        <f t="shared" ref="H70:H78" si="21">IFERROR(ROUNDDOWN($F$70*I70/2,4),"——")</f>
        <v>——</v>
      </c>
      <c r="I70" s="809">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79.2">
      <c r="A71" s="2838" t="s">
        <v>2923</v>
      </c>
      <c r="B71" s="2842" t="str">
        <f>估价对象房地状况!C18</f>
        <v>估价对象周边道路状况较好、地铁14、15号线通过，公共交通通达情况较好、停车便捷程度较好，综合评价交通便捷度较好</v>
      </c>
      <c r="C71" s="2738"/>
      <c r="D71" s="1267">
        <f t="shared" si="20"/>
        <v>0</v>
      </c>
      <c r="E71" s="815"/>
      <c r="F71" s="2471"/>
      <c r="G71" s="1265"/>
      <c r="H71" s="1269" t="str">
        <f t="shared" si="21"/>
        <v>——</v>
      </c>
      <c r="I71" s="809">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6.4">
      <c r="A72" s="2838" t="s">
        <v>2924</v>
      </c>
      <c r="B72" s="2842" t="str">
        <f>估价对象房地状况!C19</f>
        <v>零星有其他用地，基本不影响本宗地</v>
      </c>
      <c r="C72" s="2738"/>
      <c r="D72" s="1267">
        <f t="shared" si="20"/>
        <v>0</v>
      </c>
      <c r="E72" s="815"/>
      <c r="F72" s="2471"/>
      <c r="G72" s="1265"/>
      <c r="H72" s="1269" t="str">
        <f t="shared" si="21"/>
        <v>——</v>
      </c>
      <c r="I72" s="809">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26.4">
      <c r="A73" s="2838" t="s">
        <v>2938</v>
      </c>
      <c r="B73" s="2842" t="str">
        <f>估价对象房地状况!C24</f>
        <v>城市主干道——望京北路</v>
      </c>
      <c r="C73" s="2738"/>
      <c r="D73" s="1267">
        <f t="shared" si="20"/>
        <v>0</v>
      </c>
      <c r="E73" s="815"/>
      <c r="F73" s="2471"/>
      <c r="G73" s="1265"/>
      <c r="H73" s="1269" t="str">
        <f t="shared" si="21"/>
        <v>——</v>
      </c>
      <c r="I73" s="809">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39.6">
      <c r="A74" s="2838" t="s">
        <v>2930</v>
      </c>
      <c r="B74" s="1704" t="str">
        <f>估价对象房地状况!C21</f>
        <v>估价对象所在区域公共配套设施齐备情况较好</v>
      </c>
      <c r="C74" s="2738"/>
      <c r="D74" s="1267">
        <f t="shared" si="20"/>
        <v>0</v>
      </c>
      <c r="E74" s="815"/>
      <c r="F74" s="2471"/>
      <c r="G74" s="1265"/>
      <c r="H74" s="1269" t="str">
        <f t="shared" si="21"/>
        <v>——</v>
      </c>
      <c r="I74" s="809">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6.4">
      <c r="A75" s="2838" t="s">
        <v>2931</v>
      </c>
      <c r="B75" s="1704" t="str">
        <f>估价对象房地状况!C22</f>
        <v>估价对象所在区域基础设施水平“七通一平</v>
      </c>
      <c r="C75" s="2738"/>
      <c r="D75" s="1267">
        <f t="shared" si="20"/>
        <v>0</v>
      </c>
      <c r="E75" s="815"/>
      <c r="F75" s="2471"/>
      <c r="G75" s="1265"/>
      <c r="H75" s="1269" t="str">
        <f t="shared" si="21"/>
        <v>——</v>
      </c>
      <c r="I75" s="809">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87" customFormat="1" ht="36">
      <c r="A76" s="2838" t="s">
        <v>2928</v>
      </c>
      <c r="B76" s="2844" t="s">
        <v>2929</v>
      </c>
      <c r="C76" s="2738"/>
      <c r="D76" s="1267">
        <f t="shared" si="20"/>
        <v>0</v>
      </c>
      <c r="E76" s="815"/>
      <c r="F76" s="2471"/>
      <c r="G76" s="1265"/>
      <c r="H76" s="1269" t="str">
        <f t="shared" si="21"/>
        <v>——</v>
      </c>
      <c r="I76" s="809">
        <v>0.05</v>
      </c>
      <c r="J76" s="1266">
        <f t="shared" si="22"/>
        <v>0</v>
      </c>
      <c r="K76" s="1266">
        <f t="shared" si="23"/>
        <v>0</v>
      </c>
      <c r="L76" s="1266">
        <v>0</v>
      </c>
      <c r="M76" s="1266">
        <f t="shared" si="24"/>
        <v>0</v>
      </c>
      <c r="N76" s="1266">
        <f t="shared" si="24"/>
        <v>0</v>
      </c>
      <c r="AA76" s="2849"/>
      <c r="AB76" s="1352"/>
      <c r="AC76" s="1352"/>
      <c r="AD76" s="1352"/>
      <c r="AE76" s="1352"/>
      <c r="AF76" s="1352"/>
      <c r="AG76" s="1352"/>
      <c r="AH76" s="2849"/>
      <c r="AI76" s="2849"/>
      <c r="AJ76" s="2849"/>
      <c r="AK76" s="2849"/>
    </row>
    <row r="77" spans="1:37" ht="66">
      <c r="A77" s="2838" t="s">
        <v>2932</v>
      </c>
      <c r="B77" s="2841" t="str">
        <f>估价对象房地状况!C20</f>
        <v>区域自然环境：望湖公园、北小河公园；人文环境：青年政治学院；综合评价环境状况较好</v>
      </c>
      <c r="C77" s="2738"/>
      <c r="D77" s="1267">
        <f t="shared" si="20"/>
        <v>0</v>
      </c>
      <c r="E77" s="815"/>
      <c r="F77" s="2471"/>
      <c r="G77" s="1265"/>
      <c r="H77" s="1269" t="str">
        <f t="shared" si="21"/>
        <v>——</v>
      </c>
      <c r="I77" s="809">
        <v>0.15</v>
      </c>
      <c r="J77" s="1266">
        <f t="shared" si="22"/>
        <v>0</v>
      </c>
      <c r="K77" s="1266">
        <f t="shared" si="23"/>
        <v>0</v>
      </c>
      <c r="L77" s="1266">
        <v>0</v>
      </c>
      <c r="M77" s="1266">
        <f t="shared" si="24"/>
        <v>0</v>
      </c>
      <c r="N77" s="1266">
        <f t="shared" si="24"/>
        <v>0</v>
      </c>
      <c r="Z77" s="2688"/>
      <c r="AA77" s="2756"/>
      <c r="AG77" s="1353"/>
      <c r="AK77" s="2756"/>
    </row>
    <row r="78" spans="1:37" ht="36.6" thickBot="1">
      <c r="A78" s="2846" t="s">
        <v>2939</v>
      </c>
      <c r="B78" s="2850"/>
      <c r="C78" s="2738"/>
      <c r="D78" s="1267">
        <f t="shared" si="20"/>
        <v>0</v>
      </c>
      <c r="E78" s="816"/>
      <c r="F78" s="2471"/>
      <c r="G78" s="1265"/>
      <c r="H78" s="1269" t="str">
        <f t="shared" si="21"/>
        <v>——</v>
      </c>
      <c r="I78" s="813">
        <v>0.04</v>
      </c>
      <c r="J78" s="1266">
        <f t="shared" si="22"/>
        <v>0</v>
      </c>
      <c r="K78" s="1266">
        <f t="shared" si="23"/>
        <v>0</v>
      </c>
      <c r="L78" s="1266">
        <v>0</v>
      </c>
      <c r="M78" s="1266">
        <f t="shared" si="24"/>
        <v>0</v>
      </c>
      <c r="N78" s="1266">
        <f t="shared" si="24"/>
        <v>0</v>
      </c>
      <c r="Z78" s="2688"/>
      <c r="AA78" s="2756"/>
      <c r="AG78" s="1353"/>
      <c r="AK78" s="2756"/>
    </row>
    <row r="79" spans="1:37" ht="14.4">
      <c r="A79" s="2834" t="s">
        <v>2940</v>
      </c>
      <c r="B79" s="2835">
        <f>1+E81</f>
        <v>1</v>
      </c>
      <c r="C79" s="803"/>
      <c r="D79" s="803"/>
      <c r="E79" s="804"/>
      <c r="F79" s="2837"/>
      <c r="G79" s="6"/>
      <c r="H79" s="6"/>
      <c r="I79" s="6"/>
      <c r="J79" s="7"/>
      <c r="K79" s="7"/>
      <c r="L79" s="7"/>
      <c r="M79" s="7"/>
      <c r="N79" s="7"/>
      <c r="Z79" s="2688"/>
      <c r="AA79" s="2756"/>
      <c r="AG79" s="1353"/>
      <c r="AK79" s="2756"/>
    </row>
    <row r="80" spans="1:37" ht="25.2">
      <c r="A80" s="2838" t="s">
        <v>2914</v>
      </c>
      <c r="B80" s="1787"/>
      <c r="C80" s="1787" t="s">
        <v>2916</v>
      </c>
      <c r="D80" s="1787" t="s">
        <v>2917</v>
      </c>
      <c r="E80" s="808" t="s">
        <v>2918</v>
      </c>
      <c r="F80" s="2839" t="s">
        <v>2934</v>
      </c>
      <c r="G80" s="1787" t="s">
        <v>754</v>
      </c>
      <c r="H80" s="2840" t="s">
        <v>2920</v>
      </c>
      <c r="I80" s="1787" t="s">
        <v>2921</v>
      </c>
      <c r="J80" s="602" t="s">
        <v>2580</v>
      </c>
      <c r="K80" s="602" t="s">
        <v>2581</v>
      </c>
      <c r="L80" s="602" t="s">
        <v>2582</v>
      </c>
      <c r="M80" s="602" t="s">
        <v>2583</v>
      </c>
      <c r="N80" s="602" t="s">
        <v>2584</v>
      </c>
      <c r="Z80" s="2688"/>
      <c r="AA80" s="2756"/>
      <c r="AG80" s="1353"/>
      <c r="AK80" s="2756"/>
    </row>
    <row r="81" spans="1:37" ht="39.6">
      <c r="A81" s="2838" t="s">
        <v>2941</v>
      </c>
      <c r="B81" s="2842" t="str">
        <f>估价对象房地状况!G15</f>
        <v>估价对象位于XX开发区，园区建设成熟度XX，产业集聚程度XX</v>
      </c>
      <c r="C81" s="2738"/>
      <c r="D81" s="1267">
        <f t="shared" ref="D81:D88" si="25">SUMIF($J$80:$N$80,C81,J81:N81)</f>
        <v>0</v>
      </c>
      <c r="E81" s="810">
        <f>ROUND(SUM(D81:D88),4)</f>
        <v>0</v>
      </c>
      <c r="F81" s="2471" t="str">
        <f>IF(E2="工业",SUMIF(L1:L12,G2,N1:N12),"——")</f>
        <v>——</v>
      </c>
      <c r="G81" s="1265"/>
      <c r="H81" s="1269" t="str">
        <f t="shared" ref="H81:H88" si="26">IFERROR(ROUNDDOWN($F$81*I81/2,4),"——")</f>
        <v>——</v>
      </c>
      <c r="I81" s="809">
        <v>0.26</v>
      </c>
      <c r="J81" s="1266">
        <f t="shared" ref="J81:J88" si="27">K81+$G81</f>
        <v>0</v>
      </c>
      <c r="K81" s="1266">
        <f t="shared" ref="K81:K88" si="28">$L81+$G81</f>
        <v>0</v>
      </c>
      <c r="L81" s="1266">
        <v>0</v>
      </c>
      <c r="M81" s="1266">
        <f t="shared" ref="M81:N88" si="29">L81-$G81</f>
        <v>0</v>
      </c>
      <c r="N81" s="1266">
        <f t="shared" si="29"/>
        <v>0</v>
      </c>
      <c r="Z81" s="2688"/>
      <c r="AA81" s="2756"/>
      <c r="AG81" s="1353"/>
      <c r="AK81" s="2756"/>
    </row>
    <row r="82" spans="1:37" ht="66">
      <c r="A82" s="2838" t="s">
        <v>2923</v>
      </c>
      <c r="B82" s="2842" t="str">
        <f>估价对象房地状况!G16</f>
        <v>估价对象周边道路状况、公共交通通达情况、停车便捷程度，综合评价交通便捷度较好</v>
      </c>
      <c r="C82" s="2738"/>
      <c r="D82" s="1267">
        <f t="shared" si="25"/>
        <v>0</v>
      </c>
      <c r="E82" s="815"/>
      <c r="F82" s="2471"/>
      <c r="G82" s="1265"/>
      <c r="H82" s="1269" t="str">
        <f t="shared" si="26"/>
        <v>——</v>
      </c>
      <c r="I82" s="809">
        <v>0.33</v>
      </c>
      <c r="J82" s="1266">
        <f t="shared" si="27"/>
        <v>0</v>
      </c>
      <c r="K82" s="1266">
        <f t="shared" si="28"/>
        <v>0</v>
      </c>
      <c r="L82" s="1266">
        <v>0</v>
      </c>
      <c r="M82" s="1266">
        <f t="shared" si="29"/>
        <v>0</v>
      </c>
      <c r="N82" s="1266">
        <f t="shared" si="29"/>
        <v>0</v>
      </c>
      <c r="Z82" s="2688"/>
      <c r="AA82" s="2756"/>
      <c r="AG82" s="1353"/>
      <c r="AK82" s="2756"/>
    </row>
    <row r="83" spans="1:37" ht="24">
      <c r="A83" s="2838" t="s">
        <v>2924</v>
      </c>
      <c r="B83" s="2842">
        <f>估价对象房地状况!G17</f>
        <v>0</v>
      </c>
      <c r="C83" s="2738"/>
      <c r="D83" s="1267">
        <f t="shared" si="25"/>
        <v>0</v>
      </c>
      <c r="E83" s="815"/>
      <c r="F83" s="2471"/>
      <c r="G83" s="1265"/>
      <c r="H83" s="1269" t="str">
        <f t="shared" si="26"/>
        <v>——</v>
      </c>
      <c r="I83" s="809">
        <v>0.05</v>
      </c>
      <c r="J83" s="1266">
        <f t="shared" si="27"/>
        <v>0</v>
      </c>
      <c r="K83" s="1266">
        <f t="shared" si="28"/>
        <v>0</v>
      </c>
      <c r="L83" s="1266">
        <v>0</v>
      </c>
      <c r="M83" s="1266">
        <f t="shared" si="29"/>
        <v>0</v>
      </c>
      <c r="N83" s="1266">
        <f t="shared" si="29"/>
        <v>0</v>
      </c>
      <c r="Z83" s="2688"/>
      <c r="AA83" s="2756"/>
      <c r="AG83" s="1353"/>
      <c r="AK83" s="2756"/>
    </row>
    <row r="84" spans="1:37" ht="13.8">
      <c r="A84" s="2838" t="s">
        <v>2938</v>
      </c>
      <c r="B84" s="2842">
        <f>估价对象房地状况!G22</f>
        <v>0</v>
      </c>
      <c r="C84" s="2738"/>
      <c r="D84" s="1267">
        <f t="shared" si="25"/>
        <v>0</v>
      </c>
      <c r="E84" s="815"/>
      <c r="F84" s="2471"/>
      <c r="G84" s="1265"/>
      <c r="H84" s="1269" t="str">
        <f t="shared" si="26"/>
        <v>——</v>
      </c>
      <c r="I84" s="809">
        <v>0.04</v>
      </c>
      <c r="J84" s="1266">
        <f t="shared" si="27"/>
        <v>0</v>
      </c>
      <c r="K84" s="1266">
        <f t="shared" si="28"/>
        <v>0</v>
      </c>
      <c r="L84" s="1266">
        <v>0</v>
      </c>
      <c r="M84" s="1266">
        <f t="shared" si="29"/>
        <v>0</v>
      </c>
      <c r="N84" s="1266">
        <f t="shared" si="29"/>
        <v>0</v>
      </c>
      <c r="Z84" s="2688"/>
      <c r="AA84" s="2756"/>
      <c r="AG84" s="1353"/>
      <c r="AK84" s="2756"/>
    </row>
    <row r="85" spans="1:37" ht="26.4">
      <c r="A85" s="2838" t="s">
        <v>2930</v>
      </c>
      <c r="B85" s="1704" t="str">
        <f>估价对象房地状况!G19</f>
        <v>估价对象所在区域公共配套设施齐备情况</v>
      </c>
      <c r="C85" s="2738"/>
      <c r="D85" s="1267">
        <f t="shared" si="25"/>
        <v>0</v>
      </c>
      <c r="E85" s="815"/>
      <c r="F85" s="2471"/>
      <c r="G85" s="1265"/>
      <c r="H85" s="1269" t="str">
        <f t="shared" si="26"/>
        <v>——</v>
      </c>
      <c r="I85" s="809">
        <v>0.06</v>
      </c>
      <c r="J85" s="1266">
        <f t="shared" si="27"/>
        <v>0</v>
      </c>
      <c r="K85" s="1266">
        <f t="shared" si="28"/>
        <v>0</v>
      </c>
      <c r="L85" s="1266">
        <v>0</v>
      </c>
      <c r="M85" s="1266">
        <f t="shared" si="29"/>
        <v>0</v>
      </c>
      <c r="N85" s="1266">
        <f t="shared" si="29"/>
        <v>0</v>
      </c>
      <c r="Z85" s="2688"/>
      <c r="AA85" s="2756"/>
      <c r="AG85" s="1353"/>
      <c r="AK85" s="2756"/>
    </row>
    <row r="86" spans="1:37" ht="26.4">
      <c r="A86" s="2838" t="s">
        <v>2931</v>
      </c>
      <c r="B86" s="1704" t="str">
        <f>估价对象房地状况!G20</f>
        <v>估价对象所在区域基础设施水平</v>
      </c>
      <c r="C86" s="2738"/>
      <c r="D86" s="1267">
        <f t="shared" si="25"/>
        <v>0</v>
      </c>
      <c r="E86" s="815"/>
      <c r="F86" s="2471"/>
      <c r="G86" s="1265"/>
      <c r="H86" s="1269" t="str">
        <f t="shared" si="26"/>
        <v>——</v>
      </c>
      <c r="I86" s="809">
        <v>0.15</v>
      </c>
      <c r="J86" s="1266">
        <f t="shared" si="27"/>
        <v>0</v>
      </c>
      <c r="K86" s="1266">
        <f t="shared" si="28"/>
        <v>0</v>
      </c>
      <c r="L86" s="1266">
        <v>0</v>
      </c>
      <c r="M86" s="1266">
        <f t="shared" si="29"/>
        <v>0</v>
      </c>
      <c r="N86" s="1266">
        <f t="shared" si="29"/>
        <v>0</v>
      </c>
      <c r="Z86" s="2688"/>
      <c r="AA86" s="2756"/>
      <c r="AG86" s="1353"/>
      <c r="AK86" s="2756"/>
    </row>
    <row r="87" spans="1:37" ht="36">
      <c r="A87" s="2838" t="s">
        <v>2928</v>
      </c>
      <c r="B87" s="2844" t="s">
        <v>2942</v>
      </c>
      <c r="C87" s="2738"/>
      <c r="D87" s="1267">
        <f t="shared" si="25"/>
        <v>0</v>
      </c>
      <c r="E87" s="815"/>
      <c r="F87" s="2471"/>
      <c r="G87" s="1265"/>
      <c r="H87" s="1269" t="str">
        <f t="shared" si="26"/>
        <v>——</v>
      </c>
      <c r="I87" s="809">
        <v>0.05</v>
      </c>
      <c r="J87" s="1266">
        <f t="shared" si="27"/>
        <v>0</v>
      </c>
      <c r="K87" s="1266">
        <f t="shared" si="28"/>
        <v>0</v>
      </c>
      <c r="L87" s="1266">
        <v>0</v>
      </c>
      <c r="M87" s="1266">
        <f t="shared" si="29"/>
        <v>0</v>
      </c>
      <c r="N87" s="1266">
        <f t="shared" si="29"/>
        <v>0</v>
      </c>
      <c r="Z87" s="2688"/>
      <c r="AA87" s="2756"/>
      <c r="AG87" s="1353"/>
      <c r="AK87" s="2756"/>
    </row>
    <row r="88" spans="1:37" ht="53.4" thickBot="1">
      <c r="A88" s="2846" t="s">
        <v>2943</v>
      </c>
      <c r="B88" s="2851" t="str">
        <f>估价对象房地状况!G18</f>
        <v>该园区内是否有污染型企业，绿化情况，卫生条件，整体环境状况判断</v>
      </c>
      <c r="C88" s="2738"/>
      <c r="D88" s="1267">
        <f t="shared" si="25"/>
        <v>0</v>
      </c>
      <c r="E88" s="816"/>
      <c r="F88" s="2471"/>
      <c r="G88" s="1265"/>
      <c r="H88" s="1269" t="str">
        <f t="shared" si="26"/>
        <v>——</v>
      </c>
      <c r="I88" s="813">
        <v>0.06</v>
      </c>
      <c r="J88" s="1266">
        <f t="shared" si="27"/>
        <v>0</v>
      </c>
      <c r="K88" s="1266">
        <f t="shared" si="28"/>
        <v>0</v>
      </c>
      <c r="L88" s="1266">
        <v>0</v>
      </c>
      <c r="M88" s="1266">
        <f t="shared" si="29"/>
        <v>0</v>
      </c>
      <c r="N88" s="1266">
        <f t="shared" si="29"/>
        <v>0</v>
      </c>
      <c r="Z88" s="2688"/>
      <c r="AA88" s="2756"/>
      <c r="AG88" s="1353"/>
      <c r="AK88" s="2756"/>
    </row>
    <row r="90" spans="1:37">
      <c r="A90" s="3792" t="s">
        <v>2944</v>
      </c>
      <c r="B90" s="3792"/>
      <c r="C90" s="3792"/>
      <c r="D90" s="3792"/>
      <c r="E90" s="3792"/>
      <c r="F90" s="3792"/>
      <c r="G90" s="3792"/>
      <c r="H90" s="3792"/>
      <c r="I90" s="3792"/>
      <c r="J90" s="3792"/>
      <c r="K90" s="2852"/>
      <c r="L90" s="2852"/>
      <c r="M90" s="2852"/>
      <c r="N90" s="2852"/>
    </row>
    <row r="91" spans="1:37">
      <c r="A91" s="3794" t="s">
        <v>2945</v>
      </c>
      <c r="B91" s="3794" t="s">
        <v>2946</v>
      </c>
      <c r="C91" s="2806" t="s">
        <v>2947</v>
      </c>
      <c r="D91" s="2807"/>
      <c r="E91" s="2807"/>
      <c r="F91" s="2807"/>
      <c r="G91" s="2807"/>
      <c r="H91" s="2807"/>
      <c r="I91" s="2807"/>
      <c r="J91" s="2853"/>
      <c r="K91" s="2854"/>
      <c r="L91" s="2854"/>
      <c r="M91" s="2854"/>
      <c r="N91" s="2854"/>
    </row>
    <row r="92" spans="1:37">
      <c r="A92" s="3794"/>
      <c r="B92" s="3794"/>
      <c r="C92" s="931" t="s">
        <v>2814</v>
      </c>
      <c r="D92" s="931" t="s">
        <v>2815</v>
      </c>
      <c r="E92" s="931" t="s">
        <v>2816</v>
      </c>
      <c r="F92" s="931" t="s">
        <v>2817</v>
      </c>
      <c r="G92" s="931" t="s">
        <v>2818</v>
      </c>
      <c r="H92" s="931" t="s">
        <v>2819</v>
      </c>
      <c r="I92" s="931" t="s">
        <v>2820</v>
      </c>
      <c r="J92" s="931" t="s">
        <v>2821</v>
      </c>
      <c r="K92" s="931" t="s">
        <v>2822</v>
      </c>
      <c r="L92" s="931" t="s">
        <v>2823</v>
      </c>
      <c r="M92" s="931" t="s">
        <v>2824</v>
      </c>
      <c r="N92" s="931" t="s">
        <v>2825</v>
      </c>
    </row>
    <row r="93" spans="1:37">
      <c r="A93" s="3795" t="s">
        <v>2948</v>
      </c>
      <c r="B93" s="2855">
        <v>1</v>
      </c>
      <c r="C93" s="2856">
        <v>1.9361999999999999</v>
      </c>
      <c r="D93" s="2856">
        <v>1.9361999999999999</v>
      </c>
      <c r="E93" s="2856">
        <v>1.8629</v>
      </c>
      <c r="F93" s="2856">
        <v>1.8629</v>
      </c>
      <c r="G93" s="2856">
        <v>1.8629</v>
      </c>
      <c r="H93" s="2856">
        <v>1.8629</v>
      </c>
      <c r="I93" s="2856">
        <v>1.8629</v>
      </c>
      <c r="J93" s="2856">
        <v>1.9419999999999999</v>
      </c>
      <c r="K93" s="2856">
        <v>1.9419999999999999</v>
      </c>
      <c r="L93" s="2856">
        <v>1.9419999999999999</v>
      </c>
      <c r="M93" s="2856">
        <v>1.9419999999999999</v>
      </c>
      <c r="N93" s="2856">
        <v>1.9419999999999999</v>
      </c>
    </row>
    <row r="94" spans="1:37">
      <c r="A94" s="3796"/>
      <c r="B94" s="2855">
        <v>2</v>
      </c>
      <c r="C94" s="2856">
        <v>1.4198</v>
      </c>
      <c r="D94" s="2856">
        <v>1.4198</v>
      </c>
      <c r="E94" s="2856">
        <v>1.3371999999999999</v>
      </c>
      <c r="F94" s="2856">
        <v>1.3371999999999999</v>
      </c>
      <c r="G94" s="2856">
        <v>1.3371999999999999</v>
      </c>
      <c r="H94" s="2856">
        <v>1.3371999999999999</v>
      </c>
      <c r="I94" s="2856">
        <v>1.3371999999999999</v>
      </c>
      <c r="J94" s="2856">
        <v>1.2799</v>
      </c>
      <c r="K94" s="2856">
        <v>1.2799</v>
      </c>
      <c r="L94" s="2856">
        <v>1.2799</v>
      </c>
      <c r="M94" s="2856">
        <v>1.2799</v>
      </c>
      <c r="N94" s="2856">
        <v>1.2799</v>
      </c>
    </row>
    <row r="95" spans="1:37">
      <c r="A95" s="3796"/>
      <c r="B95" s="2855">
        <v>3</v>
      </c>
      <c r="C95" s="2856">
        <v>1.1594</v>
      </c>
      <c r="D95" s="2856">
        <v>1.1594</v>
      </c>
      <c r="E95" s="2856">
        <v>1.0788</v>
      </c>
      <c r="F95" s="2856">
        <v>1.0788</v>
      </c>
      <c r="G95" s="2856">
        <v>1.0788</v>
      </c>
      <c r="H95" s="2856">
        <v>1.0788</v>
      </c>
      <c r="I95" s="2856">
        <v>1.0788</v>
      </c>
      <c r="J95" s="2856">
        <v>1.0072000000000001</v>
      </c>
      <c r="K95" s="2856">
        <v>1.0072000000000001</v>
      </c>
      <c r="L95" s="2856">
        <v>1.0072000000000001</v>
      </c>
      <c r="M95" s="2856">
        <v>1.0072000000000001</v>
      </c>
      <c r="N95" s="2856">
        <v>1.0072000000000001</v>
      </c>
    </row>
    <row r="96" spans="1:37">
      <c r="A96" s="3796"/>
      <c r="B96" s="2855">
        <v>4</v>
      </c>
      <c r="C96" s="2856">
        <v>0.96220000000000006</v>
      </c>
      <c r="D96" s="2856">
        <v>0.96220000000000006</v>
      </c>
      <c r="E96" s="2856">
        <v>0.86560000000000004</v>
      </c>
      <c r="F96" s="2856">
        <v>0.86560000000000004</v>
      </c>
      <c r="G96" s="2856">
        <v>0.86560000000000004</v>
      </c>
      <c r="H96" s="2856">
        <v>0.86560000000000004</v>
      </c>
      <c r="I96" s="2856">
        <v>0.86560000000000004</v>
      </c>
      <c r="J96" s="2856">
        <v>0.75249999999999995</v>
      </c>
      <c r="K96" s="2856">
        <v>0.75249999999999995</v>
      </c>
      <c r="L96" s="2856">
        <v>0.75249999999999995</v>
      </c>
      <c r="M96" s="2856">
        <v>0.75249999999999995</v>
      </c>
      <c r="N96" s="2856">
        <v>0.75249999999999995</v>
      </c>
    </row>
    <row r="97" spans="1:14">
      <c r="A97" s="3796"/>
      <c r="B97" s="2855">
        <v>5</v>
      </c>
      <c r="C97" s="2856">
        <v>0.8417</v>
      </c>
      <c r="D97" s="2856">
        <v>0.8417</v>
      </c>
      <c r="E97" s="2856">
        <v>0.73709999999999998</v>
      </c>
      <c r="F97" s="2856">
        <v>0.73709999999999998</v>
      </c>
      <c r="G97" s="2856">
        <v>0.73709999999999998</v>
      </c>
      <c r="H97" s="2856">
        <v>0.73709999999999998</v>
      </c>
      <c r="I97" s="2856">
        <v>0.73709999999999998</v>
      </c>
      <c r="J97" s="2856">
        <v>0.56589999999999996</v>
      </c>
      <c r="K97" s="2856">
        <v>0.56589999999999996</v>
      </c>
      <c r="L97" s="2856">
        <v>0.56589999999999996</v>
      </c>
      <c r="M97" s="2856">
        <v>0.56589999999999996</v>
      </c>
      <c r="N97" s="2856">
        <v>0.56589999999999996</v>
      </c>
    </row>
    <row r="98" spans="1:14">
      <c r="A98" s="3796"/>
      <c r="B98" s="2855">
        <v>6</v>
      </c>
      <c r="C98" s="2856">
        <v>0.76080000000000003</v>
      </c>
      <c r="D98" s="2856">
        <v>0.76080000000000003</v>
      </c>
      <c r="E98" s="2856">
        <v>0.6482</v>
      </c>
      <c r="F98" s="2856">
        <v>0.6482</v>
      </c>
      <c r="G98" s="2856">
        <v>0.6482</v>
      </c>
      <c r="H98" s="2856">
        <v>0.6482</v>
      </c>
      <c r="I98" s="2856">
        <v>0.6482</v>
      </c>
      <c r="J98" s="2856">
        <v>0.45250000000000001</v>
      </c>
      <c r="K98" s="2856">
        <v>0.45250000000000001</v>
      </c>
      <c r="L98" s="2856">
        <v>0.45250000000000001</v>
      </c>
      <c r="M98" s="2856">
        <v>0.45250000000000001</v>
      </c>
      <c r="N98" s="2856">
        <v>0.45250000000000001</v>
      </c>
    </row>
    <row r="99" spans="1:14">
      <c r="A99" s="3796"/>
      <c r="B99" s="2855" t="s">
        <v>2830</v>
      </c>
      <c r="C99" s="2857">
        <f>$I$3</f>
        <v>0</v>
      </c>
      <c r="D99" s="2857">
        <f t="shared" ref="D99:M99" si="30">$I$3</f>
        <v>0</v>
      </c>
      <c r="E99" s="2857">
        <f t="shared" si="30"/>
        <v>0</v>
      </c>
      <c r="F99" s="2857">
        <f t="shared" si="30"/>
        <v>0</v>
      </c>
      <c r="G99" s="2857">
        <f t="shared" si="30"/>
        <v>0</v>
      </c>
      <c r="H99" s="2857">
        <f t="shared" si="30"/>
        <v>0</v>
      </c>
      <c r="I99" s="2857">
        <f t="shared" si="30"/>
        <v>0</v>
      </c>
      <c r="J99" s="2857">
        <f t="shared" si="30"/>
        <v>0</v>
      </c>
      <c r="K99" s="2857">
        <f t="shared" si="30"/>
        <v>0</v>
      </c>
      <c r="L99" s="2857">
        <f t="shared" si="30"/>
        <v>0</v>
      </c>
      <c r="M99" s="2857">
        <f t="shared" si="30"/>
        <v>0</v>
      </c>
      <c r="N99" s="2857">
        <f>$I$3</f>
        <v>0</v>
      </c>
    </row>
    <row r="100" spans="1:14">
      <c r="A100" s="3797"/>
      <c r="B100" s="2855">
        <v>7</v>
      </c>
      <c r="C100" s="2858">
        <f>(-0.163*(C99^2)-0.59*C99+7617)*(10^(-4))</f>
        <v>0.76170000000000004</v>
      </c>
      <c r="D100" s="2858">
        <f>(-0.163*(D99^2)-0.59*D99+7617)*(10^(-4))</f>
        <v>0.76170000000000004</v>
      </c>
      <c r="E100" s="2858">
        <f>(-0.161*(E99^2)-7.509*E99+6533)*(10^(-4))</f>
        <v>0.65329999999999999</v>
      </c>
      <c r="F100" s="2858">
        <f>(-0.161*(F99^2)-7.509*F99+6533)*(10^(-4))</f>
        <v>0.65329999999999999</v>
      </c>
      <c r="G100" s="2858">
        <f>(-0.161*(G99^2)-7.509*G99+6533)*(10^(-4))</f>
        <v>0.65329999999999999</v>
      </c>
      <c r="H100" s="2858">
        <f>(-0.161*(H99^2)-7.509*H99+6533)*(10^(-4))</f>
        <v>0.65329999999999999</v>
      </c>
      <c r="I100" s="2858">
        <f>(-0.161*(I99^2)-7.509*I99+6533)*(10^(-4))</f>
        <v>0.65329999999999999</v>
      </c>
      <c r="J100" s="2858">
        <f>(-0.214*(J99^2)-21.991*J99+4665)*(10^(-4))</f>
        <v>0.46650000000000003</v>
      </c>
      <c r="K100" s="2858">
        <f>(-0.214*(K99^2)-21.991*K99+4665)*(10^(-4))</f>
        <v>0.46650000000000003</v>
      </c>
      <c r="L100" s="2858">
        <f>(-0.214*(L99^2)-21.991*L99+4665)*(10^(-4))</f>
        <v>0.46650000000000003</v>
      </c>
      <c r="M100" s="2858">
        <f>(-0.214*(M99^2)-21.991*M99+4665)*(10^(-4))</f>
        <v>0.46650000000000003</v>
      </c>
      <c r="N100" s="2858">
        <f>(-0.214*(N99^2)-21.991*N99+4665)*(10^(-4))</f>
        <v>0.46650000000000003</v>
      </c>
    </row>
    <row r="101" spans="1:14">
      <c r="A101" s="3795" t="s">
        <v>2949</v>
      </c>
      <c r="B101" s="2859" t="s">
        <v>2950</v>
      </c>
      <c r="C101" s="2860">
        <f>$G$3</f>
        <v>10.54</v>
      </c>
      <c r="D101" s="2860">
        <f t="shared" ref="D101:N101" si="31">$G$3</f>
        <v>10.54</v>
      </c>
      <c r="E101" s="2860">
        <f t="shared" si="31"/>
        <v>10.54</v>
      </c>
      <c r="F101" s="2860">
        <f t="shared" si="31"/>
        <v>10.54</v>
      </c>
      <c r="G101" s="2860">
        <f t="shared" si="31"/>
        <v>10.54</v>
      </c>
      <c r="H101" s="2860">
        <f t="shared" si="31"/>
        <v>10.54</v>
      </c>
      <c r="I101" s="2860">
        <f t="shared" si="31"/>
        <v>10.54</v>
      </c>
      <c r="J101" s="2860">
        <f t="shared" si="31"/>
        <v>10.54</v>
      </c>
      <c r="K101" s="2860">
        <f t="shared" si="31"/>
        <v>10.54</v>
      </c>
      <c r="L101" s="2860">
        <f t="shared" si="31"/>
        <v>10.54</v>
      </c>
      <c r="M101" s="2860">
        <f t="shared" si="31"/>
        <v>10.54</v>
      </c>
      <c r="N101" s="2860">
        <f t="shared" si="31"/>
        <v>10.54</v>
      </c>
    </row>
    <row r="102" spans="1:14">
      <c r="A102" s="3796"/>
      <c r="B102" s="2855">
        <v>1</v>
      </c>
      <c r="C102" s="2856">
        <f>1.9362/C101</f>
        <v>0.1837001897533207</v>
      </c>
      <c r="D102" s="2856">
        <f>1.9362/D101</f>
        <v>0.1837001897533207</v>
      </c>
      <c r="E102" s="2856">
        <f>1.8629/E101</f>
        <v>0.17674573055028464</v>
      </c>
      <c r="F102" s="2856">
        <f>1.8629/F101</f>
        <v>0.17674573055028464</v>
      </c>
      <c r="G102" s="2856">
        <f>1.8629/G101</f>
        <v>0.17674573055028464</v>
      </c>
      <c r="H102" s="2856">
        <f>1.8629/H101</f>
        <v>0.17674573055028464</v>
      </c>
      <c r="I102" s="2856">
        <f>1.8629/I101</f>
        <v>0.17674573055028464</v>
      </c>
      <c r="J102" s="2856">
        <f>1.942/J101</f>
        <v>0.18425047438330172</v>
      </c>
      <c r="K102" s="2856">
        <f>1.942/K101</f>
        <v>0.18425047438330172</v>
      </c>
      <c r="L102" s="2856">
        <f>1.942/L101</f>
        <v>0.18425047438330172</v>
      </c>
      <c r="M102" s="2856">
        <f>1.942/M101</f>
        <v>0.18425047438330172</v>
      </c>
      <c r="N102" s="2856">
        <f>1.942/N101</f>
        <v>0.18425047438330172</v>
      </c>
    </row>
    <row r="103" spans="1:14">
      <c r="A103" s="3796"/>
      <c r="B103" s="2855">
        <v>2</v>
      </c>
      <c r="C103" s="2856">
        <f>1.4198/C101</f>
        <v>0.13470588235294118</v>
      </c>
      <c r="D103" s="2856">
        <f>1.4198/D101</f>
        <v>0.13470588235294118</v>
      </c>
      <c r="E103" s="2856">
        <f>1.3372/E101</f>
        <v>0.12686907020872865</v>
      </c>
      <c r="F103" s="2856">
        <f>1.3372/F101</f>
        <v>0.12686907020872865</v>
      </c>
      <c r="G103" s="2856">
        <f>1.3372/G101</f>
        <v>0.12686907020872865</v>
      </c>
      <c r="H103" s="2856">
        <f>1.3372/H101</f>
        <v>0.12686907020872865</v>
      </c>
      <c r="I103" s="2856">
        <f>1.3372/I101</f>
        <v>0.12686907020872865</v>
      </c>
      <c r="J103" s="2856">
        <f>1.2799/J101</f>
        <v>0.12143263757115751</v>
      </c>
      <c r="K103" s="2856">
        <f>1.2799/K101</f>
        <v>0.12143263757115751</v>
      </c>
      <c r="L103" s="2856">
        <f>1.2799/L101</f>
        <v>0.12143263757115751</v>
      </c>
      <c r="M103" s="2856">
        <f>1.2799/M101</f>
        <v>0.12143263757115751</v>
      </c>
      <c r="N103" s="2856">
        <f>1.2799/N101</f>
        <v>0.12143263757115751</v>
      </c>
    </row>
    <row r="104" spans="1:14">
      <c r="A104" s="3796"/>
      <c r="B104" s="2855">
        <v>3</v>
      </c>
      <c r="C104" s="2856">
        <f>1.1594/C101</f>
        <v>0.11000000000000001</v>
      </c>
      <c r="D104" s="2856">
        <f>1.1594/D101</f>
        <v>0.11000000000000001</v>
      </c>
      <c r="E104" s="2856">
        <f>1.0788/E101</f>
        <v>0.10235294117647059</v>
      </c>
      <c r="F104" s="2856">
        <f>1.0788/F101</f>
        <v>0.10235294117647059</v>
      </c>
      <c r="G104" s="2856">
        <f>1.0788/G101</f>
        <v>0.10235294117647059</v>
      </c>
      <c r="H104" s="2856">
        <f>1.0788/H101</f>
        <v>0.10235294117647059</v>
      </c>
      <c r="I104" s="2856">
        <f>1.0788/I101</f>
        <v>0.10235294117647059</v>
      </c>
      <c r="J104" s="2856">
        <f>1.0072/J101</f>
        <v>9.55597722960152E-2</v>
      </c>
      <c r="K104" s="2856">
        <f>1.0072/K101</f>
        <v>9.55597722960152E-2</v>
      </c>
      <c r="L104" s="2856">
        <f>1.0072/L101</f>
        <v>9.55597722960152E-2</v>
      </c>
      <c r="M104" s="2856">
        <f>1.0072/M101</f>
        <v>9.55597722960152E-2</v>
      </c>
      <c r="N104" s="2856">
        <f>1.0072/N101</f>
        <v>9.55597722960152E-2</v>
      </c>
    </row>
    <row r="105" spans="1:14">
      <c r="A105" s="3796"/>
      <c r="B105" s="2855">
        <v>4</v>
      </c>
      <c r="C105" s="2856">
        <f>0.9622/C101</f>
        <v>9.1290322580645178E-2</v>
      </c>
      <c r="D105" s="2856">
        <f>0.9622/D101</f>
        <v>9.1290322580645178E-2</v>
      </c>
      <c r="E105" s="2856">
        <f>0.8656/E101</f>
        <v>8.2125237191650866E-2</v>
      </c>
      <c r="F105" s="2856">
        <f>0.8656/F101</f>
        <v>8.2125237191650866E-2</v>
      </c>
      <c r="G105" s="2856">
        <f>0.8656/G101</f>
        <v>8.2125237191650866E-2</v>
      </c>
      <c r="H105" s="2856">
        <f>0.8656/H101</f>
        <v>8.2125237191650866E-2</v>
      </c>
      <c r="I105" s="2856">
        <f>0.8656/I101</f>
        <v>8.2125237191650866E-2</v>
      </c>
      <c r="J105" s="2856">
        <f>0.7525/J101</f>
        <v>7.1394686907020874E-2</v>
      </c>
      <c r="K105" s="2856">
        <f>0.7525/K101</f>
        <v>7.1394686907020874E-2</v>
      </c>
      <c r="L105" s="2856">
        <f>0.7525/L101</f>
        <v>7.1394686907020874E-2</v>
      </c>
      <c r="M105" s="2856">
        <f>0.7525/M101</f>
        <v>7.1394686907020874E-2</v>
      </c>
      <c r="N105" s="2856">
        <f>0.7525/N101</f>
        <v>7.1394686907020874E-2</v>
      </c>
    </row>
    <row r="106" spans="1:14">
      <c r="A106" s="3796"/>
      <c r="B106" s="2855">
        <v>5</v>
      </c>
      <c r="C106" s="2856">
        <f>0.8417/C101</f>
        <v>7.9857685009487672E-2</v>
      </c>
      <c r="D106" s="2856">
        <f>0.8417/D101</f>
        <v>7.9857685009487672E-2</v>
      </c>
      <c r="E106" s="2856">
        <f>0.7371/E101</f>
        <v>6.9933586337760908E-2</v>
      </c>
      <c r="F106" s="2856">
        <f>0.7371/F101</f>
        <v>6.9933586337760908E-2</v>
      </c>
      <c r="G106" s="2856">
        <f>0.7371/G101</f>
        <v>6.9933586337760908E-2</v>
      </c>
      <c r="H106" s="2856">
        <f>0.7371/H101</f>
        <v>6.9933586337760908E-2</v>
      </c>
      <c r="I106" s="2856">
        <f>0.7371/I101</f>
        <v>6.9933586337760908E-2</v>
      </c>
      <c r="J106" s="2856">
        <f>0.5659/J101</f>
        <v>5.3690702087286525E-2</v>
      </c>
      <c r="K106" s="2856">
        <f>0.5659/K101</f>
        <v>5.3690702087286525E-2</v>
      </c>
      <c r="L106" s="2856">
        <f>0.5659/L101</f>
        <v>5.3690702087286525E-2</v>
      </c>
      <c r="M106" s="2856">
        <f>0.5659/M101</f>
        <v>5.3690702087286525E-2</v>
      </c>
      <c r="N106" s="2856">
        <f>0.5659/N101</f>
        <v>5.3690702087286525E-2</v>
      </c>
    </row>
    <row r="107" spans="1:14">
      <c r="A107" s="3796"/>
      <c r="B107" s="2855">
        <v>6</v>
      </c>
      <c r="C107" s="2856">
        <f>0.7608/C101</f>
        <v>7.2182163187855794E-2</v>
      </c>
      <c r="D107" s="2856">
        <f>0.7608/D101</f>
        <v>7.2182163187855794E-2</v>
      </c>
      <c r="E107" s="2856">
        <f>0.6482/E101</f>
        <v>6.1499051233396586E-2</v>
      </c>
      <c r="F107" s="2856">
        <f>0.6482/F101</f>
        <v>6.1499051233396586E-2</v>
      </c>
      <c r="G107" s="2856">
        <f>0.6482/G101</f>
        <v>6.1499051233396586E-2</v>
      </c>
      <c r="H107" s="2856">
        <f>0.6482/H101</f>
        <v>6.1499051233396586E-2</v>
      </c>
      <c r="I107" s="2856">
        <f>0.6482/I101</f>
        <v>6.1499051233396586E-2</v>
      </c>
      <c r="J107" s="2856">
        <f>0.4525/J101</f>
        <v>4.2931688804554086E-2</v>
      </c>
      <c r="K107" s="2856">
        <f>0.4525/K101</f>
        <v>4.2931688804554086E-2</v>
      </c>
      <c r="L107" s="2856">
        <f>0.4525/L101</f>
        <v>4.2931688804554086E-2</v>
      </c>
      <c r="M107" s="2856">
        <f>0.4525/M101</f>
        <v>4.2931688804554086E-2</v>
      </c>
      <c r="N107" s="2856">
        <f>0.4525/N101</f>
        <v>4.2931688804554086E-2</v>
      </c>
    </row>
    <row r="108" spans="1:14">
      <c r="A108" s="3796"/>
      <c r="B108" s="3612" t="s">
        <v>2951</v>
      </c>
      <c r="C108" s="2857">
        <f>C99</f>
        <v>0</v>
      </c>
      <c r="D108" s="2857">
        <f t="shared" ref="D108:N108" si="32">D99</f>
        <v>0</v>
      </c>
      <c r="E108" s="2857">
        <f t="shared" si="32"/>
        <v>0</v>
      </c>
      <c r="F108" s="2857">
        <f t="shared" si="32"/>
        <v>0</v>
      </c>
      <c r="G108" s="2857">
        <f t="shared" si="32"/>
        <v>0</v>
      </c>
      <c r="H108" s="2857">
        <f t="shared" si="32"/>
        <v>0</v>
      </c>
      <c r="I108" s="2857">
        <f t="shared" si="32"/>
        <v>0</v>
      </c>
      <c r="J108" s="2857">
        <f t="shared" si="32"/>
        <v>0</v>
      </c>
      <c r="K108" s="2857">
        <f t="shared" si="32"/>
        <v>0</v>
      </c>
      <c r="L108" s="2857">
        <f t="shared" si="32"/>
        <v>0</v>
      </c>
      <c r="M108" s="2857">
        <f t="shared" si="32"/>
        <v>0</v>
      </c>
      <c r="N108" s="2857">
        <f t="shared" si="32"/>
        <v>0</v>
      </c>
    </row>
    <row r="109" spans="1:14">
      <c r="A109" s="3797"/>
      <c r="B109" s="3613"/>
      <c r="C109" s="2858">
        <f>(-0.163*(C108^2)-0.59*C108+7617)*(10^(-4))/C101</f>
        <v>7.22675521821632E-2</v>
      </c>
      <c r="D109" s="2858">
        <f>(-0.163*(D108^2)-0.59*D108+7617)*(10^(-4))/D101</f>
        <v>7.22675521821632E-2</v>
      </c>
      <c r="E109" s="2858">
        <f>(-0.161*(E108^2)-7.509*E108+6533)*(10^(-4))/E101</f>
        <v>6.1982922201138525E-2</v>
      </c>
      <c r="F109" s="2858">
        <f>(-0.161*(F108^2)-7.509*F108+6533)*(10^(-4))/F101</f>
        <v>6.1982922201138525E-2</v>
      </c>
      <c r="G109" s="2858">
        <f>(-0.161*(G108^2)-7.509*G108+6533)*(10^(-4))/G101</f>
        <v>6.1982922201138525E-2</v>
      </c>
      <c r="H109" s="2858">
        <f>(-0.161*(H108^2)-7.509*H108+6533)*(10^(-4))/H101</f>
        <v>6.1982922201138525E-2</v>
      </c>
      <c r="I109" s="2858">
        <f>(-0.161*(I108^2)-7.509*I108+6533)*(10^(-4))/I101</f>
        <v>6.1982922201138525E-2</v>
      </c>
      <c r="J109" s="2858">
        <f>(-0.214*(J108^2)-21.991*J108+4665)*(10^(-4))/J101</f>
        <v>4.4259962049335869E-2</v>
      </c>
      <c r="K109" s="2858">
        <f>(-0.214*(K108^2)-21.991*K108+4665)*(10^(-4))/K101</f>
        <v>4.4259962049335869E-2</v>
      </c>
      <c r="L109" s="2858">
        <f>(-0.214*(L108^2)-21.991*L108+4665)*(10^(-4))/L101</f>
        <v>4.4259962049335869E-2</v>
      </c>
      <c r="M109" s="2858">
        <f>(-0.214*(M108^2)-21.991*M108+4665)*(10^(-4))/M101</f>
        <v>4.4259962049335869E-2</v>
      </c>
      <c r="N109" s="2858">
        <f>(-0.214*(N108^2)-21.991*N108+4665)*(10^(-4))/N101</f>
        <v>4.4259962049335869E-2</v>
      </c>
    </row>
    <row r="110" spans="1:14">
      <c r="A110" s="3793" t="s">
        <v>2952</v>
      </c>
      <c r="B110" s="3793"/>
      <c r="C110" s="3793"/>
      <c r="D110" s="3793"/>
      <c r="E110" s="3793"/>
      <c r="F110" s="3793"/>
      <c r="G110" s="3793"/>
      <c r="H110" s="3793"/>
      <c r="I110" s="3793"/>
      <c r="J110" s="3793"/>
      <c r="K110" s="2861"/>
      <c r="L110" s="2861"/>
      <c r="M110" s="2861"/>
      <c r="N110" s="2861"/>
    </row>
    <row r="112" spans="1:14" ht="13.8" thickBot="1"/>
    <row r="113" spans="1:13" ht="25.8" thickBot="1">
      <c r="A113" s="892" t="s">
        <v>2953</v>
      </c>
      <c r="B113" s="1268">
        <f>G3</f>
        <v>10.54</v>
      </c>
      <c r="C113" s="893" t="s">
        <v>2954</v>
      </c>
      <c r="D113" s="894">
        <f>SUMPRODUCT((A115:A118=F113)*(B114:M114=H113)*B115:M118)</f>
        <v>0.71970000000000001</v>
      </c>
      <c r="E113" s="2692" t="s">
        <v>2787</v>
      </c>
      <c r="F113" s="2863" t="str">
        <f>E2</f>
        <v>办公</v>
      </c>
      <c r="G113" s="2692" t="s">
        <v>2788</v>
      </c>
      <c r="H113" s="2863" t="str">
        <f>G2</f>
        <v>四级</v>
      </c>
      <c r="I113" s="2692"/>
      <c r="J113" s="2864"/>
      <c r="K113" s="2864"/>
      <c r="L113" s="2864"/>
      <c r="M113" s="2864"/>
    </row>
    <row r="114" spans="1:13">
      <c r="A114" s="897"/>
      <c r="B114" s="2865" t="s">
        <v>2955</v>
      </c>
      <c r="C114" s="2865" t="s">
        <v>2956</v>
      </c>
      <c r="D114" s="2865" t="s">
        <v>2957</v>
      </c>
      <c r="E114" s="2866" t="s">
        <v>2958</v>
      </c>
      <c r="F114" s="2866" t="s">
        <v>2959</v>
      </c>
      <c r="G114" s="2866" t="s">
        <v>2960</v>
      </c>
      <c r="H114" s="2867" t="s">
        <v>2961</v>
      </c>
      <c r="I114" s="2867" t="s">
        <v>2962</v>
      </c>
      <c r="J114" s="2868" t="s">
        <v>2963</v>
      </c>
      <c r="K114" s="2868" t="s">
        <v>2964</v>
      </c>
      <c r="L114" s="2868" t="s">
        <v>2965</v>
      </c>
      <c r="M114" s="2869" t="s">
        <v>2966</v>
      </c>
    </row>
    <row r="115" spans="1:13">
      <c r="A115" s="898" t="s">
        <v>2852</v>
      </c>
      <c r="B115" s="899">
        <f>ROUND(0.9335-0.0094*B113,4)</f>
        <v>0.83440000000000003</v>
      </c>
      <c r="C115" s="899">
        <f>B115</f>
        <v>0.83440000000000003</v>
      </c>
      <c r="D115" s="899">
        <f>ROUND(0.8331-0.0109*B113,4)</f>
        <v>0.71819999999999995</v>
      </c>
      <c r="E115" s="899">
        <f>D115</f>
        <v>0.71819999999999995</v>
      </c>
      <c r="F115" s="899">
        <f>E115</f>
        <v>0.71819999999999995</v>
      </c>
      <c r="G115" s="899">
        <f>F115</f>
        <v>0.71819999999999995</v>
      </c>
      <c r="H115" s="899">
        <f>G115</f>
        <v>0.71819999999999995</v>
      </c>
      <c r="I115" s="899">
        <f>ROUND(0.689-0.0155*B113,4)</f>
        <v>0.52559999999999996</v>
      </c>
      <c r="J115" s="899">
        <f t="shared" ref="J115:M118" si="33">I115</f>
        <v>0.52559999999999996</v>
      </c>
      <c r="K115" s="899">
        <f t="shared" si="33"/>
        <v>0.52559999999999996</v>
      </c>
      <c r="L115" s="899">
        <f t="shared" si="33"/>
        <v>0.52559999999999996</v>
      </c>
      <c r="M115" s="900">
        <f t="shared" si="33"/>
        <v>0.52559999999999996</v>
      </c>
    </row>
    <row r="116" spans="1:13">
      <c r="A116" s="898" t="s">
        <v>2853</v>
      </c>
      <c r="B116" s="899">
        <f>ROUND(0.949-0.012*B113,4)</f>
        <v>0.82250000000000001</v>
      </c>
      <c r="C116" s="899">
        <f>B116</f>
        <v>0.82250000000000001</v>
      </c>
      <c r="D116" s="899">
        <f>ROUND(0.8567-0.013*B113,4)</f>
        <v>0.71970000000000001</v>
      </c>
      <c r="E116" s="899">
        <f t="shared" ref="E116:H117" si="34">D116</f>
        <v>0.71970000000000001</v>
      </c>
      <c r="F116" s="899">
        <f t="shared" si="34"/>
        <v>0.71970000000000001</v>
      </c>
      <c r="G116" s="899">
        <f t="shared" si="34"/>
        <v>0.71970000000000001</v>
      </c>
      <c r="H116" s="899">
        <f t="shared" si="34"/>
        <v>0.71970000000000001</v>
      </c>
      <c r="I116" s="899">
        <f>ROUND(0.7694-0.014*B113,4)</f>
        <v>0.62180000000000002</v>
      </c>
      <c r="J116" s="899">
        <f t="shared" si="33"/>
        <v>0.62180000000000002</v>
      </c>
      <c r="K116" s="899">
        <f t="shared" si="33"/>
        <v>0.62180000000000002</v>
      </c>
      <c r="L116" s="899">
        <f t="shared" si="33"/>
        <v>0.62180000000000002</v>
      </c>
      <c r="M116" s="900">
        <f t="shared" si="33"/>
        <v>0.62180000000000002</v>
      </c>
    </row>
    <row r="117" spans="1:13">
      <c r="A117" s="898" t="s">
        <v>2854</v>
      </c>
      <c r="B117" s="899">
        <f>ROUND(0.8808-0.006*B113,4)</f>
        <v>0.81759999999999999</v>
      </c>
      <c r="C117" s="899">
        <f>B117</f>
        <v>0.81759999999999999</v>
      </c>
      <c r="D117" s="899">
        <f>ROUND(0.8748-0.008*B113,4)</f>
        <v>0.79049999999999998</v>
      </c>
      <c r="E117" s="899">
        <f t="shared" si="34"/>
        <v>0.79049999999999998</v>
      </c>
      <c r="F117" s="899">
        <f t="shared" si="34"/>
        <v>0.79049999999999998</v>
      </c>
      <c r="G117" s="899">
        <f t="shared" si="34"/>
        <v>0.79049999999999998</v>
      </c>
      <c r="H117" s="899">
        <f t="shared" si="34"/>
        <v>0.79049999999999998</v>
      </c>
      <c r="I117" s="899">
        <f>ROUND(0.7412-0.0095*B113,4)</f>
        <v>0.6411</v>
      </c>
      <c r="J117" s="899">
        <f t="shared" si="33"/>
        <v>0.6411</v>
      </c>
      <c r="K117" s="899">
        <f t="shared" si="33"/>
        <v>0.6411</v>
      </c>
      <c r="L117" s="899">
        <f t="shared" si="33"/>
        <v>0.6411</v>
      </c>
      <c r="M117" s="900">
        <f t="shared" si="33"/>
        <v>0.6411</v>
      </c>
    </row>
    <row r="118" spans="1:13" ht="13.8" thickBot="1">
      <c r="A118" s="711" t="s">
        <v>2855</v>
      </c>
      <c r="B118" s="901">
        <f>ROUND(0.7275-0.01*B113,4)</f>
        <v>0.62209999999999999</v>
      </c>
      <c r="C118" s="901">
        <f>B118</f>
        <v>0.62209999999999999</v>
      </c>
      <c r="D118" s="901">
        <f>ROUND(0.7043-0.012*B113,4)</f>
        <v>0.57779999999999998</v>
      </c>
      <c r="E118" s="901">
        <f>D118</f>
        <v>0.57779999999999998</v>
      </c>
      <c r="F118" s="901">
        <f>E118</f>
        <v>0.57779999999999998</v>
      </c>
      <c r="G118" s="901">
        <f>ROUND(0.6299-0.0122*B113,4)</f>
        <v>0.50129999999999997</v>
      </c>
      <c r="H118" s="901">
        <f>G118</f>
        <v>0.50129999999999997</v>
      </c>
      <c r="I118" s="901">
        <f>ROUND(0.5667-0.0136*B113,4)</f>
        <v>0.4234</v>
      </c>
      <c r="J118" s="901">
        <f t="shared" si="33"/>
        <v>0.4234</v>
      </c>
      <c r="K118" s="901">
        <f t="shared" si="33"/>
        <v>0.4234</v>
      </c>
      <c r="L118" s="901">
        <f t="shared" si="33"/>
        <v>0.4234</v>
      </c>
      <c r="M118" s="902">
        <f t="shared" si="33"/>
        <v>0.4234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xr:uid="{00000000-0002-0000-3100-000000000000}">
      <formula1>"500米范围内,500-1000米,1000米以外"</formula1>
    </dataValidation>
    <dataValidation type="list" allowBlank="1" showInputMessage="1" showErrorMessage="1" sqref="C14:E14" xr:uid="{00000000-0002-0000-3100-000001000000}">
      <formula1>"有,无"</formula1>
    </dataValidation>
    <dataValidation type="list" allowBlank="1" showInputMessage="1" showErrorMessage="1" sqref="B21" xr:uid="{00000000-0002-0000-3100-000002000000}">
      <formula1>"容积率修正,楼层修正"</formula1>
    </dataValidation>
    <dataValidation type="list" allowBlank="1" showInputMessage="1" showErrorMessage="1" sqref="F17" xr:uid="{00000000-0002-0000-3100-000003000000}">
      <formula1>"与级别开发程度一致,与级别开发程度不一致"</formula1>
    </dataValidation>
    <dataValidation type="list" allowBlank="1" showInputMessage="1" showErrorMessage="1" sqref="E2" xr:uid="{00000000-0002-0000-3100-000004000000}">
      <formula1>"商业,办公,住宅,工业"</formula1>
    </dataValidation>
    <dataValidation type="list" allowBlank="1" showInputMessage="1" showErrorMessage="1" sqref="F3" xr:uid="{00000000-0002-0000-3100-000005000000}">
      <formula1>"宗地容积率,估价对象容积率,自定义容积率"</formula1>
    </dataValidation>
    <dataValidation type="list" allowBlank="1" showInputMessage="1" showErrorMessage="1" sqref="C8" xr:uid="{00000000-0002-0000-3100-000006000000}">
      <formula1>商业街名称</formula1>
    </dataValidation>
    <dataValidation type="list" allowBlank="1" showInputMessage="1" showErrorMessage="1" sqref="E3" xr:uid="{00000000-0002-0000-3100-000007000000}">
      <formula1>二级分类</formula1>
    </dataValidation>
    <dataValidation type="list" allowBlank="1" showInputMessage="1" showErrorMessage="1" sqref="C81:C88 C70:C78 C48:C56 C59:C67" xr:uid="{00000000-0002-0000-3100-000008000000}">
      <formula1>五等判定</formula1>
    </dataValidation>
    <dataValidation type="list" allowBlank="1" showInputMessage="1" showErrorMessage="1" sqref="H19" xr:uid="{00000000-0002-0000-3100-000009000000}">
      <formula1>"地价指数,季度增幅（自定义）,按公示增长率计算"</formula1>
    </dataValidation>
    <dataValidation type="list" allowBlank="1" showInputMessage="1" showErrorMessage="1" sqref="H16:O16" xr:uid="{00000000-0002-0000-3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19"/>
  <sheetViews>
    <sheetView workbookViewId="0">
      <selection activeCell="A15" sqref="A15:M15"/>
    </sheetView>
  </sheetViews>
  <sheetFormatPr defaultColWidth="8.21875" defaultRowHeight="19.5" customHeight="1"/>
  <cols>
    <col min="1" max="1" width="13.6640625" style="805" customWidth="1"/>
    <col min="2" max="9" width="8.21875" style="867" customWidth="1"/>
    <col min="10" max="13" width="8.21875" style="805"/>
    <col min="14" max="14" width="10" style="805" customWidth="1"/>
    <col min="15" max="16" width="8.21875" style="805"/>
    <col min="17" max="17" width="34.109375" style="805" customWidth="1"/>
    <col min="18" max="18" width="8.21875" style="805" customWidth="1"/>
    <col min="19" max="19" width="8.21875" style="805"/>
    <col min="20" max="20" width="11.6640625" style="805" customWidth="1"/>
    <col min="21" max="16384" width="8.2187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5" spans="1:13" ht="19.5" customHeight="1">
      <c r="A15" s="807" t="s">
        <v>3019</v>
      </c>
      <c r="B15" s="864">
        <f>SUM(B6:B13)</f>
        <v>375</v>
      </c>
      <c r="C15" s="864">
        <f t="shared" ref="C15:H15" si="0">SUM(C6:C13)</f>
        <v>375</v>
      </c>
      <c r="D15" s="864">
        <f t="shared" si="0"/>
        <v>300</v>
      </c>
      <c r="E15" s="864">
        <f t="shared" si="0"/>
        <v>300</v>
      </c>
      <c r="F15" s="864">
        <f t="shared" si="0"/>
        <v>300</v>
      </c>
      <c r="G15" s="864">
        <f t="shared" si="0"/>
        <v>300</v>
      </c>
      <c r="H15" s="864">
        <f t="shared" si="0"/>
        <v>300</v>
      </c>
      <c r="I15" s="864">
        <f>SUM(I6:I10,I13)</f>
        <v>155</v>
      </c>
      <c r="J15" s="864">
        <f t="shared" ref="J15:M15" si="1">SUM(J6:J10,J13)</f>
        <v>155</v>
      </c>
      <c r="K15" s="864">
        <f t="shared" si="1"/>
        <v>155</v>
      </c>
      <c r="L15" s="864">
        <f t="shared" si="1"/>
        <v>155</v>
      </c>
      <c r="M15" s="864">
        <f t="shared" si="1"/>
        <v>155</v>
      </c>
    </row>
    <row r="16" spans="1:13" ht="19.5" customHeight="1">
      <c r="A16" s="865" t="s">
        <v>556</v>
      </c>
      <c r="B16" s="865"/>
      <c r="C16" s="866"/>
      <c r="D16" s="866"/>
      <c r="E16" s="865"/>
      <c r="F16" s="866"/>
      <c r="G16" s="866"/>
    </row>
    <row r="17" spans="1:9" ht="19.5" customHeight="1">
      <c r="A17" s="807" t="s">
        <v>557</v>
      </c>
      <c r="B17" s="868" t="s">
        <v>558</v>
      </c>
      <c r="C17" s="922" t="s">
        <v>758</v>
      </c>
      <c r="D17" s="869"/>
      <c r="E17" s="807" t="s">
        <v>559</v>
      </c>
      <c r="F17" s="870"/>
      <c r="G17" s="870"/>
    </row>
    <row r="18" spans="1:9" s="876" customFormat="1" ht="19.5" customHeight="1">
      <c r="A18" s="3803" t="s">
        <v>183</v>
      </c>
      <c r="B18" s="871" t="s">
        <v>560</v>
      </c>
      <c r="C18" s="872" t="s">
        <v>561</v>
      </c>
      <c r="D18" s="873"/>
      <c r="E18" s="871">
        <v>1</v>
      </c>
      <c r="F18" s="874" t="s">
        <v>562</v>
      </c>
      <c r="G18" s="875"/>
      <c r="H18" s="867"/>
      <c r="I18" s="867"/>
    </row>
    <row r="19" spans="1:9" s="876" customFormat="1" ht="19.5" customHeight="1">
      <c r="A19" s="3803"/>
      <c r="B19" s="3803" t="s">
        <v>563</v>
      </c>
      <c r="C19" s="872" t="s">
        <v>564</v>
      </c>
      <c r="D19" s="873"/>
      <c r="E19" s="871">
        <v>0.9</v>
      </c>
      <c r="F19" s="874" t="s">
        <v>565</v>
      </c>
      <c r="G19" s="875"/>
      <c r="H19" s="867"/>
      <c r="I19" s="867"/>
    </row>
    <row r="20" spans="1:9" s="876" customFormat="1" ht="19.5" customHeight="1">
      <c r="A20" s="3803"/>
      <c r="B20" s="3803"/>
      <c r="C20" s="872" t="s">
        <v>566</v>
      </c>
      <c r="D20" s="873"/>
      <c r="E20" s="871">
        <v>1.1000000000000001</v>
      </c>
      <c r="F20" s="874" t="s">
        <v>567</v>
      </c>
      <c r="G20" s="875"/>
      <c r="H20" s="867"/>
      <c r="I20" s="867"/>
    </row>
    <row r="21" spans="1:9" s="876" customFormat="1" ht="19.5" customHeight="1">
      <c r="A21" s="3803"/>
      <c r="B21" s="3803"/>
      <c r="C21" s="872" t="s">
        <v>568</v>
      </c>
      <c r="D21" s="873"/>
      <c r="E21" s="871">
        <v>0.8</v>
      </c>
      <c r="F21" s="874" t="s">
        <v>569</v>
      </c>
      <c r="G21" s="875"/>
      <c r="H21" s="867"/>
      <c r="I21" s="867"/>
    </row>
    <row r="22" spans="1:9" s="876" customFormat="1" ht="19.5" customHeight="1">
      <c r="A22" s="3803"/>
      <c r="B22" s="3803"/>
      <c r="C22" s="872" t="s">
        <v>570</v>
      </c>
      <c r="D22" s="873"/>
      <c r="E22" s="871">
        <v>0.5</v>
      </c>
      <c r="F22" s="874"/>
      <c r="G22" s="875"/>
      <c r="H22" s="867"/>
      <c r="I22" s="867"/>
    </row>
    <row r="23" spans="1:9" s="876" customFormat="1" ht="19.5" customHeight="1">
      <c r="A23" s="3803" t="s">
        <v>184</v>
      </c>
      <c r="B23" s="871" t="s">
        <v>560</v>
      </c>
      <c r="C23" s="872" t="s">
        <v>571</v>
      </c>
      <c r="D23" s="873"/>
      <c r="E23" s="871">
        <v>1</v>
      </c>
      <c r="F23" s="874" t="s">
        <v>572</v>
      </c>
      <c r="G23" s="875"/>
      <c r="H23" s="867"/>
      <c r="I23" s="867"/>
    </row>
    <row r="24" spans="1:9" s="876" customFormat="1" ht="19.5" customHeight="1">
      <c r="A24" s="3803"/>
      <c r="B24" s="3803" t="s">
        <v>563</v>
      </c>
      <c r="C24" s="872" t="s">
        <v>573</v>
      </c>
      <c r="D24" s="873"/>
      <c r="E24" s="871">
        <v>0.5</v>
      </c>
      <c r="F24" s="874"/>
      <c r="G24" s="875"/>
      <c r="H24" s="867"/>
      <c r="I24" s="867"/>
    </row>
    <row r="25" spans="1:9" s="876" customFormat="1" ht="19.5" customHeight="1">
      <c r="A25" s="3803"/>
      <c r="B25" s="3803"/>
      <c r="C25" s="872" t="s">
        <v>574</v>
      </c>
      <c r="D25" s="873"/>
      <c r="E25" s="871">
        <v>1.1000000000000001</v>
      </c>
      <c r="F25" s="874"/>
      <c r="G25" s="875"/>
      <c r="H25" s="867"/>
      <c r="I25" s="867"/>
    </row>
    <row r="26" spans="1:9" s="876" customFormat="1" ht="19.5" customHeight="1">
      <c r="A26" s="3803"/>
      <c r="B26" s="3803"/>
      <c r="C26" s="872" t="s">
        <v>575</v>
      </c>
      <c r="D26" s="873"/>
      <c r="E26" s="871">
        <v>1.1000000000000001</v>
      </c>
      <c r="F26" s="874"/>
      <c r="G26" s="875"/>
      <c r="H26" s="867"/>
      <c r="I26" s="867"/>
    </row>
    <row r="27" spans="1:9" s="876" customFormat="1" ht="19.5" customHeight="1">
      <c r="A27" s="3803"/>
      <c r="B27" s="3803"/>
      <c r="C27" s="872" t="s">
        <v>576</v>
      </c>
      <c r="D27" s="873"/>
      <c r="E27" s="871">
        <v>0.9</v>
      </c>
      <c r="F27" s="874" t="s">
        <v>577</v>
      </c>
      <c r="G27" s="875"/>
      <c r="H27" s="867"/>
      <c r="I27" s="867"/>
    </row>
    <row r="28" spans="1:9" s="876" customFormat="1" ht="19.5" customHeight="1">
      <c r="A28" s="3803"/>
      <c r="B28" s="3803"/>
      <c r="C28" s="872" t="s">
        <v>578</v>
      </c>
      <c r="D28" s="873"/>
      <c r="E28" s="871">
        <v>0.9</v>
      </c>
      <c r="F28" s="874" t="s">
        <v>579</v>
      </c>
      <c r="G28" s="875"/>
      <c r="H28" s="867"/>
      <c r="I28" s="867"/>
    </row>
    <row r="29" spans="1:9" s="876" customFormat="1" ht="19.5" customHeight="1">
      <c r="A29" s="3803"/>
      <c r="B29" s="3803"/>
      <c r="C29" s="872" t="s">
        <v>580</v>
      </c>
      <c r="D29" s="873"/>
      <c r="E29" s="871">
        <v>0.9</v>
      </c>
      <c r="F29" s="874" t="s">
        <v>581</v>
      </c>
      <c r="G29" s="875"/>
      <c r="H29" s="867"/>
      <c r="I29" s="867"/>
    </row>
    <row r="30" spans="1:9" s="876" customFormat="1" ht="19.5" customHeight="1">
      <c r="A30" s="3803"/>
      <c r="B30" s="3803"/>
      <c r="C30" s="872" t="s">
        <v>582</v>
      </c>
      <c r="D30" s="873"/>
      <c r="E30" s="871">
        <v>0.9</v>
      </c>
      <c r="F30" s="874" t="s">
        <v>583</v>
      </c>
      <c r="G30" s="875"/>
      <c r="H30" s="867"/>
      <c r="I30" s="867"/>
    </row>
    <row r="31" spans="1:9" s="876" customFormat="1" ht="19.5" customHeight="1">
      <c r="A31" s="3803"/>
      <c r="B31" s="3803"/>
      <c r="C31" s="872" t="s">
        <v>584</v>
      </c>
      <c r="D31" s="873"/>
      <c r="E31" s="871">
        <v>0.8</v>
      </c>
      <c r="F31" s="874" t="s">
        <v>585</v>
      </c>
      <c r="G31" s="875"/>
      <c r="H31" s="867"/>
      <c r="I31" s="867"/>
    </row>
    <row r="32" spans="1:9" s="876" customFormat="1" ht="19.5" customHeight="1">
      <c r="A32" s="3803"/>
      <c r="B32" s="3803"/>
      <c r="C32" s="872" t="s">
        <v>586</v>
      </c>
      <c r="D32" s="873"/>
      <c r="E32" s="871">
        <v>0.8</v>
      </c>
      <c r="F32" s="874" t="s">
        <v>587</v>
      </c>
      <c r="G32" s="875"/>
      <c r="H32" s="867"/>
      <c r="I32" s="867"/>
    </row>
    <row r="33" spans="1:9" s="876" customFormat="1" ht="19.5" customHeight="1">
      <c r="A33" s="3803" t="s">
        <v>185</v>
      </c>
      <c r="B33" s="871" t="s">
        <v>560</v>
      </c>
      <c r="C33" s="872" t="s">
        <v>588</v>
      </c>
      <c r="D33" s="873"/>
      <c r="E33" s="871">
        <v>1</v>
      </c>
      <c r="F33" s="874" t="s">
        <v>589</v>
      </c>
      <c r="G33" s="875"/>
      <c r="H33" s="867"/>
      <c r="I33" s="867"/>
    </row>
    <row r="34" spans="1:9" s="876" customFormat="1" ht="19.5" customHeight="1">
      <c r="A34" s="3803"/>
      <c r="B34" s="871" t="s">
        <v>563</v>
      </c>
      <c r="C34" s="872" t="s">
        <v>590</v>
      </c>
      <c r="D34" s="873"/>
      <c r="E34" s="871">
        <v>1.5</v>
      </c>
      <c r="F34" s="874" t="s">
        <v>591</v>
      </c>
      <c r="G34" s="875"/>
      <c r="H34" s="867"/>
      <c r="I34" s="867"/>
    </row>
    <row r="35" spans="1:9" s="876" customFormat="1" ht="19.5" customHeight="1">
      <c r="A35" s="3803" t="s">
        <v>186</v>
      </c>
      <c r="B35" s="871" t="s">
        <v>560</v>
      </c>
      <c r="C35" s="872" t="s">
        <v>592</v>
      </c>
      <c r="D35" s="873"/>
      <c r="E35" s="871">
        <v>1</v>
      </c>
      <c r="F35" s="874" t="s">
        <v>593</v>
      </c>
      <c r="G35" s="875"/>
      <c r="H35" s="867"/>
      <c r="I35" s="867"/>
    </row>
    <row r="36" spans="1:9" s="876" customFormat="1" ht="19.5" customHeight="1">
      <c r="A36" s="3803"/>
      <c r="B36" s="3803" t="s">
        <v>563</v>
      </c>
      <c r="C36" s="872" t="s">
        <v>594</v>
      </c>
      <c r="D36" s="873"/>
      <c r="E36" s="871">
        <v>1</v>
      </c>
      <c r="F36" s="874" t="s">
        <v>595</v>
      </c>
      <c r="G36" s="875"/>
      <c r="H36" s="867"/>
      <c r="I36" s="867"/>
    </row>
    <row r="37" spans="1:9" s="876" customFormat="1" ht="19.5" customHeight="1">
      <c r="A37" s="3803"/>
      <c r="B37" s="3803"/>
      <c r="C37" s="872" t="s">
        <v>596</v>
      </c>
      <c r="D37" s="873"/>
      <c r="E37" s="871">
        <v>1.5</v>
      </c>
      <c r="F37" s="874" t="s">
        <v>597</v>
      </c>
      <c r="G37" s="875"/>
      <c r="H37" s="867"/>
      <c r="I37" s="867"/>
    </row>
    <row r="38" spans="1:9" s="876" customFormat="1" ht="19.5" customHeight="1">
      <c r="A38" s="3803"/>
      <c r="B38" s="3803"/>
      <c r="C38" s="872" t="s">
        <v>598</v>
      </c>
      <c r="D38" s="873"/>
      <c r="E38" s="871">
        <v>1</v>
      </c>
      <c r="F38" s="874" t="s">
        <v>599</v>
      </c>
      <c r="G38" s="875"/>
      <c r="H38" s="867"/>
      <c r="I38" s="867"/>
    </row>
    <row r="39" spans="1:9" s="876" customFormat="1" ht="19.5" customHeight="1">
      <c r="A39" s="3803"/>
      <c r="B39" s="3803"/>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4.4">
      <c r="A60" s="929"/>
      <c r="B60" s="929"/>
      <c r="C60" s="929" t="s">
        <v>745</v>
      </c>
      <c r="D60" s="929"/>
      <c r="E60" s="884" t="s">
        <v>1</v>
      </c>
      <c r="F60" s="929" t="s">
        <v>1</v>
      </c>
    </row>
    <row r="61" spans="1:8" s="867" customFormat="1" ht="36">
      <c r="A61" s="871">
        <v>1</v>
      </c>
      <c r="B61" s="3803" t="s">
        <v>614</v>
      </c>
      <c r="C61" s="807" t="s">
        <v>615</v>
      </c>
      <c r="D61" s="807" t="s">
        <v>616</v>
      </c>
      <c r="E61" s="884">
        <v>0.5</v>
      </c>
      <c r="F61" s="871">
        <v>80</v>
      </c>
    </row>
    <row r="62" spans="1:8" s="867" customFormat="1" ht="36">
      <c r="A62" s="871">
        <v>2</v>
      </c>
      <c r="B62" s="3803"/>
      <c r="C62" s="807" t="s">
        <v>617</v>
      </c>
      <c r="D62" s="807" t="s">
        <v>618</v>
      </c>
      <c r="E62" s="884">
        <v>0.5</v>
      </c>
      <c r="F62" s="871">
        <v>80</v>
      </c>
    </row>
    <row r="63" spans="1:8" s="867" customFormat="1" ht="48">
      <c r="A63" s="871">
        <v>3</v>
      </c>
      <c r="B63" s="3803"/>
      <c r="C63" s="807" t="s">
        <v>619</v>
      </c>
      <c r="D63" s="807" t="s">
        <v>620</v>
      </c>
      <c r="E63" s="884">
        <v>0.5</v>
      </c>
      <c r="F63" s="871">
        <v>80</v>
      </c>
    </row>
    <row r="64" spans="1:8" s="867" customFormat="1" ht="48">
      <c r="A64" s="871">
        <v>4</v>
      </c>
      <c r="B64" s="3803"/>
      <c r="C64" s="807" t="s">
        <v>621</v>
      </c>
      <c r="D64" s="807" t="s">
        <v>622</v>
      </c>
      <c r="E64" s="884">
        <v>0.4</v>
      </c>
      <c r="F64" s="871">
        <v>60</v>
      </c>
    </row>
    <row r="65" spans="1:6" s="867" customFormat="1" ht="48">
      <c r="A65" s="871">
        <v>5</v>
      </c>
      <c r="B65" s="3803"/>
      <c r="C65" s="807" t="s">
        <v>623</v>
      </c>
      <c r="D65" s="807" t="s">
        <v>624</v>
      </c>
      <c r="E65" s="884">
        <v>0.2</v>
      </c>
      <c r="F65" s="871">
        <v>30</v>
      </c>
    </row>
    <row r="66" spans="1:6" s="867" customFormat="1" ht="48">
      <c r="A66" s="871">
        <v>6</v>
      </c>
      <c r="B66" s="3803"/>
      <c r="C66" s="807" t="s">
        <v>625</v>
      </c>
      <c r="D66" s="807" t="s">
        <v>626</v>
      </c>
      <c r="E66" s="884">
        <v>0.3</v>
      </c>
      <c r="F66" s="871">
        <v>50</v>
      </c>
    </row>
    <row r="67" spans="1:6" s="867" customFormat="1" ht="48">
      <c r="A67" s="871">
        <v>7</v>
      </c>
      <c r="B67" s="3803"/>
      <c r="C67" s="807" t="s">
        <v>627</v>
      </c>
      <c r="D67" s="807" t="s">
        <v>628</v>
      </c>
      <c r="E67" s="884">
        <v>0.2</v>
      </c>
      <c r="F67" s="871">
        <v>30</v>
      </c>
    </row>
    <row r="68" spans="1:6" s="867" customFormat="1" ht="48">
      <c r="A68" s="871">
        <v>8</v>
      </c>
      <c r="B68" s="3803"/>
      <c r="C68" s="807" t="s">
        <v>629</v>
      </c>
      <c r="D68" s="807" t="s">
        <v>630</v>
      </c>
      <c r="E68" s="884">
        <v>0.2</v>
      </c>
      <c r="F68" s="871">
        <v>30</v>
      </c>
    </row>
    <row r="69" spans="1:6" s="867" customFormat="1" ht="48">
      <c r="A69" s="871">
        <v>9</v>
      </c>
      <c r="B69" s="3803"/>
      <c r="C69" s="807" t="s">
        <v>631</v>
      </c>
      <c r="D69" s="807" t="s">
        <v>632</v>
      </c>
      <c r="E69" s="884">
        <v>0.2</v>
      </c>
      <c r="F69" s="871">
        <v>30</v>
      </c>
    </row>
    <row r="70" spans="1:6" s="867" customFormat="1" ht="60">
      <c r="A70" s="871">
        <v>10</v>
      </c>
      <c r="B70" s="3803"/>
      <c r="C70" s="807" t="s">
        <v>633</v>
      </c>
      <c r="D70" s="807" t="s">
        <v>634</v>
      </c>
      <c r="E70" s="884">
        <v>0.2</v>
      </c>
      <c r="F70" s="871">
        <v>30</v>
      </c>
    </row>
    <row r="71" spans="1:6" s="867" customFormat="1" ht="60">
      <c r="A71" s="871">
        <v>11</v>
      </c>
      <c r="B71" s="3803"/>
      <c r="C71" s="807" t="s">
        <v>635</v>
      </c>
      <c r="D71" s="807" t="s">
        <v>636</v>
      </c>
      <c r="E71" s="884">
        <v>0.2</v>
      </c>
      <c r="F71" s="871">
        <v>30</v>
      </c>
    </row>
    <row r="72" spans="1:6" s="867" customFormat="1" ht="36">
      <c r="A72" s="871">
        <v>12</v>
      </c>
      <c r="B72" s="3803"/>
      <c r="C72" s="807" t="s">
        <v>637</v>
      </c>
      <c r="D72" s="807" t="s">
        <v>638</v>
      </c>
      <c r="E72" s="884">
        <v>0.5</v>
      </c>
      <c r="F72" s="871">
        <v>80</v>
      </c>
    </row>
    <row r="73" spans="1:6" s="867" customFormat="1" ht="36">
      <c r="A73" s="871">
        <v>13</v>
      </c>
      <c r="B73" s="3803"/>
      <c r="C73" s="807" t="s">
        <v>639</v>
      </c>
      <c r="D73" s="807" t="s">
        <v>640</v>
      </c>
      <c r="E73" s="884">
        <v>0.4</v>
      </c>
      <c r="F73" s="871">
        <v>60</v>
      </c>
    </row>
    <row r="74" spans="1:6" s="867" customFormat="1" ht="36">
      <c r="A74" s="871">
        <v>14</v>
      </c>
      <c r="B74" s="3803"/>
      <c r="C74" s="807" t="s">
        <v>641</v>
      </c>
      <c r="D74" s="807" t="s">
        <v>642</v>
      </c>
      <c r="E74" s="884">
        <v>0.2</v>
      </c>
      <c r="F74" s="871">
        <v>30</v>
      </c>
    </row>
    <row r="75" spans="1:6" s="867" customFormat="1" ht="36">
      <c r="A75" s="871">
        <v>15</v>
      </c>
      <c r="B75" s="3803"/>
      <c r="C75" s="807" t="s">
        <v>643</v>
      </c>
      <c r="D75" s="807" t="s">
        <v>644</v>
      </c>
      <c r="E75" s="884">
        <v>0.2</v>
      </c>
      <c r="F75" s="871">
        <v>30</v>
      </c>
    </row>
    <row r="76" spans="1:6" s="867" customFormat="1" ht="36">
      <c r="A76" s="871">
        <v>16</v>
      </c>
      <c r="B76" s="3803" t="s">
        <v>645</v>
      </c>
      <c r="C76" s="807" t="s">
        <v>646</v>
      </c>
      <c r="D76" s="807" t="s">
        <v>647</v>
      </c>
      <c r="E76" s="884">
        <v>0.5</v>
      </c>
      <c r="F76" s="871">
        <v>80</v>
      </c>
    </row>
    <row r="77" spans="1:6" s="867" customFormat="1" ht="36">
      <c r="A77" s="871">
        <v>17</v>
      </c>
      <c r="B77" s="3803"/>
      <c r="C77" s="807" t="s">
        <v>648</v>
      </c>
      <c r="D77" s="807" t="s">
        <v>649</v>
      </c>
      <c r="E77" s="884">
        <v>0.5</v>
      </c>
      <c r="F77" s="871">
        <v>80</v>
      </c>
    </row>
    <row r="78" spans="1:6" s="867" customFormat="1" ht="36">
      <c r="A78" s="871">
        <v>18</v>
      </c>
      <c r="B78" s="3803"/>
      <c r="C78" s="807" t="s">
        <v>650</v>
      </c>
      <c r="D78" s="807" t="s">
        <v>651</v>
      </c>
      <c r="E78" s="884">
        <v>0.2</v>
      </c>
      <c r="F78" s="871">
        <v>30</v>
      </c>
    </row>
    <row r="79" spans="1:6" s="867" customFormat="1" ht="36">
      <c r="A79" s="871">
        <v>19</v>
      </c>
      <c r="B79" s="3803"/>
      <c r="C79" s="807" t="s">
        <v>652</v>
      </c>
      <c r="D79" s="807" t="s">
        <v>653</v>
      </c>
      <c r="E79" s="884">
        <v>0.5</v>
      </c>
      <c r="F79" s="871">
        <v>80</v>
      </c>
    </row>
    <row r="80" spans="1:6" s="867" customFormat="1" ht="36">
      <c r="A80" s="871">
        <v>20</v>
      </c>
      <c r="B80" s="3803"/>
      <c r="C80" s="807" t="s">
        <v>654</v>
      </c>
      <c r="D80" s="807" t="s">
        <v>655</v>
      </c>
      <c r="E80" s="884">
        <v>0.2</v>
      </c>
      <c r="F80" s="871">
        <v>30</v>
      </c>
    </row>
    <row r="81" spans="1:6" s="867" customFormat="1" ht="36">
      <c r="A81" s="871">
        <v>21</v>
      </c>
      <c r="B81" s="3803"/>
      <c r="C81" s="807" t="s">
        <v>656</v>
      </c>
      <c r="D81" s="807" t="s">
        <v>657</v>
      </c>
      <c r="E81" s="884">
        <v>0.2</v>
      </c>
      <c r="F81" s="871">
        <v>30</v>
      </c>
    </row>
    <row r="82" spans="1:6" s="867" customFormat="1" ht="60">
      <c r="A82" s="871">
        <v>22</v>
      </c>
      <c r="B82" s="3803"/>
      <c r="C82" s="807" t="s">
        <v>658</v>
      </c>
      <c r="D82" s="807" t="s">
        <v>659</v>
      </c>
      <c r="E82" s="884">
        <v>0.2</v>
      </c>
      <c r="F82" s="871">
        <v>30</v>
      </c>
    </row>
    <row r="83" spans="1:6" s="867" customFormat="1" ht="60">
      <c r="A83" s="871">
        <v>23</v>
      </c>
      <c r="B83" s="3803"/>
      <c r="C83" s="807" t="s">
        <v>660</v>
      </c>
      <c r="D83" s="807" t="s">
        <v>661</v>
      </c>
      <c r="E83" s="884">
        <v>0.2</v>
      </c>
      <c r="F83" s="871">
        <v>30</v>
      </c>
    </row>
    <row r="84" spans="1:6" s="867" customFormat="1" ht="48">
      <c r="A84" s="871">
        <v>24</v>
      </c>
      <c r="B84" s="3803"/>
      <c r="C84" s="807" t="s">
        <v>662</v>
      </c>
      <c r="D84" s="807" t="s">
        <v>663</v>
      </c>
      <c r="E84" s="884">
        <v>0.2</v>
      </c>
      <c r="F84" s="871">
        <v>30</v>
      </c>
    </row>
    <row r="85" spans="1:6" s="867" customFormat="1" ht="36">
      <c r="A85" s="871">
        <v>25</v>
      </c>
      <c r="B85" s="3803"/>
      <c r="C85" s="807" t="s">
        <v>664</v>
      </c>
      <c r="D85" s="807" t="s">
        <v>665</v>
      </c>
      <c r="E85" s="884">
        <v>0.5</v>
      </c>
      <c r="F85" s="871">
        <v>80</v>
      </c>
    </row>
    <row r="86" spans="1:6" s="867" customFormat="1" ht="36">
      <c r="A86" s="871">
        <v>26</v>
      </c>
      <c r="B86" s="3803"/>
      <c r="C86" s="807" t="s">
        <v>666</v>
      </c>
      <c r="D86" s="807" t="s">
        <v>667</v>
      </c>
      <c r="E86" s="884">
        <v>0.2</v>
      </c>
      <c r="F86" s="871">
        <v>30</v>
      </c>
    </row>
    <row r="87" spans="1:6" s="867" customFormat="1" ht="36">
      <c r="A87" s="871">
        <v>27</v>
      </c>
      <c r="B87" s="3803"/>
      <c r="C87" s="807" t="s">
        <v>668</v>
      </c>
      <c r="D87" s="807" t="s">
        <v>669</v>
      </c>
      <c r="E87" s="884">
        <v>0.2</v>
      </c>
      <c r="F87" s="871">
        <v>30</v>
      </c>
    </row>
    <row r="88" spans="1:6" s="867" customFormat="1" ht="36">
      <c r="A88" s="871">
        <v>28</v>
      </c>
      <c r="B88" s="3803"/>
      <c r="C88" s="807" t="s">
        <v>670</v>
      </c>
      <c r="D88" s="807" t="s">
        <v>671</v>
      </c>
      <c r="E88" s="884">
        <v>0.2</v>
      </c>
      <c r="F88" s="871">
        <v>30</v>
      </c>
    </row>
    <row r="89" spans="1:6" s="867" customFormat="1" ht="36">
      <c r="A89" s="871">
        <v>29</v>
      </c>
      <c r="B89" s="3803"/>
      <c r="C89" s="807" t="s">
        <v>672</v>
      </c>
      <c r="D89" s="807" t="s">
        <v>673</v>
      </c>
      <c r="E89" s="884">
        <v>0.2</v>
      </c>
      <c r="F89" s="871">
        <v>30</v>
      </c>
    </row>
    <row r="90" spans="1:6" s="867" customFormat="1" ht="36">
      <c r="A90" s="871">
        <v>30</v>
      </c>
      <c r="B90" s="3803"/>
      <c r="C90" s="807" t="s">
        <v>674</v>
      </c>
      <c r="D90" s="807" t="s">
        <v>675</v>
      </c>
      <c r="E90" s="884">
        <v>0.2</v>
      </c>
      <c r="F90" s="871">
        <v>30</v>
      </c>
    </row>
    <row r="91" spans="1:6" s="867" customFormat="1" ht="48">
      <c r="A91" s="871">
        <v>31</v>
      </c>
      <c r="B91" s="3803"/>
      <c r="C91" s="807" t="s">
        <v>676</v>
      </c>
      <c r="D91" s="807" t="s">
        <v>677</v>
      </c>
      <c r="E91" s="884">
        <v>0.2</v>
      </c>
      <c r="F91" s="871">
        <v>30</v>
      </c>
    </row>
    <row r="92" spans="1:6" s="867" customFormat="1" ht="36">
      <c r="A92" s="871">
        <v>32</v>
      </c>
      <c r="B92" s="3803" t="s">
        <v>678</v>
      </c>
      <c r="C92" s="871" t="s">
        <v>679</v>
      </c>
      <c r="D92" s="807" t="s">
        <v>680</v>
      </c>
      <c r="E92" s="884">
        <v>0.2</v>
      </c>
      <c r="F92" s="871">
        <v>30</v>
      </c>
    </row>
    <row r="93" spans="1:6" s="867" customFormat="1" ht="36">
      <c r="A93" s="871">
        <v>33</v>
      </c>
      <c r="B93" s="3803"/>
      <c r="C93" s="871" t="s">
        <v>681</v>
      </c>
      <c r="D93" s="807" t="s">
        <v>682</v>
      </c>
      <c r="E93" s="884">
        <v>0.2</v>
      </c>
      <c r="F93" s="871">
        <v>30</v>
      </c>
    </row>
    <row r="94" spans="1:6" s="867" customFormat="1" ht="60">
      <c r="A94" s="871">
        <v>34</v>
      </c>
      <c r="B94" s="3803"/>
      <c r="C94" s="871" t="s">
        <v>683</v>
      </c>
      <c r="D94" s="807" t="s">
        <v>684</v>
      </c>
      <c r="E94" s="884">
        <v>0.2</v>
      </c>
      <c r="F94" s="871">
        <v>30</v>
      </c>
    </row>
    <row r="95" spans="1:6" s="867" customFormat="1" ht="48">
      <c r="A95" s="871">
        <v>35</v>
      </c>
      <c r="B95" s="3803"/>
      <c r="C95" s="871" t="s">
        <v>685</v>
      </c>
      <c r="D95" s="807" t="s">
        <v>686</v>
      </c>
      <c r="E95" s="884">
        <v>0.2</v>
      </c>
      <c r="F95" s="871">
        <v>30</v>
      </c>
    </row>
    <row r="96" spans="1:6" s="867" customFormat="1" ht="72">
      <c r="A96" s="871">
        <v>36</v>
      </c>
      <c r="B96" s="3803"/>
      <c r="C96" s="807" t="s">
        <v>687</v>
      </c>
      <c r="D96" s="807" t="s">
        <v>688</v>
      </c>
      <c r="E96" s="884">
        <v>0.2</v>
      </c>
      <c r="F96" s="871">
        <v>30</v>
      </c>
    </row>
    <row r="97" spans="1:6" s="867" customFormat="1" ht="36">
      <c r="A97" s="871">
        <v>37</v>
      </c>
      <c r="B97" s="3803"/>
      <c r="C97" s="871" t="s">
        <v>689</v>
      </c>
      <c r="D97" s="807" t="s">
        <v>690</v>
      </c>
      <c r="E97" s="884">
        <v>0.2</v>
      </c>
      <c r="F97" s="871">
        <v>30</v>
      </c>
    </row>
    <row r="98" spans="1:6" s="867" customFormat="1" ht="36">
      <c r="A98" s="871">
        <v>38</v>
      </c>
      <c r="B98" s="3803"/>
      <c r="C98" s="871" t="s">
        <v>691</v>
      </c>
      <c r="D98" s="807" t="s">
        <v>692</v>
      </c>
      <c r="E98" s="884">
        <v>0.2</v>
      </c>
      <c r="F98" s="871">
        <v>30</v>
      </c>
    </row>
    <row r="99" spans="1:6" s="867" customFormat="1" ht="36">
      <c r="A99" s="871">
        <v>39</v>
      </c>
      <c r="B99" s="3803" t="s">
        <v>693</v>
      </c>
      <c r="C99" s="871" t="s">
        <v>694</v>
      </c>
      <c r="D99" s="807" t="s">
        <v>695</v>
      </c>
      <c r="E99" s="884">
        <v>0.3</v>
      </c>
      <c r="F99" s="871">
        <v>50</v>
      </c>
    </row>
    <row r="100" spans="1:6" s="867" customFormat="1" ht="36">
      <c r="A100" s="871">
        <v>40</v>
      </c>
      <c r="B100" s="3803"/>
      <c r="C100" s="871" t="s">
        <v>696</v>
      </c>
      <c r="D100" s="807" t="s">
        <v>697</v>
      </c>
      <c r="E100" s="884">
        <v>0.2</v>
      </c>
      <c r="F100" s="871">
        <v>30</v>
      </c>
    </row>
    <row r="101" spans="1:6" s="867" customFormat="1" ht="36">
      <c r="A101" s="871">
        <v>41</v>
      </c>
      <c r="B101" s="3803"/>
      <c r="C101" s="871" t="s">
        <v>698</v>
      </c>
      <c r="D101" s="807" t="s">
        <v>695</v>
      </c>
      <c r="E101" s="884">
        <v>0.2</v>
      </c>
      <c r="F101" s="871">
        <v>30</v>
      </c>
    </row>
    <row r="102" spans="1:6" s="867" customFormat="1" ht="72">
      <c r="A102" s="871">
        <v>42</v>
      </c>
      <c r="B102" s="871" t="s">
        <v>699</v>
      </c>
      <c r="C102" s="807" t="s">
        <v>700</v>
      </c>
      <c r="D102" s="807" t="s">
        <v>701</v>
      </c>
      <c r="E102" s="884">
        <v>0.2</v>
      </c>
      <c r="F102" s="871">
        <v>30</v>
      </c>
    </row>
    <row r="103" spans="1:6" s="867" customFormat="1" ht="36">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48">
      <c r="A105" s="871">
        <v>45</v>
      </c>
      <c r="B105" s="3803" t="s">
        <v>708</v>
      </c>
      <c r="C105" s="871" t="s">
        <v>709</v>
      </c>
      <c r="D105" s="807" t="s">
        <v>710</v>
      </c>
      <c r="E105" s="884">
        <v>0.2</v>
      </c>
      <c r="F105" s="871">
        <v>30</v>
      </c>
    </row>
    <row r="106" spans="1:6" s="867" customFormat="1" ht="48">
      <c r="A106" s="871">
        <v>46</v>
      </c>
      <c r="B106" s="3803"/>
      <c r="C106" s="871" t="s">
        <v>711</v>
      </c>
      <c r="D106" s="807" t="s">
        <v>712</v>
      </c>
      <c r="E106" s="884">
        <v>0.2</v>
      </c>
      <c r="F106" s="871">
        <v>30</v>
      </c>
    </row>
    <row r="107" spans="1:6" s="867" customFormat="1" ht="36">
      <c r="A107" s="871">
        <v>47</v>
      </c>
      <c r="B107" s="3803" t="s">
        <v>713</v>
      </c>
      <c r="C107" s="871" t="s">
        <v>714</v>
      </c>
      <c r="D107" s="807" t="s">
        <v>715</v>
      </c>
      <c r="E107" s="884">
        <v>0.3</v>
      </c>
      <c r="F107" s="871">
        <v>50</v>
      </c>
    </row>
    <row r="108" spans="1:6" s="867" customFormat="1" ht="48">
      <c r="A108" s="871">
        <v>48</v>
      </c>
      <c r="B108" s="3803"/>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48">
      <c r="A110" s="871">
        <v>50</v>
      </c>
      <c r="B110" s="871" t="s">
        <v>721</v>
      </c>
      <c r="C110" s="871" t="s">
        <v>722</v>
      </c>
      <c r="D110" s="807" t="s">
        <v>723</v>
      </c>
      <c r="E110" s="884">
        <v>0.2</v>
      </c>
      <c r="F110" s="871">
        <v>30</v>
      </c>
    </row>
    <row r="111" spans="1:6" s="867" customFormat="1" ht="48">
      <c r="A111" s="871">
        <v>51</v>
      </c>
      <c r="B111" s="3803" t="s">
        <v>724</v>
      </c>
      <c r="C111" s="871" t="s">
        <v>725</v>
      </c>
      <c r="D111" s="807" t="s">
        <v>726</v>
      </c>
      <c r="E111" s="884">
        <v>0.2</v>
      </c>
      <c r="F111" s="871">
        <v>30</v>
      </c>
    </row>
    <row r="112" spans="1:6" s="867" customFormat="1" ht="36">
      <c r="A112" s="871">
        <v>52</v>
      </c>
      <c r="B112" s="3803"/>
      <c r="C112" s="871" t="s">
        <v>727</v>
      </c>
      <c r="D112" s="807" t="s">
        <v>728</v>
      </c>
      <c r="E112" s="884">
        <v>0.2</v>
      </c>
      <c r="F112" s="871">
        <v>30</v>
      </c>
    </row>
    <row r="113" spans="1:6" s="867" customFormat="1" ht="36">
      <c r="A113" s="871">
        <v>53</v>
      </c>
      <c r="B113" s="3803"/>
      <c r="C113" s="871" t="s">
        <v>729</v>
      </c>
      <c r="D113" s="807" t="s">
        <v>730</v>
      </c>
      <c r="E113" s="884">
        <v>0.2</v>
      </c>
      <c r="F113" s="871">
        <v>30</v>
      </c>
    </row>
    <row r="114" spans="1:6" ht="48">
      <c r="A114" s="871">
        <v>54</v>
      </c>
      <c r="B114" s="871" t="s">
        <v>731</v>
      </c>
      <c r="C114" s="871" t="s">
        <v>732</v>
      </c>
      <c r="D114" s="807" t="s">
        <v>733</v>
      </c>
      <c r="E114" s="884">
        <v>0.2</v>
      </c>
      <c r="F114" s="871">
        <v>30</v>
      </c>
    </row>
    <row r="115" spans="1:6" ht="36">
      <c r="A115" s="871">
        <v>55</v>
      </c>
      <c r="B115" s="871" t="s">
        <v>734</v>
      </c>
      <c r="C115" s="871" t="s">
        <v>735</v>
      </c>
      <c r="D115" s="807" t="s">
        <v>736</v>
      </c>
      <c r="E115" s="884">
        <v>0.2</v>
      </c>
      <c r="F115" s="871">
        <v>30</v>
      </c>
    </row>
    <row r="116" spans="1:6" ht="36">
      <c r="A116" s="871">
        <v>56</v>
      </c>
      <c r="B116" s="3803" t="s">
        <v>737</v>
      </c>
      <c r="C116" s="871" t="s">
        <v>738</v>
      </c>
      <c r="D116" s="807" t="s">
        <v>739</v>
      </c>
      <c r="E116" s="884">
        <v>0.2</v>
      </c>
      <c r="F116" s="871">
        <v>30</v>
      </c>
    </row>
    <row r="117" spans="1:6" ht="36">
      <c r="A117" s="871">
        <v>57</v>
      </c>
      <c r="B117" s="3803"/>
      <c r="C117" s="871" t="s">
        <v>740</v>
      </c>
      <c r="D117" s="807" t="s">
        <v>741</v>
      </c>
      <c r="E117" s="884">
        <v>0.2</v>
      </c>
      <c r="F117" s="871">
        <v>30</v>
      </c>
    </row>
    <row r="118" spans="1:6" ht="36">
      <c r="A118" s="871">
        <v>58</v>
      </c>
      <c r="B118" s="871" t="s">
        <v>742</v>
      </c>
      <c r="C118" s="871" t="s">
        <v>743</v>
      </c>
      <c r="D118" s="807" t="s">
        <v>744</v>
      </c>
      <c r="E118" s="884">
        <v>0.2</v>
      </c>
      <c r="F118" s="871">
        <v>30</v>
      </c>
    </row>
    <row r="119" spans="1:6" ht="14.4">
      <c r="A119" s="871"/>
      <c r="B119" s="871"/>
      <c r="C119" s="871" t="s">
        <v>745</v>
      </c>
      <c r="D119" s="871"/>
      <c r="E119" s="884" t="s">
        <v>555</v>
      </c>
      <c r="F119" s="87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408"/>
  <sheetViews>
    <sheetView workbookViewId="0">
      <selection activeCell="V30" sqref="V30"/>
    </sheetView>
  </sheetViews>
  <sheetFormatPr defaultColWidth="9" defaultRowHeight="14.4"/>
  <cols>
    <col min="1" max="1" width="9" style="904"/>
    <col min="2" max="16384" width="9" style="887"/>
  </cols>
  <sheetData>
    <row r="1" spans="1:14" ht="15.6">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5.6">
      <c r="A103" s="885" t="s">
        <v>748</v>
      </c>
      <c r="B103" s="886"/>
      <c r="C103" s="886"/>
      <c r="D103" s="886"/>
      <c r="E103" s="886"/>
      <c r="F103" s="886"/>
      <c r="G103" s="886"/>
      <c r="H103" s="886"/>
      <c r="I103" s="886"/>
      <c r="J103" s="886"/>
      <c r="K103" s="886"/>
      <c r="L103" s="886"/>
      <c r="M103" s="886"/>
      <c r="N103" s="886"/>
    </row>
    <row r="104" spans="1:14" ht="15.6">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5.6">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5.6">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8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E13"/>
  <sheetViews>
    <sheetView workbookViewId="0">
      <selection activeCell="B3" sqref="B3"/>
    </sheetView>
  </sheetViews>
  <sheetFormatPr defaultColWidth="9" defaultRowHeight="13.8"/>
  <cols>
    <col min="1" max="1" width="23.33203125" style="1922" customWidth="1"/>
    <col min="2" max="2" width="12.44140625" style="1922" customWidth="1"/>
    <col min="3" max="3" width="12.109375" style="1922" customWidth="1"/>
    <col min="4" max="4" width="14.109375" style="1922" customWidth="1"/>
    <col min="5" max="5" width="12.44140625" style="1922" customWidth="1"/>
    <col min="6" max="16384" width="9" style="1922"/>
  </cols>
  <sheetData>
    <row r="1" spans="1:5" ht="21.6">
      <c r="A1" s="2531" t="s">
        <v>2975</v>
      </c>
    </row>
    <row r="2" spans="1:5" ht="15.6">
      <c r="A2" s="2870" t="s">
        <v>2967</v>
      </c>
      <c r="B2" s="2871" t="e">
        <f ca="1">SUMIF(B6:B13,"&lt;&gt;#ref!",B6:B13)</f>
        <v>#DIV/0!</v>
      </c>
      <c r="C2" s="2870" t="s">
        <v>2968</v>
      </c>
      <c r="D2" s="2870" t="s">
        <v>2969</v>
      </c>
      <c r="E2" s="2871">
        <f ca="1">SUMIF(E6:E13,"&lt;&gt;#ref!",E6:E13)</f>
        <v>82629.64</v>
      </c>
    </row>
    <row r="3" spans="1:5" ht="15.6">
      <c r="A3" s="2870" t="s">
        <v>2970</v>
      </c>
      <c r="B3" s="2871" t="e">
        <f ca="1">ROUND(B2*10000/E2,0)</f>
        <v>#DIV/0!</v>
      </c>
      <c r="C3" s="2870" t="s">
        <v>2976</v>
      </c>
      <c r="D3" s="2872"/>
      <c r="E3" s="2872"/>
    </row>
    <row r="4" spans="1:5" ht="15.6">
      <c r="A4" s="2873"/>
      <c r="B4" s="2872"/>
      <c r="C4" s="2872"/>
      <c r="D4" s="2872"/>
      <c r="E4" s="2872"/>
    </row>
    <row r="5" spans="1:5" ht="31.2">
      <c r="A5" s="2874" t="s">
        <v>2971</v>
      </c>
      <c r="B5" s="2870" t="s">
        <v>2972</v>
      </c>
      <c r="C5" s="2871"/>
      <c r="D5" s="2872"/>
      <c r="E5" s="2870" t="s">
        <v>2973</v>
      </c>
    </row>
    <row r="6" spans="1:5" ht="15.6">
      <c r="A6" s="2875" t="s">
        <v>2974</v>
      </c>
      <c r="B6" s="2871" t="e">
        <f ca="1">SUMIF(INDIRECT("'"&amp;A6&amp;"'"&amp;"!A:A"),"总价",INDIRECT("'"&amp;A6&amp;"'"&amp;"!B:B"))</f>
        <v>#DIV/0!</v>
      </c>
      <c r="C6" s="2870" t="s">
        <v>2968</v>
      </c>
      <c r="D6" s="2872"/>
      <c r="E6" s="2545">
        <f ca="1">SUMIF(INDIRECT("'"&amp;A6&amp;"'"&amp;"!C:C"),"建筑面积",INDIRECT("'"&amp;A6&amp;"'"&amp;"!D:D"))</f>
        <v>82629.64</v>
      </c>
    </row>
    <row r="7" spans="1:5" ht="15.6">
      <c r="A7" s="2875"/>
      <c r="B7" s="2871" t="e">
        <f ca="1">SUMIF(INDIRECT("'"&amp;A7&amp;"'"&amp;"!A:A"),"总价",INDIRECT("'"&amp;A7&amp;"'"&amp;"!B:B"))</f>
        <v>#REF!</v>
      </c>
      <c r="C7" s="2870" t="s">
        <v>2968</v>
      </c>
      <c r="D7" s="2872"/>
      <c r="E7" s="2545" t="e">
        <f t="shared" ref="E7:E13" ca="1" si="0">SUMIF(INDIRECT("'"&amp;A7&amp;"'"&amp;"!C:C"),"建筑面积",INDIRECT("'"&amp;A7&amp;"'"&amp;"!D:D"))</f>
        <v>#REF!</v>
      </c>
    </row>
    <row r="8" spans="1:5" ht="15.6">
      <c r="A8" s="2875"/>
      <c r="B8" s="2871" t="e">
        <f t="shared" ref="B8:B13" ca="1" si="1">SUMIF(INDIRECT("'"&amp;A8&amp;"'"&amp;"!A:A"),"总价",INDIRECT("'"&amp;A8&amp;"'"&amp;"!B:B"))</f>
        <v>#REF!</v>
      </c>
      <c r="C8" s="2870" t="s">
        <v>2968</v>
      </c>
      <c r="D8" s="2872"/>
      <c r="E8" s="2545" t="e">
        <f t="shared" ca="1" si="0"/>
        <v>#REF!</v>
      </c>
    </row>
    <row r="9" spans="1:5" ht="15.6">
      <c r="A9" s="2875"/>
      <c r="B9" s="2871" t="e">
        <f t="shared" ca="1" si="1"/>
        <v>#REF!</v>
      </c>
      <c r="C9" s="2870" t="s">
        <v>2968</v>
      </c>
      <c r="D9" s="2872"/>
      <c r="E9" s="2545" t="e">
        <f t="shared" ca="1" si="0"/>
        <v>#REF!</v>
      </c>
    </row>
    <row r="10" spans="1:5" ht="15.6">
      <c r="A10" s="2875"/>
      <c r="B10" s="2871" t="e">
        <f t="shared" ca="1" si="1"/>
        <v>#REF!</v>
      </c>
      <c r="C10" s="2870" t="s">
        <v>2968</v>
      </c>
      <c r="D10" s="2872"/>
      <c r="E10" s="2545" t="e">
        <f t="shared" ca="1" si="0"/>
        <v>#REF!</v>
      </c>
    </row>
    <row r="11" spans="1:5" ht="15.6">
      <c r="A11" s="2875"/>
      <c r="B11" s="2871" t="e">
        <f t="shared" ca="1" si="1"/>
        <v>#REF!</v>
      </c>
      <c r="C11" s="2870" t="s">
        <v>2968</v>
      </c>
      <c r="D11" s="2872"/>
      <c r="E11" s="2545" t="e">
        <f t="shared" ca="1" si="0"/>
        <v>#REF!</v>
      </c>
    </row>
    <row r="12" spans="1:5" ht="15.6">
      <c r="A12" s="2875"/>
      <c r="B12" s="2871" t="e">
        <f t="shared" ca="1" si="1"/>
        <v>#REF!</v>
      </c>
      <c r="C12" s="2870" t="s">
        <v>2968</v>
      </c>
      <c r="D12" s="2872"/>
      <c r="E12" s="2545" t="e">
        <f t="shared" ca="1" si="0"/>
        <v>#REF!</v>
      </c>
    </row>
    <row r="13" spans="1:5" ht="15.6">
      <c r="A13" s="2875"/>
      <c r="B13" s="2871" t="e">
        <f t="shared" ca="1" si="1"/>
        <v>#REF!</v>
      </c>
      <c r="C13" s="2870" t="s">
        <v>2968</v>
      </c>
      <c r="D13" s="2872"/>
      <c r="E13" s="2545" t="e">
        <f t="shared" ca="1" si="0"/>
        <v>#REF!</v>
      </c>
    </row>
  </sheetData>
  <sheetProtection password="C66D" sheet="1" objects="1" scenarios="1" formatCells="0"/>
  <phoneticPr fontId="144" type="noConversion"/>
  <dataValidations count="1">
    <dataValidation type="list" allowBlank="1" showInputMessage="1" showErrorMessage="1" sqref="A6:A13" xr:uid="{00000000-0002-0000-3400-000000000000}">
      <formula1>估价方法</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K83"/>
  <sheetViews>
    <sheetView topLeftCell="A25" zoomScale="85" zoomScaleNormal="85" zoomScaleSheetLayoutView="90" workbookViewId="0">
      <selection activeCell="I42" sqref="I42"/>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2" customWidth="1"/>
    <col min="12" max="12" width="16.33203125" style="302" customWidth="1"/>
    <col min="13" max="13" width="13" style="302"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302"/>
  </cols>
  <sheetData>
    <row r="1" spans="1:37" s="337" customFormat="1" ht="21.6">
      <c r="A1" s="1811" t="s">
        <v>1573</v>
      </c>
      <c r="B1" s="778"/>
      <c r="C1" s="1815" t="s">
        <v>3350</v>
      </c>
      <c r="D1" s="1798" t="s">
        <v>70</v>
      </c>
      <c r="E1" s="1799" t="s">
        <v>1371</v>
      </c>
      <c r="F1" s="1264">
        <f ca="1">J53</f>
        <v>28.16</v>
      </c>
      <c r="G1" s="1814">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1499</v>
      </c>
      <c r="B2" s="1822">
        <f ca="1">C40+J29+L46</f>
        <v>117536</v>
      </c>
      <c r="C2" s="1823" t="s">
        <v>1500</v>
      </c>
      <c r="D2" s="1823"/>
      <c r="E2" s="1824"/>
      <c r="F2" s="1825"/>
      <c r="G2" s="1826"/>
      <c r="H2" s="1818"/>
      <c r="I2" s="1818"/>
      <c r="J2" s="1818"/>
      <c r="K2" s="1819"/>
      <c r="L2" s="1818"/>
      <c r="M2" s="1818"/>
    </row>
    <row r="3" spans="1:37" ht="18" customHeight="1" thickBot="1">
      <c r="A3" s="1827" t="s">
        <v>1501</v>
      </c>
      <c r="B3" s="1828">
        <f ca="1">IF(ISERROR(B2*10000/F43),0,ROUND(B2*10000/F43,0))</f>
        <v>29681</v>
      </c>
      <c r="C3" s="1823" t="s">
        <v>1502</v>
      </c>
      <c r="D3" s="1823"/>
      <c r="E3" s="1824"/>
      <c r="F3" s="1825"/>
      <c r="G3" s="1826"/>
      <c r="H3" s="740" t="s">
        <v>1572</v>
      </c>
      <c r="I3" s="1818"/>
      <c r="J3" s="1818"/>
      <c r="K3" s="1819"/>
      <c r="L3" s="1818"/>
      <c r="M3" s="1818"/>
    </row>
    <row r="4" spans="1:37" ht="18" customHeight="1">
      <c r="A4" s="340" t="s">
        <v>1380</v>
      </c>
      <c r="B4" s="341" t="s">
        <v>1381</v>
      </c>
      <c r="C4" s="341" t="s">
        <v>1382</v>
      </c>
      <c r="D4" s="341" t="s">
        <v>1383</v>
      </c>
      <c r="E4" s="342" t="s">
        <v>1384</v>
      </c>
      <c r="F4" s="343"/>
      <c r="G4" s="1829"/>
      <c r="H4" s="340" t="s">
        <v>1380</v>
      </c>
      <c r="I4" s="341" t="s">
        <v>1381</v>
      </c>
      <c r="J4" s="341" t="s">
        <v>1382</v>
      </c>
      <c r="K4" s="341" t="s">
        <v>1383</v>
      </c>
      <c r="L4" s="342" t="s">
        <v>1384</v>
      </c>
      <c r="M4" s="343"/>
    </row>
    <row r="5" spans="1:37" ht="18" customHeight="1">
      <c r="A5" s="344">
        <v>1</v>
      </c>
      <c r="B5" s="345" t="s">
        <v>1385</v>
      </c>
      <c r="C5" s="1273">
        <f ca="1">C6+C10+C12</f>
        <v>7426</v>
      </c>
      <c r="D5" s="1800" t="s">
        <v>1386</v>
      </c>
      <c r="E5" s="1274"/>
      <c r="F5" s="1275"/>
      <c r="G5" s="1829"/>
      <c r="H5" s="344">
        <v>1</v>
      </c>
      <c r="I5" s="345" t="s">
        <v>1385</v>
      </c>
      <c r="J5" s="1273">
        <f ca="1">J6+J10+J12</f>
        <v>0</v>
      </c>
      <c r="K5" s="1800" t="s">
        <v>1386</v>
      </c>
      <c r="L5" s="1274"/>
      <c r="M5" s="1275"/>
    </row>
    <row r="6" spans="1:37" ht="18" customHeight="1">
      <c r="A6" s="1272" t="s">
        <v>1032</v>
      </c>
      <c r="B6" s="3693" t="s">
        <v>1387</v>
      </c>
      <c r="C6" s="1277">
        <f ca="1">ROUND(F6*F8*F7*(1-F9)/10000,0)</f>
        <v>7426</v>
      </c>
      <c r="D6" s="164" t="s">
        <v>2999</v>
      </c>
      <c r="E6" s="347" t="s">
        <v>1389</v>
      </c>
      <c r="F6" s="348">
        <f ca="1">INDIRECT("'数据-取费表'!u"&amp;$G$1)</f>
        <v>7426</v>
      </c>
      <c r="G6" s="1829"/>
      <c r="H6" s="1272" t="s">
        <v>1032</v>
      </c>
      <c r="I6" s="3693" t="s">
        <v>1387</v>
      </c>
      <c r="J6" s="346">
        <f ca="1">ROUND(M6*M8*M7*(1-M9)/10000,0)</f>
        <v>0</v>
      </c>
      <c r="K6" s="164" t="s">
        <v>2998</v>
      </c>
      <c r="L6" s="347" t="s">
        <v>1389</v>
      </c>
      <c r="M6" s="348">
        <f ca="1">INDIRECT("'数据-取费表'!z"&amp;$G$1)</f>
        <v>0</v>
      </c>
    </row>
    <row r="7" spans="1:37" ht="18" customHeight="1">
      <c r="A7" s="1276"/>
      <c r="B7" s="3694"/>
      <c r="C7" s="1278"/>
      <c r="D7" s="352"/>
      <c r="E7" s="2939" t="s">
        <v>1390</v>
      </c>
      <c r="F7" s="348">
        <f ca="1">IF(INDIRECT("'数据-取费表'!ah"&amp;$G$1)="",INDIRECT("'数据-取费表'!k"&amp;$G$1),INDIRECT("'数据-取费表'!ah"&amp;$G$1))</f>
        <v>10000</v>
      </c>
      <c r="G7" s="1829"/>
      <c r="H7" s="349"/>
      <c r="I7" s="3694"/>
      <c r="J7" s="351"/>
      <c r="K7" s="352"/>
      <c r="L7" s="347" t="s">
        <v>1390</v>
      </c>
      <c r="M7" s="348">
        <f ca="1">F7</f>
        <v>10000</v>
      </c>
    </row>
    <row r="8" spans="1:37" ht="18" customHeight="1">
      <c r="A8" s="349"/>
      <c r="B8" s="3694"/>
      <c r="C8" s="351"/>
      <c r="D8" s="352"/>
      <c r="E8" s="347" t="s">
        <v>1391</v>
      </c>
      <c r="F8" s="348">
        <f ca="1">INDIRECT("'数据-取费表'!ai"&amp;$G$1)</f>
        <v>1</v>
      </c>
      <c r="G8" s="1829"/>
      <c r="H8" s="349"/>
      <c r="I8" s="3694"/>
      <c r="J8" s="351"/>
      <c r="K8" s="352"/>
      <c r="L8" s="347" t="s">
        <v>1391</v>
      </c>
      <c r="M8" s="348">
        <f ca="1">INDIRECT("'数据-取费表'!ai"&amp;$G$1)</f>
        <v>1</v>
      </c>
    </row>
    <row r="9" spans="1:37" ht="18" customHeight="1">
      <c r="A9" s="349"/>
      <c r="B9" s="3695"/>
      <c r="C9" s="351"/>
      <c r="D9" s="352"/>
      <c r="E9" s="347" t="s">
        <v>1392</v>
      </c>
      <c r="F9" s="357">
        <f ca="1">INDIRECT("'数据-取费表'!w"&amp;$G$1)</f>
        <v>0</v>
      </c>
      <c r="G9" s="1829"/>
      <c r="H9" s="349"/>
      <c r="I9" s="3695"/>
      <c r="J9" s="351"/>
      <c r="K9" s="352"/>
      <c r="L9" s="358" t="s">
        <v>1392</v>
      </c>
      <c r="M9" s="359">
        <f ca="1">INDIRECT("'数据-取费表'!ab"&amp;$G$1)</f>
        <v>0</v>
      </c>
    </row>
    <row r="10" spans="1:37" ht="18" customHeight="1">
      <c r="A10" s="1272" t="s">
        <v>1036</v>
      </c>
      <c r="B10" s="1801" t="s">
        <v>1393</v>
      </c>
      <c r="C10" s="361">
        <f ca="1">ROUND(IF(F10="押一",C6/12*F11,IF(F10="押二",C6/12*2*F11,IF(F10="押三",C6/12*3*F11,C11*F11))),0)</f>
        <v>0</v>
      </c>
      <c r="D10" s="1802" t="s">
        <v>3007</v>
      </c>
      <c r="E10" s="358" t="s">
        <v>1394</v>
      </c>
      <c r="F10" s="1347" t="s">
        <v>3376</v>
      </c>
      <c r="G10" s="1829"/>
      <c r="H10" s="1272" t="s">
        <v>1036</v>
      </c>
      <c r="I10" s="1801" t="s">
        <v>1393</v>
      </c>
      <c r="J10" s="346">
        <f ca="1">ROUND(IF(M10="押一",J6/12*M11,IF(M10="押二",J6/12*2*M11,IF(M10="押三",J6/12*3*M11,J11*M11))),0)</f>
        <v>0</v>
      </c>
      <c r="K10" s="1802" t="s">
        <v>3007</v>
      </c>
      <c r="L10" s="358" t="s">
        <v>1394</v>
      </c>
      <c r="M10" s="1347" t="s">
        <v>1395</v>
      </c>
    </row>
    <row r="11" spans="1:37" ht="18" customHeight="1">
      <c r="A11" s="353"/>
      <c r="B11" s="1803" t="s">
        <v>1372</v>
      </c>
      <c r="C11" s="1159"/>
      <c r="D11" s="1804"/>
      <c r="E11" s="358" t="s">
        <v>1396</v>
      </c>
      <c r="F11" s="359">
        <f ca="1">'数据-取费表'!B39</f>
        <v>1.4999999999999999E-2</v>
      </c>
      <c r="G11" s="1829"/>
      <c r="H11" s="1280"/>
      <c r="I11" s="1803" t="s">
        <v>1372</v>
      </c>
      <c r="J11" s="1159"/>
      <c r="K11" s="744"/>
      <c r="L11" s="358" t="s">
        <v>1396</v>
      </c>
      <c r="M11" s="1045">
        <f ca="1">'数据-取费表'!B39</f>
        <v>1.4999999999999999E-2</v>
      </c>
    </row>
    <row r="12" spans="1:37" ht="18" customHeight="1" thickBot="1">
      <c r="A12" s="1314" t="s">
        <v>1072</v>
      </c>
      <c r="B12" s="1805" t="s">
        <v>1397</v>
      </c>
      <c r="C12" s="1315"/>
      <c r="D12" s="1316"/>
      <c r="E12" s="1321"/>
      <c r="F12" s="1317"/>
      <c r="G12" s="1829"/>
      <c r="H12" s="1314" t="s">
        <v>1072</v>
      </c>
      <c r="I12" s="1805" t="s">
        <v>1397</v>
      </c>
      <c r="J12" s="1315"/>
      <c r="K12" s="1329"/>
      <c r="L12" s="1321"/>
      <c r="M12" s="1330"/>
    </row>
    <row r="13" spans="1:37" ht="18" customHeight="1" thickTop="1">
      <c r="A13" s="1310">
        <v>2</v>
      </c>
      <c r="B13" s="1311" t="s">
        <v>1398</v>
      </c>
      <c r="C13" s="355">
        <f ca="1">ROUND(C29*F13,0)</f>
        <v>0</v>
      </c>
      <c r="D13" s="1312" t="s">
        <v>1399</v>
      </c>
      <c r="E13" s="1312" t="s">
        <v>1400</v>
      </c>
      <c r="F13" s="1313">
        <f ca="1">INDIRECT("'数据-取费表'!y"&amp;$G$1)</f>
        <v>0</v>
      </c>
      <c r="G13" s="1829"/>
      <c r="H13" s="1310">
        <v>2</v>
      </c>
      <c r="I13" s="1311" t="s">
        <v>1398</v>
      </c>
      <c r="J13" s="1271">
        <f ca="1">ROUND(J14*J15,0)</f>
        <v>0</v>
      </c>
      <c r="K13" s="1318" t="s">
        <v>1399</v>
      </c>
      <c r="L13" s="1830"/>
      <c r="M13" s="1831"/>
    </row>
    <row r="14" spans="1:37" ht="18" customHeight="1">
      <c r="A14" s="1182" t="s">
        <v>1031</v>
      </c>
      <c r="B14" s="347" t="s">
        <v>1401</v>
      </c>
      <c r="C14" s="363">
        <f ca="1">INDIRECT("'数据-取费表'!m"&amp;$G$1)+INDIRECT("'数据-取费表'!t"&amp;$G$1)</f>
        <v>35639</v>
      </c>
      <c r="D14" s="2927" t="s">
        <v>1402</v>
      </c>
      <c r="E14" s="2922"/>
      <c r="F14" s="364"/>
      <c r="G14" s="1829"/>
      <c r="H14" s="1182" t="s">
        <v>1032</v>
      </c>
      <c r="I14" s="347" t="s">
        <v>1403</v>
      </c>
      <c r="J14" s="24">
        <f ca="1">C29</f>
        <v>52371</v>
      </c>
      <c r="K14" s="2938"/>
      <c r="L14" s="968"/>
      <c r="M14" s="969"/>
    </row>
    <row r="15" spans="1:37" s="1836" customFormat="1" ht="18" customHeight="1" thickBot="1">
      <c r="A15" s="1182" t="s">
        <v>1033</v>
      </c>
      <c r="B15" s="347" t="s">
        <v>1404</v>
      </c>
      <c r="C15" s="24">
        <f ca="1">ROUND(C14*F15,0)</f>
        <v>1782</v>
      </c>
      <c r="D15" s="365" t="s">
        <v>1405</v>
      </c>
      <c r="E15" s="365" t="s">
        <v>1406</v>
      </c>
      <c r="F15" s="366">
        <f>'数据-取费表'!B33</f>
        <v>0.05</v>
      </c>
      <c r="G15" s="1832"/>
      <c r="H15" s="1320" t="s">
        <v>1036</v>
      </c>
      <c r="I15" s="1321" t="s">
        <v>1400</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1373</v>
      </c>
      <c r="B16" s="347" t="s">
        <v>1407</v>
      </c>
      <c r="C16" s="24">
        <f ca="1">ROUND(INDIRECT("'数据-取费表'!m"&amp;$G$1)*F16,0)</f>
        <v>0</v>
      </c>
      <c r="D16" s="347" t="s">
        <v>1405</v>
      </c>
      <c r="E16" s="347" t="s">
        <v>1406</v>
      </c>
      <c r="F16" s="367">
        <f ca="1">IF(INDIRECT("'数据-取费表'!c"&amp;$G$1)="住宅",'数据-取费表'!B34,0)</f>
        <v>0</v>
      </c>
      <c r="G16" s="1829"/>
      <c r="H16" s="1310" t="s">
        <v>1027</v>
      </c>
      <c r="I16" s="1311" t="s">
        <v>1408</v>
      </c>
      <c r="J16" s="355">
        <f ca="1">ROUND(J17+J22+J23+J24,0)</f>
        <v>1240</v>
      </c>
      <c r="K16" s="1318" t="s">
        <v>1409</v>
      </c>
      <c r="L16" s="2929"/>
      <c r="M16" s="1275"/>
    </row>
    <row r="17" spans="1:37" s="1836" customFormat="1" ht="18" customHeight="1">
      <c r="A17" s="1182" t="s">
        <v>1374</v>
      </c>
      <c r="B17" s="347" t="s">
        <v>1410</v>
      </c>
      <c r="C17" s="24">
        <f ca="1">ROUND(F17*(F43+INDIRECT("'数据-取费表'!S"&amp;$G$1))/10000,0)</f>
        <v>793</v>
      </c>
      <c r="D17" s="347" t="s">
        <v>1411</v>
      </c>
      <c r="E17" s="347" t="s">
        <v>1412</v>
      </c>
      <c r="F17" s="26">
        <f>'数据-取费表'!B35</f>
        <v>200</v>
      </c>
      <c r="G17" s="1832"/>
      <c r="H17" s="1182" t="s">
        <v>1032</v>
      </c>
      <c r="I17" s="347" t="s">
        <v>1413</v>
      </c>
      <c r="J17" s="24">
        <f ca="1">ROUND(IF(项目基本情况!B11="自然人",J6*M17/(1+'数据-取费表'!C42),J18+J19+J20),1)</f>
        <v>454.1</v>
      </c>
      <c r="K17" s="2927" t="s">
        <v>1414</v>
      </c>
      <c r="L17" s="2925" t="s">
        <v>1415</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1375</v>
      </c>
      <c r="B18" s="347" t="s">
        <v>1416</v>
      </c>
      <c r="C18" s="24">
        <f ca="1">ROUND(C14*F18,0)</f>
        <v>535</v>
      </c>
      <c r="D18" s="347" t="s">
        <v>1405</v>
      </c>
      <c r="E18" s="347" t="s">
        <v>1406</v>
      </c>
      <c r="F18" s="367">
        <f>'数据-取费表'!B36</f>
        <v>1.4999999999999999E-2</v>
      </c>
      <c r="G18" s="1832"/>
      <c r="H18" s="1182" t="s">
        <v>1031</v>
      </c>
      <c r="I18" s="347" t="s">
        <v>1417</v>
      </c>
      <c r="J18" s="24">
        <f ca="1">ROUND(J6*M18/(1+'数据-取费表'!C42),2)</f>
        <v>0</v>
      </c>
      <c r="K18" s="2925" t="s">
        <v>1418</v>
      </c>
      <c r="L18" s="347" t="s">
        <v>1406</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1419</v>
      </c>
      <c r="C19" s="24">
        <f ca="1">SUM(C14:C18)</f>
        <v>38749</v>
      </c>
      <c r="D19" s="140" t="s">
        <v>1420</v>
      </c>
      <c r="E19" s="2936"/>
      <c r="F19" s="26"/>
      <c r="G19" s="1829"/>
      <c r="H19" s="1182" t="s">
        <v>1033</v>
      </c>
      <c r="I19" s="347" t="s">
        <v>1421</v>
      </c>
      <c r="J19" s="24">
        <f ca="1">IF(K19="按租金收入计税",ROUND(J6*M19/(1+'数据-取费表'!C42),2),ROUND(C29*M19*0.7,2))</f>
        <v>439.92</v>
      </c>
      <c r="K19" s="1806" t="s">
        <v>1422</v>
      </c>
      <c r="L19" s="347" t="s">
        <v>1406</v>
      </c>
      <c r="M19" s="367">
        <f>IF(K19="按租金收入计税",'数据-取费表'!B51,'数据-取费表'!B50)</f>
        <v>1.2E-2</v>
      </c>
    </row>
    <row r="20" spans="1:37" s="1836" customFormat="1" ht="18" customHeight="1">
      <c r="A20" s="1182" t="s">
        <v>1036</v>
      </c>
      <c r="B20" s="347" t="s">
        <v>1423</v>
      </c>
      <c r="C20" s="24">
        <f ca="1">ROUND(C19*F20,0)</f>
        <v>775</v>
      </c>
      <c r="D20" s="369" t="s">
        <v>1424</v>
      </c>
      <c r="E20" s="347" t="s">
        <v>1406</v>
      </c>
      <c r="F20" s="367">
        <f>'数据-取费表'!B37</f>
        <v>0.02</v>
      </c>
      <c r="G20" s="1832"/>
      <c r="H20" s="1182" t="s">
        <v>1373</v>
      </c>
      <c r="I20" s="164" t="s">
        <v>1425</v>
      </c>
      <c r="J20" s="25">
        <f ca="1">ROUND(M20*M21/10000,2)</f>
        <v>14.21</v>
      </c>
      <c r="K20" s="370" t="s">
        <v>1426</v>
      </c>
      <c r="L20" s="347" t="s">
        <v>1427</v>
      </c>
      <c r="M20" s="371">
        <f>'数据-取费表'!B52</f>
        <v>30</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1428</v>
      </c>
      <c r="C21" s="24" t="s">
        <v>18</v>
      </c>
      <c r="D21" s="369" t="s">
        <v>1429</v>
      </c>
      <c r="E21" s="347" t="s">
        <v>1430</v>
      </c>
      <c r="F21" s="367">
        <f>'数据-取费表'!B38</f>
        <v>0.02</v>
      </c>
      <c r="G21" s="1832"/>
      <c r="H21" s="372"/>
      <c r="I21" s="356"/>
      <c r="J21" s="29"/>
      <c r="K21" s="373"/>
      <c r="L21" s="347" t="s">
        <v>1431</v>
      </c>
      <c r="M21" s="348">
        <f ca="1">INDIRECT("'数据-取费表'!r"&amp;$G$1)</f>
        <v>4736.16</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1376</v>
      </c>
      <c r="B22" s="347" t="s">
        <v>1432</v>
      </c>
      <c r="C22" s="24"/>
      <c r="D22" s="140" t="str">
        <f>IF(F23&lt;=1,"单利计息。","复利计息。")&amp;"建造成本、管理费用、销售费用产生的利息。"</f>
        <v>复利计息。建造成本、管理费用、销售费用产生的利息。</v>
      </c>
      <c r="E22" s="2936"/>
      <c r="F22" s="26"/>
      <c r="G22" s="1829"/>
      <c r="H22" s="1182" t="s">
        <v>1036</v>
      </c>
      <c r="I22" s="347" t="s">
        <v>1433</v>
      </c>
      <c r="J22" s="24">
        <f ca="1">ROUND(J14*M22,1)</f>
        <v>785.6</v>
      </c>
      <c r="K22" s="2925" t="s">
        <v>1434</v>
      </c>
      <c r="L22" s="347" t="s">
        <v>1406</v>
      </c>
      <c r="M22" s="374">
        <f ca="1">INDIRECT("'数据-取费表'!Ak"&amp;$G$1)</f>
        <v>1.4999999999999999E-2</v>
      </c>
    </row>
    <row r="23" spans="1:37" s="1836" customFormat="1" ht="18" customHeight="1">
      <c r="A23" s="1182" t="s">
        <v>1031</v>
      </c>
      <c r="B23" s="347" t="s">
        <v>1435</v>
      </c>
      <c r="C23" s="24">
        <f ca="1">IF('数据-取费表'!B22&lt;=1,ROUND(C19*F24*F23/2,0)+ROUND(C20*F24*F23/2,0),ROUND(C19*(POWER((1+F24),F23/2)-1),0)+ROUND(C20*(POWER((1+F24),F23/2)-1),0))</f>
        <v>2849</v>
      </c>
      <c r="D23" s="375" t="str">
        <f>IF(F23&lt;=1,"(建造成本+管理费用)×利率×(建设周期÷2)","(建造成本+管理费用)×((1+利率)^(建设周期÷2)-1)")</f>
        <v>(建造成本+管理费用)×((1+利率)^(建设周期÷2)-1)</v>
      </c>
      <c r="E23" s="347" t="s">
        <v>1436</v>
      </c>
      <c r="F23" s="371">
        <f>'数据-取费表'!B20</f>
        <v>3</v>
      </c>
      <c r="G23" s="1832"/>
      <c r="H23" s="1182" t="s">
        <v>1072</v>
      </c>
      <c r="I23" s="347" t="s">
        <v>1437</v>
      </c>
      <c r="J23" s="24">
        <f ca="1">ROUND(J13*M23,1)</f>
        <v>0</v>
      </c>
      <c r="K23" s="2925" t="s">
        <v>1438</v>
      </c>
      <c r="L23" s="347" t="s">
        <v>1406</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1033</v>
      </c>
      <c r="B24" s="347" t="s">
        <v>1441</v>
      </c>
      <c r="C24" s="24">
        <f ca="1">ROUND(IF('数据-取费表'!B22&lt;=1,F21*F24*F23/2,F21*(POWER((1+F24),F23/2)-1)),4)</f>
        <v>1.4E-3</v>
      </c>
      <c r="D24" s="375" t="str">
        <f>IF(F23&lt;=1,"销售费用×利率×(建设周期÷2)","销售费用×((1+利率)^(建设周期÷2)-1)")</f>
        <v>销售费用×((1+利率)^(建设周期÷2)-1)</v>
      </c>
      <c r="E24" s="347" t="s">
        <v>1442</v>
      </c>
      <c r="F24" s="377">
        <f ca="1">'数据-取费表'!B40</f>
        <v>4.7500000000000001E-2</v>
      </c>
      <c r="G24" s="1832"/>
      <c r="H24" s="1320" t="s">
        <v>1377</v>
      </c>
      <c r="I24" s="1321" t="s">
        <v>1423</v>
      </c>
      <c r="J24" s="1322">
        <f ca="1">ROUND(J5*M24,1)</f>
        <v>0</v>
      </c>
      <c r="K24" s="1323" t="s">
        <v>1443</v>
      </c>
      <c r="L24" s="1321" t="s">
        <v>1406</v>
      </c>
      <c r="M24" s="1317">
        <f ca="1">INDIRECT("'数据-取费表'!Am"&amp;$G$1)</f>
        <v>0.02</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1444</v>
      </c>
      <c r="B25" s="347" t="s">
        <v>1445</v>
      </c>
      <c r="C25" s="24"/>
      <c r="D25" s="140" t="s">
        <v>1446</v>
      </c>
      <c r="E25" s="2936"/>
      <c r="F25" s="26"/>
      <c r="G25" s="1829"/>
      <c r="H25" s="1310" t="s">
        <v>1028</v>
      </c>
      <c r="I25" s="1325" t="s">
        <v>1447</v>
      </c>
      <c r="J25" s="355">
        <f ca="1">J5-J16</f>
        <v>-1240</v>
      </c>
      <c r="K25" s="1326" t="s">
        <v>1448</v>
      </c>
      <c r="L25" s="1327"/>
      <c r="M25" s="1328"/>
    </row>
    <row r="26" spans="1:37">
      <c r="A26" s="1182" t="s">
        <v>1031</v>
      </c>
      <c r="B26" s="347" t="s">
        <v>1449</v>
      </c>
      <c r="C26" s="24">
        <f ca="1">ROUND((C19+C20)*F26,0)</f>
        <v>5929</v>
      </c>
      <c r="D26" s="369" t="s">
        <v>1450</v>
      </c>
      <c r="E26" s="358" t="s">
        <v>1451</v>
      </c>
      <c r="F26" s="357">
        <f ca="1">INDIRECT("'数据-取费表'!q"&amp;$G$1)</f>
        <v>0.15</v>
      </c>
      <c r="G26" s="1829"/>
      <c r="H26" s="344" t="s">
        <v>1029</v>
      </c>
      <c r="I26" s="345" t="s">
        <v>1452</v>
      </c>
      <c r="J26" s="346">
        <f ca="1">IF(J5&lt;&gt;0,ROUND(J25*(1-((1+M28)/(1+M26))^M27)/(M26-M28),0),0)</f>
        <v>0</v>
      </c>
      <c r="K26" s="370" t="s">
        <v>1453</v>
      </c>
      <c r="L26" s="347" t="s">
        <v>1454</v>
      </c>
      <c r="M26" s="357">
        <f ca="1">INDIRECT("'数据-取费表'!I"&amp;$G$1)</f>
        <v>5.5E-2</v>
      </c>
    </row>
    <row r="27" spans="1:37" ht="18" customHeight="1">
      <c r="A27" s="1182" t="s">
        <v>1033</v>
      </c>
      <c r="B27" s="347" t="s">
        <v>1455</v>
      </c>
      <c r="C27" s="24">
        <f ca="1">ROUND(F21*F26,4)</f>
        <v>3.0000000000000001E-3</v>
      </c>
      <c r="D27" s="369" t="s">
        <v>1456</v>
      </c>
      <c r="E27" s="365"/>
      <c r="F27" s="366"/>
      <c r="G27" s="1829"/>
      <c r="H27" s="349"/>
      <c r="I27" s="350"/>
      <c r="J27" s="351"/>
      <c r="K27" s="378" t="s">
        <v>1457</v>
      </c>
      <c r="L27" s="347" t="s">
        <v>1458</v>
      </c>
      <c r="M27" s="379">
        <f ca="1">INDIRECT("'数据-取费表'!ag"&amp;$G$1)</f>
        <v>0</v>
      </c>
    </row>
    <row r="28" spans="1:37" s="1836" customFormat="1" ht="18" customHeight="1">
      <c r="A28" s="1182" t="s">
        <v>1034</v>
      </c>
      <c r="B28" s="347" t="s">
        <v>1459</v>
      </c>
      <c r="C28" s="24">
        <f>ROUND(F28/(1+'数据-取费表'!C42),4)</f>
        <v>5.33E-2</v>
      </c>
      <c r="D28" s="369" t="s">
        <v>1460</v>
      </c>
      <c r="E28" s="347" t="s">
        <v>1406</v>
      </c>
      <c r="F28" s="367">
        <f>'数据-取费表'!B41</f>
        <v>5.6000000000000001E-2</v>
      </c>
      <c r="G28" s="1832"/>
      <c r="H28" s="353"/>
      <c r="I28" s="354"/>
      <c r="J28" s="355"/>
      <c r="K28" s="373"/>
      <c r="L28" s="347" t="s">
        <v>1461</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1462</v>
      </c>
      <c r="C29" s="1322">
        <f ca="1">ROUND((C19+C20+C23+C26)/(1-F21-C24-C27-C28),0)</f>
        <v>52371</v>
      </c>
      <c r="D29" s="1323"/>
      <c r="E29" s="1321"/>
      <c r="F29" s="1324"/>
      <c r="G29" s="1832"/>
      <c r="H29" s="380" t="s">
        <v>1030</v>
      </c>
      <c r="I29" s="381" t="s">
        <v>1463</v>
      </c>
      <c r="J29" s="382">
        <f ca="1">ROUND(J26/(1+F40)^F41,0)</f>
        <v>0</v>
      </c>
      <c r="K29" s="383" t="s">
        <v>1464</v>
      </c>
      <c r="L29" s="384"/>
      <c r="M29" s="385">
        <f ca="1">INDIRECT("'数据-取费表'!k"&amp;$G$1)</f>
        <v>39599.300000000003</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1408</v>
      </c>
      <c r="C30" s="355">
        <f ca="1">ROUND(C31+C36+C37+C38,0)</f>
        <v>1784</v>
      </c>
      <c r="D30" s="1318" t="s">
        <v>1409</v>
      </c>
      <c r="E30" s="2929"/>
      <c r="F30" s="1275"/>
      <c r="G30" s="1829"/>
      <c r="H30" s="741"/>
      <c r="I30" s="742"/>
      <c r="J30" s="743"/>
      <c r="K30" s="744"/>
      <c r="L30" s="745"/>
      <c r="M30" s="746"/>
    </row>
    <row r="31" spans="1:37" ht="18" customHeight="1">
      <c r="A31" s="1182" t="s">
        <v>1032</v>
      </c>
      <c r="B31" s="347" t="s">
        <v>1413</v>
      </c>
      <c r="C31" s="24">
        <f ca="1">ROUND(IF(项目基本情况!B11="自然人",C6*F31/(1+'数据-取费表'!C42),C32+C33+C34),1)</f>
        <v>850.2</v>
      </c>
      <c r="D31" s="2927" t="s">
        <v>1414</v>
      </c>
      <c r="E31" s="2925" t="s">
        <v>1465</v>
      </c>
      <c r="F31" s="368" t="str">
        <f ca="1">IF(项目基本情况!B11="企业","",IF(INDIRECT("'数据-取费表'!c"&amp;$G$1)="住宅",5%,IF(F6*F7*F8/12/(1+'数据-取费表'!C42)&gt;20000,12%,7%)))</f>
        <v/>
      </c>
      <c r="G31" s="1829"/>
      <c r="H31" s="741"/>
      <c r="I31" s="742"/>
      <c r="J31" s="743"/>
      <c r="K31" s="744"/>
      <c r="L31" s="745"/>
      <c r="M31" s="746"/>
    </row>
    <row r="32" spans="1:37" ht="18" customHeight="1">
      <c r="A32" s="1182" t="s">
        <v>1031</v>
      </c>
      <c r="B32" s="347" t="s">
        <v>1417</v>
      </c>
      <c r="C32" s="24">
        <f ca="1">IF(项目基本情况!B11="自然人","——",ROUND(C6*F32/(1+'数据-取费表'!C42),2))</f>
        <v>396.05</v>
      </c>
      <c r="D32" s="2925" t="s">
        <v>1418</v>
      </c>
      <c r="E32" s="347" t="s">
        <v>1406</v>
      </c>
      <c r="F32" s="377">
        <f>'数据-取费表'!B41</f>
        <v>5.6000000000000001E-2</v>
      </c>
      <c r="G32" s="1829"/>
      <c r="H32" s="741"/>
      <c r="I32" s="742"/>
      <c r="J32" s="743"/>
      <c r="K32" s="744"/>
      <c r="L32" s="745"/>
      <c r="M32" s="746"/>
    </row>
    <row r="33" spans="1:18" ht="18" customHeight="1">
      <c r="A33" s="1182" t="s">
        <v>1033</v>
      </c>
      <c r="B33" s="347" t="s">
        <v>1421</v>
      </c>
      <c r="C33" s="24">
        <f ca="1">IF(项目基本情况!B11="自然人","——",IF(D33="按租金收入计税",ROUND(C6*F33/(1+'数据-取费表'!C42),2),IF(D33="按房产原值计税",ROUND(C29*F33*0.7,2),INDIRECT("'数据-取费表'!Aj"&amp;$G$1))))</f>
        <v>439.92</v>
      </c>
      <c r="D33" s="1806" t="s">
        <v>3382</v>
      </c>
      <c r="E33" s="347" t="s">
        <v>1406</v>
      </c>
      <c r="F33" s="367">
        <f>IF(D33="按票据","——",IF(D33="按租金收入计税",'数据-取费表'!B51,'数据-取费表'!B50))</f>
        <v>1.2E-2</v>
      </c>
      <c r="G33" s="1829"/>
      <c r="H33" s="1837"/>
      <c r="I33" s="1838"/>
      <c r="J33" s="1839"/>
      <c r="K33" s="1840"/>
      <c r="L33" s="1837"/>
      <c r="M33" s="1837"/>
    </row>
    <row r="34" spans="1:18" ht="18" customHeight="1">
      <c r="A34" s="1272" t="s">
        <v>1373</v>
      </c>
      <c r="B34" s="164" t="s">
        <v>1425</v>
      </c>
      <c r="C34" s="25">
        <f ca="1">IF(项目基本情况!B11="自然人","——",ROUND(F34*F35/10000,2))</f>
        <v>14.21</v>
      </c>
      <c r="D34" s="370" t="s">
        <v>1426</v>
      </c>
      <c r="E34" s="347" t="s">
        <v>1427</v>
      </c>
      <c r="F34" s="371">
        <f>'数据-取费表'!B52</f>
        <v>30</v>
      </c>
      <c r="G34" s="1829"/>
      <c r="H34" s="741"/>
      <c r="I34" s="1838"/>
      <c r="J34" s="1839"/>
      <c r="K34" s="1841"/>
      <c r="L34" s="1842"/>
      <c r="M34" s="1842"/>
    </row>
    <row r="35" spans="1:18" ht="18" customHeight="1">
      <c r="A35" s="1334"/>
      <c r="B35" s="1332"/>
      <c r="C35" s="29"/>
      <c r="D35" s="373"/>
      <c r="E35" s="347" t="s">
        <v>1431</v>
      </c>
      <c r="F35" s="348">
        <f ca="1">INDIRECT("'数据-取费表'!r"&amp;$G$1)</f>
        <v>4736.16</v>
      </c>
      <c r="G35" s="1829"/>
      <c r="H35" s="741"/>
      <c r="I35" s="1838"/>
      <c r="J35" s="1839"/>
      <c r="K35" s="1840"/>
      <c r="L35" s="1837"/>
      <c r="M35" s="1837"/>
    </row>
    <row r="36" spans="1:18" ht="18" customHeight="1">
      <c r="A36" s="1333" t="s">
        <v>1036</v>
      </c>
      <c r="B36" s="347" t="s">
        <v>1433</v>
      </c>
      <c r="C36" s="24">
        <f ca="1">ROUND(C29*F36,1)</f>
        <v>785.6</v>
      </c>
      <c r="D36" s="2925" t="s">
        <v>1466</v>
      </c>
      <c r="E36" s="347" t="s">
        <v>1406</v>
      </c>
      <c r="F36" s="374">
        <f ca="1">INDIRECT("'数据-取费表'!Ak"&amp;$G$1)</f>
        <v>1.4999999999999999E-2</v>
      </c>
      <c r="G36" s="1829"/>
      <c r="H36" s="1837"/>
      <c r="I36" s="1838"/>
      <c r="J36" s="1839"/>
      <c r="K36" s="747"/>
      <c r="L36" s="1837"/>
      <c r="M36" s="1837"/>
    </row>
    <row r="37" spans="1:18" ht="18" customHeight="1">
      <c r="A37" s="1182" t="s">
        <v>1072</v>
      </c>
      <c r="B37" s="347" t="s">
        <v>1437</v>
      </c>
      <c r="C37" s="24">
        <f ca="1">ROUND(C13*F37,1)</f>
        <v>0</v>
      </c>
      <c r="D37" s="2925" t="s">
        <v>1438</v>
      </c>
      <c r="E37" s="347" t="s">
        <v>1406</v>
      </c>
      <c r="F37" s="376">
        <f ca="1">INDIRECT("'数据-取费表'!Al"&amp;$G$1)</f>
        <v>0</v>
      </c>
      <c r="G37" s="1829"/>
      <c r="H37" s="1837"/>
      <c r="I37" s="1838"/>
      <c r="J37" s="1839"/>
      <c r="K37" s="747"/>
      <c r="L37" s="1837"/>
      <c r="M37" s="1837"/>
    </row>
    <row r="38" spans="1:18" ht="18" customHeight="1" thickBot="1">
      <c r="A38" s="1320" t="s">
        <v>1377</v>
      </c>
      <c r="B38" s="1321" t="s">
        <v>1423</v>
      </c>
      <c r="C38" s="1322">
        <f ca="1">ROUND(C5*F38,1)</f>
        <v>148.5</v>
      </c>
      <c r="D38" s="1323" t="s">
        <v>1443</v>
      </c>
      <c r="E38" s="1321" t="s">
        <v>1406</v>
      </c>
      <c r="F38" s="1317">
        <f ca="1">INDIRECT("'数据-取费表'!Am"&amp;$G$1)</f>
        <v>0.02</v>
      </c>
      <c r="G38" s="1829"/>
      <c r="H38" s="1837"/>
      <c r="I38" s="1838"/>
      <c r="J38" s="1839"/>
      <c r="K38" s="1843"/>
      <c r="L38" s="1837"/>
      <c r="M38" s="1837"/>
    </row>
    <row r="39" spans="1:18" ht="24.6" customHeight="1" thickTop="1">
      <c r="A39" s="1310" t="s">
        <v>1028</v>
      </c>
      <c r="B39" s="1325" t="s">
        <v>1447</v>
      </c>
      <c r="C39" s="355">
        <f ca="1">C5-C30</f>
        <v>5642</v>
      </c>
      <c r="D39" s="1326" t="s">
        <v>1448</v>
      </c>
      <c r="E39" s="1327"/>
      <c r="F39" s="1328"/>
      <c r="G39" s="1829"/>
      <c r="H39" s="1837"/>
      <c r="I39" s="1838"/>
      <c r="J39" s="1839"/>
      <c r="K39" s="1843"/>
      <c r="L39" s="1837"/>
      <c r="M39" s="1837"/>
    </row>
    <row r="40" spans="1:18" ht="18" customHeight="1">
      <c r="A40" s="344" t="s">
        <v>1029</v>
      </c>
      <c r="B40" s="345" t="s">
        <v>1469</v>
      </c>
      <c r="C40" s="346">
        <f ca="1">ROUND(C39*(1-((1+F42)/(1+F40))^F41)/(F40-F42),0)</f>
        <v>117536</v>
      </c>
      <c r="D40" s="370" t="s">
        <v>1453</v>
      </c>
      <c r="E40" s="347" t="s">
        <v>1454</v>
      </c>
      <c r="F40" s="357">
        <f ca="1">INDIRECT("'数据-取费表'!I"&amp;$G$1)</f>
        <v>5.5E-2</v>
      </c>
      <c r="G40" s="1829"/>
      <c r="H40" s="1817"/>
      <c r="I40" s="1838"/>
      <c r="J40" s="1839"/>
      <c r="K40" s="1843"/>
      <c r="L40" s="1817"/>
      <c r="M40" s="1817"/>
    </row>
    <row r="41" spans="1:18" ht="18" customHeight="1">
      <c r="A41" s="349"/>
      <c r="B41" s="350"/>
      <c r="C41" s="351"/>
      <c r="D41" s="378" t="s">
        <v>1470</v>
      </c>
      <c r="E41" s="347" t="s">
        <v>1458</v>
      </c>
      <c r="F41" s="379">
        <f ca="1">IF(INDIRECT("'数据-取费表'!af"&amp;$G$1)=0,INDIRECT("'数据-取费表'!ae"&amp;$G$1),INDIRECT("'数据-取费表'!af"&amp;$G$1))</f>
        <v>28.16</v>
      </c>
      <c r="G41" s="1829"/>
      <c r="H41" s="728"/>
      <c r="I41" s="1838"/>
      <c r="J41" s="1839"/>
      <c r="K41" s="747"/>
      <c r="L41" s="728"/>
      <c r="M41" s="728"/>
    </row>
    <row r="42" spans="1:18" ht="18" customHeight="1">
      <c r="A42" s="353"/>
      <c r="B42" s="354"/>
      <c r="C42" s="355"/>
      <c r="D42" s="373"/>
      <c r="E42" s="347" t="s">
        <v>1461</v>
      </c>
      <c r="F42" s="357">
        <f ca="1">INDIRECT("'数据-取费表'!v"&amp;$G$1)</f>
        <v>3.5000000000000003E-2</v>
      </c>
      <c r="G42" s="1829"/>
      <c r="H42" s="728"/>
      <c r="I42" s="1838"/>
      <c r="J42" s="1839"/>
      <c r="K42" s="747"/>
      <c r="L42" s="728"/>
      <c r="M42" s="728"/>
    </row>
    <row r="43" spans="1:18" ht="18" customHeight="1" thickBot="1">
      <c r="A43" s="380" t="s">
        <v>1030</v>
      </c>
      <c r="B43" s="381" t="s">
        <v>1471</v>
      </c>
      <c r="C43" s="382">
        <f ca="1">ROUND(C40*10000/F43,0)</f>
        <v>29681</v>
      </c>
      <c r="D43" s="383" t="s">
        <v>1472</v>
      </c>
      <c r="E43" s="384" t="s">
        <v>1473</v>
      </c>
      <c r="F43" s="385">
        <f ca="1">INDIRECT("'数据-取费表'!k"&amp;$G$1)</f>
        <v>39599.300000000003</v>
      </c>
      <c r="G43" s="1829"/>
      <c r="H43" s="728"/>
      <c r="I43" s="728"/>
      <c r="J43" s="728"/>
      <c r="K43" s="747"/>
      <c r="L43" s="728"/>
      <c r="M43" s="728"/>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1503</v>
      </c>
      <c r="P45" s="1817"/>
      <c r="Q45" s="1817"/>
      <c r="R45" s="1817"/>
    </row>
    <row r="46" spans="1:18" s="1820" customFormat="1" ht="13.8" thickBot="1">
      <c r="A46" s="1848" t="s">
        <v>1504</v>
      </c>
      <c r="C46" s="1849">
        <f ca="1">C68-C40</f>
        <v>-135090</v>
      </c>
      <c r="D46" s="1850" t="str">
        <f>C2</f>
        <v>万元</v>
      </c>
      <c r="E46" s="1844"/>
      <c r="F46" s="1844"/>
      <c r="I46" s="1851" t="s">
        <v>1505</v>
      </c>
      <c r="J46" s="1852"/>
      <c r="K46" s="1853"/>
      <c r="L46" s="1854" t="str">
        <f ca="1">IF(M47="住宅",0,IF(L48&gt;J51,L60,J60))</f>
        <v>0</v>
      </c>
      <c r="O46" s="1855" t="s">
        <v>1506</v>
      </c>
      <c r="P46" s="1856" t="s">
        <v>1507</v>
      </c>
      <c r="Q46" s="1857" t="s">
        <v>1508</v>
      </c>
      <c r="R46" s="1857" t="s">
        <v>1509</v>
      </c>
    </row>
    <row r="47" spans="1:18" s="1820" customFormat="1" ht="13.8" thickBot="1">
      <c r="A47" s="1146" t="s">
        <v>1380</v>
      </c>
      <c r="B47" s="1178" t="s">
        <v>1381</v>
      </c>
      <c r="C47" s="1348" t="s">
        <v>1382</v>
      </c>
      <c r="D47" s="1178" t="s">
        <v>1383</v>
      </c>
      <c r="E47" s="1260" t="s">
        <v>1384</v>
      </c>
      <c r="F47" s="1261"/>
      <c r="G47" s="787"/>
      <c r="I47" s="1858" t="s">
        <v>1510</v>
      </c>
      <c r="J47" s="1859" t="s">
        <v>3034</v>
      </c>
      <c r="K47" s="1860" t="s">
        <v>1511</v>
      </c>
      <c r="L47" s="1861">
        <f ca="1">INDIRECT("'数据-取费表'!d"&amp;$G$1)</f>
        <v>40</v>
      </c>
      <c r="M47" s="1816" t="str">
        <f>IF(ISNUMBER(FIND("住宅",C1)),"住宅","非住宅")</f>
        <v>非住宅</v>
      </c>
      <c r="O47" s="1862" t="s">
        <v>1037</v>
      </c>
      <c r="P47" s="1863" t="s">
        <v>1512</v>
      </c>
      <c r="Q47" s="1864">
        <f ca="1">C40+J29</f>
        <v>117536</v>
      </c>
      <c r="R47" s="1864" t="s">
        <v>1513</v>
      </c>
    </row>
    <row r="48" spans="1:18" s="1820" customFormat="1" ht="40.200000000000003" thickBot="1">
      <c r="A48" s="1341" t="s">
        <v>1125</v>
      </c>
      <c r="B48" s="345" t="s">
        <v>1385</v>
      </c>
      <c r="C48" s="2935">
        <f ca="1">C49+C53+C55</f>
        <v>0</v>
      </c>
      <c r="D48" s="1343"/>
      <c r="E48" s="1344"/>
      <c r="F48" s="1162"/>
      <c r="G48" s="787"/>
      <c r="H48" s="788"/>
      <c r="I48" s="1865" t="s">
        <v>1514</v>
      </c>
      <c r="J48" s="1866" t="s">
        <v>3035</v>
      </c>
      <c r="K48" s="1867" t="s">
        <v>1515</v>
      </c>
      <c r="L48" s="1868">
        <f ca="1">INDIRECT("'数据-取费表'!f"&amp;$G$1)</f>
        <v>28.16</v>
      </c>
      <c r="O48" s="1862" t="s">
        <v>1038</v>
      </c>
      <c r="P48" s="1863" t="s">
        <v>1516</v>
      </c>
      <c r="Q48" s="1864" t="str">
        <f ca="1">J60</f>
        <v>0</v>
      </c>
      <c r="R48" s="1864" t="s">
        <v>1517</v>
      </c>
    </row>
    <row r="49" spans="1:18" s="1820" customFormat="1" ht="13.8" thickBot="1">
      <c r="A49" s="1175" t="s">
        <v>1126</v>
      </c>
      <c r="B49" s="1807" t="s">
        <v>1474</v>
      </c>
      <c r="C49" s="1345">
        <f ca="1">ROUND(F49*F51*F50*(1-F52)/10000,0)</f>
        <v>0</v>
      </c>
      <c r="D49" s="1257" t="s">
        <v>2998</v>
      </c>
      <c r="E49" s="1808" t="s">
        <v>1475</v>
      </c>
      <c r="F49" s="1262"/>
      <c r="G49" s="1869"/>
      <c r="H49" s="788"/>
      <c r="I49" s="1865" t="s">
        <v>1518</v>
      </c>
      <c r="J49" s="1870">
        <v>1997</v>
      </c>
      <c r="K49" s="1867" t="s">
        <v>1519</v>
      </c>
      <c r="L49" s="1871"/>
      <c r="O49" s="1872" t="s">
        <v>1039</v>
      </c>
      <c r="P49" s="1863" t="s">
        <v>1520</v>
      </c>
      <c r="Q49" s="1864">
        <f ca="1">C29</f>
        <v>52371</v>
      </c>
      <c r="R49" s="1864" t="s">
        <v>1513</v>
      </c>
    </row>
    <row r="50" spans="1:18" s="1820" customFormat="1" ht="13.8" thickBot="1">
      <c r="A50" s="1176"/>
      <c r="B50" s="1179"/>
      <c r="C50" s="1349"/>
      <c r="D50" s="1153"/>
      <c r="E50" s="1258" t="s">
        <v>1390</v>
      </c>
      <c r="F50" s="1259">
        <f ca="1">F7</f>
        <v>10000</v>
      </c>
      <c r="H50" s="788"/>
      <c r="I50" s="1865" t="s">
        <v>1521</v>
      </c>
      <c r="J50" s="1873">
        <f>SUMPRODUCT((I63:I65=J47)*(J62:L62=J48)*(J63:L65))</f>
        <v>60</v>
      </c>
      <c r="K50" s="1867" t="s">
        <v>1522</v>
      </c>
      <c r="L50" s="1871"/>
      <c r="M50" s="1874"/>
      <c r="O50" s="1872" t="s">
        <v>1040</v>
      </c>
      <c r="P50" s="1863" t="s">
        <v>1523</v>
      </c>
      <c r="Q50" s="1875" t="e">
        <f ca="1">J58</f>
        <v>#VALUE!</v>
      </c>
      <c r="R50" s="1864"/>
    </row>
    <row r="51" spans="1:18" s="1820" customFormat="1" ht="13.8" thickBot="1">
      <c r="A51" s="1177"/>
      <c r="B51" s="1179"/>
      <c r="C51" s="1180"/>
      <c r="D51" s="1153"/>
      <c r="E51" s="1181" t="s">
        <v>1391</v>
      </c>
      <c r="F51" s="348">
        <f ca="1">F8</f>
        <v>1</v>
      </c>
      <c r="I51" s="1876" t="s">
        <v>1524</v>
      </c>
      <c r="J51" s="1877">
        <f>IF(J49="",J50,J49+J50-YEAR('数据-取费表'!B2))</f>
        <v>37</v>
      </c>
      <c r="K51" s="1878" t="s">
        <v>1525</v>
      </c>
      <c r="L51" s="1879">
        <f ca="1">ROUND(-PV(INDIRECT("'数据-取费表'!h"&amp;$G$1),L48,(C39-C13*C76),0),0)</f>
        <v>84279</v>
      </c>
      <c r="M51" s="1880"/>
      <c r="O51" s="1872" t="s">
        <v>1041</v>
      </c>
      <c r="P51" s="1863" t="s">
        <v>1526</v>
      </c>
      <c r="Q51" s="1875">
        <f>J52</f>
        <v>0.08</v>
      </c>
      <c r="R51" s="1864"/>
    </row>
    <row r="52" spans="1:18" s="1820" customFormat="1" ht="13.8" thickBot="1">
      <c r="A52" s="1177"/>
      <c r="B52" s="1179"/>
      <c r="C52" s="1180"/>
      <c r="D52" s="1153"/>
      <c r="E52" s="1181" t="s">
        <v>1392</v>
      </c>
      <c r="F52" s="1256"/>
      <c r="I52" s="1881" t="s">
        <v>1527</v>
      </c>
      <c r="J52" s="1882">
        <v>0.08</v>
      </c>
      <c r="K52" s="1881" t="s">
        <v>1528</v>
      </c>
      <c r="L52" s="1882"/>
      <c r="O52" s="1872" t="s">
        <v>1042</v>
      </c>
      <c r="P52" s="1863" t="s">
        <v>1529</v>
      </c>
      <c r="Q52" s="1864">
        <f ca="1">J53</f>
        <v>28.16</v>
      </c>
      <c r="R52" s="1864" t="s">
        <v>1530</v>
      </c>
    </row>
    <row r="53" spans="1:18" s="1820" customFormat="1" ht="36.6" thickBot="1">
      <c r="A53" s="1385" t="s">
        <v>1127</v>
      </c>
      <c r="B53" s="1809" t="s">
        <v>1393</v>
      </c>
      <c r="C53" s="361">
        <f ca="1">ROUND(IF(F53="押一",C49/12*F11,IF(F53="押二",C49/12*2*F11,IF(F53="押三",C49/12*3*F11,C54*F11))),0)</f>
        <v>0</v>
      </c>
      <c r="D53" s="1802" t="s">
        <v>3007</v>
      </c>
      <c r="E53" s="358" t="s">
        <v>1394</v>
      </c>
      <c r="F53" s="1347"/>
      <c r="I53" s="1883" t="s">
        <v>1531</v>
      </c>
      <c r="J53" s="2918">
        <f ca="1">IF(M47="住宅",IF(D1="——",MAX(J51,L48),MAX(J51,L48-'数据-取费表'!B24)),IF(D1="——",MIN(J51,L48),MIN(J51,L48-'数据-取费表'!B24)))</f>
        <v>28.16</v>
      </c>
      <c r="K53" s="3696" t="s">
        <v>1532</v>
      </c>
      <c r="L53" s="3697"/>
      <c r="O53" s="1862" t="s">
        <v>1043</v>
      </c>
      <c r="P53" s="1863" t="s">
        <v>1533</v>
      </c>
      <c r="Q53" s="1864">
        <f ca="1">Q47+Q48</f>
        <v>117536</v>
      </c>
      <c r="R53" s="1864" t="s">
        <v>1044</v>
      </c>
    </row>
    <row r="54" spans="1:18" s="1820" customFormat="1" ht="24.6" thickBot="1">
      <c r="A54" s="1386"/>
      <c r="B54" s="1803" t="s">
        <v>1372</v>
      </c>
      <c r="C54" s="1159"/>
      <c r="D54" s="1802"/>
      <c r="E54" s="2931"/>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1534</v>
      </c>
      <c r="P54" s="1817"/>
      <c r="Q54" s="1817"/>
      <c r="R54" s="1817"/>
    </row>
    <row r="55" spans="1:18" s="1820" customFormat="1" ht="13.8" thickBot="1">
      <c r="A55" s="1314" t="s">
        <v>1072</v>
      </c>
      <c r="B55" s="1805" t="s">
        <v>1397</v>
      </c>
      <c r="C55" s="1315"/>
      <c r="D55" s="1802"/>
      <c r="E55" s="2931"/>
      <c r="F55" s="1884"/>
      <c r="I55" s="1887" t="s">
        <v>1535</v>
      </c>
      <c r="J55" s="1888" t="e">
        <f ca="1">ROUND(IF(J47="钢混",J57/J50,1-(1-2%)*(J50-J57)/J50),3)</f>
        <v>#VALUE!</v>
      </c>
      <c r="K55" s="1889" t="s">
        <v>1536</v>
      </c>
      <c r="L55" s="1890" t="s">
        <v>1537</v>
      </c>
      <c r="O55" s="1855" t="s">
        <v>1506</v>
      </c>
      <c r="P55" s="1856" t="s">
        <v>1507</v>
      </c>
      <c r="Q55" s="1857" t="s">
        <v>1508</v>
      </c>
      <c r="R55" s="1857" t="s">
        <v>1509</v>
      </c>
    </row>
    <row r="56" spans="1:18" s="1820" customFormat="1" ht="37.200000000000003" thickTop="1" thickBot="1">
      <c r="A56" s="1157">
        <v>2</v>
      </c>
      <c r="B56" s="1158" t="s">
        <v>1398</v>
      </c>
      <c r="C56" s="276">
        <f ca="1">C13</f>
        <v>0</v>
      </c>
      <c r="D56" s="1891"/>
      <c r="E56" s="1892"/>
      <c r="F56" s="1884"/>
      <c r="I56" s="1893" t="s">
        <v>1538</v>
      </c>
      <c r="J56" s="1894" t="s">
        <v>3033</v>
      </c>
      <c r="K56" s="1865" t="s">
        <v>1539</v>
      </c>
      <c r="L56" s="1868" t="str">
        <f ca="1">IF(L48&lt;J51,"——",L48-J53)</f>
        <v>——</v>
      </c>
      <c r="O56" s="1862" t="s">
        <v>1037</v>
      </c>
      <c r="P56" s="1863" t="s">
        <v>1512</v>
      </c>
      <c r="Q56" s="1864">
        <f ca="1">C40+J29</f>
        <v>117536</v>
      </c>
      <c r="R56" s="1864" t="s">
        <v>1513</v>
      </c>
    </row>
    <row r="57" spans="1:18" s="1820" customFormat="1" ht="24.6" thickBot="1">
      <c r="A57" s="1895"/>
      <c r="B57" s="1150" t="s">
        <v>1462</v>
      </c>
      <c r="C57" s="282">
        <f ca="1">C29</f>
        <v>52371</v>
      </c>
      <c r="D57" s="1896"/>
      <c r="E57" s="1897"/>
      <c r="F57" s="1898"/>
      <c r="I57" s="1899" t="s">
        <v>1540</v>
      </c>
      <c r="J57" s="1900" t="str">
        <f ca="1">IF(OR(M47="住宅",J51&lt;L48,J56="是"),"——",J51-L48)</f>
        <v>——</v>
      </c>
      <c r="K57" s="1865" t="s">
        <v>1541</v>
      </c>
      <c r="L57" s="1868" t="str">
        <f ca="1">IF(L48&lt;J51,"——",IF(L55="比较法",L49,IF(L55="基准地价",L50,L51)))</f>
        <v>——</v>
      </c>
      <c r="O57" s="1862" t="s">
        <v>1038</v>
      </c>
      <c r="P57" s="1863" t="s">
        <v>1542</v>
      </c>
      <c r="Q57" s="1864">
        <f ca="1">L60</f>
        <v>0</v>
      </c>
      <c r="R57" s="1864" t="s">
        <v>1543</v>
      </c>
    </row>
    <row r="58" spans="1:18" s="1820" customFormat="1" ht="24.6" thickBot="1">
      <c r="A58" s="360" t="s">
        <v>1027</v>
      </c>
      <c r="B58" s="1158" t="s">
        <v>1408</v>
      </c>
      <c r="C58" s="361">
        <f ca="1">ROUND(C59+C64+C65+C66,0)</f>
        <v>1240</v>
      </c>
      <c r="D58" s="1160" t="s">
        <v>1409</v>
      </c>
      <c r="E58" s="1161"/>
      <c r="F58" s="1162"/>
      <c r="I58" s="1899" t="s">
        <v>1544</v>
      </c>
      <c r="J58" s="1901" t="e">
        <f ca="1">IF(J55&lt;0.4,0.4,J55)</f>
        <v>#VALUE!</v>
      </c>
      <c r="K58" s="1878" t="s">
        <v>1545</v>
      </c>
      <c r="L58" s="1868" t="e">
        <f ca="1">ROUND(POWER(1+L52,L47-L48)*(POWER(1+L52,L48)-1)/(POWER(1+L52,L47)-1),4)</f>
        <v>#DIV/0!</v>
      </c>
      <c r="O58" s="1872" t="s">
        <v>1039</v>
      </c>
      <c r="P58" s="1863" t="s">
        <v>1546</v>
      </c>
      <c r="Q58" s="1864">
        <f>IF(L55="比较法",L49,IF(L55="基准地价",L50,0))</f>
        <v>0</v>
      </c>
      <c r="R58" s="1864" t="s">
        <v>1513</v>
      </c>
    </row>
    <row r="59" spans="1:18" s="1820" customFormat="1" ht="24.6" thickBot="1">
      <c r="A59" s="1182" t="s">
        <v>1032</v>
      </c>
      <c r="B59" s="1150" t="s">
        <v>1413</v>
      </c>
      <c r="C59" s="24">
        <f ca="1">ROUND(IF(项目基本情况!B11="自然人",C48*F59,C60+C61+C62),1)</f>
        <v>454.1</v>
      </c>
      <c r="D59" s="1163" t="s">
        <v>1414</v>
      </c>
      <c r="E59" s="1164" t="s">
        <v>1415</v>
      </c>
      <c r="F59" s="368" t="str">
        <f ca="1">IF(项目基本情况!B11="企业","",IF(INDIRECT("'数据-取费表'!c"&amp;$G$1)="住宅",5%,IF(F49*F50*F51/12/(1+'数据-取费表'!C42)&gt;20000,12%,7%)))</f>
        <v/>
      </c>
      <c r="I59" s="1899" t="s">
        <v>1547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1548</v>
      </c>
      <c r="Q59" s="1875">
        <f>L52</f>
        <v>0</v>
      </c>
      <c r="R59" s="1864"/>
    </row>
    <row r="60" spans="1:18" s="1820" customFormat="1" ht="16.2" thickBot="1">
      <c r="A60" s="1182" t="s">
        <v>1031</v>
      </c>
      <c r="B60" s="1150" t="s">
        <v>1417</v>
      </c>
      <c r="C60" s="24">
        <f ca="1">IF(项目基本情况!B11="自然人","——",ROUND(C48*F60/(1+'数据-取费表'!C42),2))</f>
        <v>0</v>
      </c>
      <c r="D60" s="1164" t="s">
        <v>1418</v>
      </c>
      <c r="E60" s="1150" t="s">
        <v>1406</v>
      </c>
      <c r="F60" s="377">
        <f t="shared" ref="F60:F66" si="0">F32</f>
        <v>5.6000000000000001E-2</v>
      </c>
      <c r="I60" s="1902" t="s">
        <v>1549</v>
      </c>
      <c r="J60" s="1903" t="str">
        <f ca="1">IF(OR(M47="住宅",J51&lt;L48,J56="是"),"0",ROUND(J59/(1+J52)^J53,0))</f>
        <v>0</v>
      </c>
      <c r="K60" s="1904" t="s">
        <v>1550</v>
      </c>
      <c r="L60" s="1903">
        <f ca="1">IF(OR(M47="住宅",L48&lt;J51),0,ROUND(L57*(L58/L59-1),0))</f>
        <v>0</v>
      </c>
      <c r="O60" s="1872" t="s">
        <v>1041</v>
      </c>
      <c r="P60" s="1863" t="s">
        <v>1551</v>
      </c>
      <c r="Q60" s="1864" t="e">
        <f ca="1">L58</f>
        <v>#DIV/0!</v>
      </c>
      <c r="R60" s="1864" t="s">
        <v>1552</v>
      </c>
    </row>
    <row r="61" spans="1:18" s="1820" customFormat="1" ht="13.8" thickBot="1">
      <c r="A61" s="1182" t="s">
        <v>1476</v>
      </c>
      <c r="B61" s="1150" t="s">
        <v>1421</v>
      </c>
      <c r="C61" s="24">
        <f ca="1">IF(项目基本情况!B11="自然人","——",IF(D61="按租金收入计税",ROUND(C48*F61,2),IF(D61="按房产原值计税",ROUND(C57*F61*0.7,2),INDIRECT("'数据-取费表'!Aj"&amp;$G$1))))</f>
        <v>439.92</v>
      </c>
      <c r="D61" s="1806" t="s">
        <v>1422</v>
      </c>
      <c r="E61" s="1150" t="s">
        <v>1406</v>
      </c>
      <c r="F61" s="367">
        <f t="shared" si="0"/>
        <v>1.2E-2</v>
      </c>
      <c r="I61" s="1905"/>
      <c r="J61" s="1905"/>
      <c r="K61" s="1905"/>
      <c r="L61" s="1905"/>
      <c r="O61" s="1872" t="s">
        <v>1042</v>
      </c>
      <c r="P61" s="1863" t="str">
        <f>K59</f>
        <v>建筑物剩余耐用年限下的土地年期修正系数Kn</v>
      </c>
      <c r="Q61" s="1864" t="e">
        <f ca="1">L59</f>
        <v>#DIV/0!</v>
      </c>
      <c r="R61" s="1864" t="s">
        <v>1553</v>
      </c>
    </row>
    <row r="62" spans="1:18" s="1820" customFormat="1" ht="13.8" thickBot="1">
      <c r="A62" s="1182" t="s">
        <v>1479</v>
      </c>
      <c r="B62" s="1149" t="s">
        <v>1425</v>
      </c>
      <c r="C62" s="25">
        <f ca="1">IF(项目基本情况!B11="自然人","——",ROUND(F62*F63/10000,2))</f>
        <v>14.21</v>
      </c>
      <c r="D62" s="1165" t="s">
        <v>1426</v>
      </c>
      <c r="E62" s="1150" t="s">
        <v>1427</v>
      </c>
      <c r="F62" s="371">
        <f t="shared" si="0"/>
        <v>30</v>
      </c>
      <c r="I62" s="1906" t="s">
        <v>1554</v>
      </c>
      <c r="J62" s="1907" t="s">
        <v>1555</v>
      </c>
      <c r="K62" s="1907" t="s">
        <v>1556</v>
      </c>
      <c r="L62" s="1907" t="s">
        <v>1557</v>
      </c>
      <c r="M62" s="1908" t="s">
        <v>1558</v>
      </c>
      <c r="O62" s="1862" t="s">
        <v>1043</v>
      </c>
      <c r="P62" s="1863" t="s">
        <v>1533</v>
      </c>
      <c r="Q62" s="1864">
        <f ca="1">Q56+Q57</f>
        <v>117536</v>
      </c>
      <c r="R62" s="1864" t="s">
        <v>1044</v>
      </c>
    </row>
    <row r="63" spans="1:18" s="1820" customFormat="1" ht="13.8" thickBot="1">
      <c r="A63" s="372"/>
      <c r="B63" s="1156"/>
      <c r="C63" s="29"/>
      <c r="D63" s="1166"/>
      <c r="E63" s="1150" t="s">
        <v>1431</v>
      </c>
      <c r="F63" s="348">
        <f t="shared" ca="1" si="0"/>
        <v>4736.16</v>
      </c>
      <c r="I63" s="1906" t="s">
        <v>1560</v>
      </c>
      <c r="J63" s="1907">
        <v>70</v>
      </c>
      <c r="K63" s="1907">
        <v>50</v>
      </c>
      <c r="L63" s="1907">
        <v>80</v>
      </c>
      <c r="M63" s="1909">
        <v>0.02</v>
      </c>
      <c r="O63" s="1847" t="s">
        <v>1561</v>
      </c>
      <c r="P63" s="1817"/>
      <c r="Q63" s="1817"/>
      <c r="R63" s="1817"/>
    </row>
    <row r="64" spans="1:18" s="1820" customFormat="1" ht="13.8" thickBot="1">
      <c r="A64" s="1182" t="s">
        <v>1484</v>
      </c>
      <c r="B64" s="1150" t="s">
        <v>1433</v>
      </c>
      <c r="C64" s="24">
        <f ca="1">ROUND(C57*F64,1)</f>
        <v>785.6</v>
      </c>
      <c r="D64" s="1164" t="s">
        <v>1466</v>
      </c>
      <c r="E64" s="1150" t="s">
        <v>1406</v>
      </c>
      <c r="F64" s="374">
        <f t="shared" ca="1" si="0"/>
        <v>1.4999999999999999E-2</v>
      </c>
      <c r="I64" s="1906" t="s">
        <v>1562</v>
      </c>
      <c r="J64" s="1907">
        <v>50</v>
      </c>
      <c r="K64" s="1907">
        <v>35</v>
      </c>
      <c r="L64" s="1907">
        <v>60</v>
      </c>
      <c r="M64" s="1908">
        <v>0</v>
      </c>
      <c r="O64" s="1855" t="s">
        <v>1506</v>
      </c>
      <c r="P64" s="1856" t="s">
        <v>1507</v>
      </c>
      <c r="Q64" s="1857" t="s">
        <v>1508</v>
      </c>
      <c r="R64" s="1857" t="s">
        <v>1509</v>
      </c>
    </row>
    <row r="65" spans="1:18" s="1820" customFormat="1" ht="13.8" thickBot="1">
      <c r="A65" s="1182" t="s">
        <v>1487</v>
      </c>
      <c r="B65" s="1150" t="s">
        <v>1437</v>
      </c>
      <c r="C65" s="24">
        <f ca="1">ROUND(C56*F65,1)</f>
        <v>0</v>
      </c>
      <c r="D65" s="1164" t="s">
        <v>1438</v>
      </c>
      <c r="E65" s="1150" t="s">
        <v>1406</v>
      </c>
      <c r="F65" s="376">
        <f t="shared" ca="1" si="0"/>
        <v>0</v>
      </c>
      <c r="I65" s="1906" t="s">
        <v>1563</v>
      </c>
      <c r="J65" s="1907">
        <v>40</v>
      </c>
      <c r="K65" s="1907">
        <v>30</v>
      </c>
      <c r="L65" s="1907">
        <v>50</v>
      </c>
      <c r="M65" s="1909">
        <v>0.02</v>
      </c>
      <c r="O65" s="1862" t="s">
        <v>1037</v>
      </c>
      <c r="P65" s="1863" t="s">
        <v>1512</v>
      </c>
      <c r="Q65" s="1864">
        <f ca="1">C40+J29</f>
        <v>117536</v>
      </c>
      <c r="R65" s="1864" t="s">
        <v>1513</v>
      </c>
    </row>
    <row r="66" spans="1:18" s="1820" customFormat="1" ht="16.2" thickBot="1">
      <c r="A66" s="1182" t="s">
        <v>1488</v>
      </c>
      <c r="B66" s="1150" t="s">
        <v>1423</v>
      </c>
      <c r="C66" s="24">
        <f ca="1">ROUND(C48*F66,1)</f>
        <v>0</v>
      </c>
      <c r="D66" s="1164" t="s">
        <v>1443</v>
      </c>
      <c r="E66" s="1150" t="s">
        <v>1406</v>
      </c>
      <c r="F66" s="357">
        <f t="shared" ca="1" si="0"/>
        <v>0.02</v>
      </c>
      <c r="O66" s="1862" t="s">
        <v>1038</v>
      </c>
      <c r="P66" s="1863" t="s">
        <v>1542</v>
      </c>
      <c r="Q66" s="1864">
        <f ca="1">L60</f>
        <v>0</v>
      </c>
      <c r="R66" s="1864" t="s">
        <v>1565</v>
      </c>
    </row>
    <row r="67" spans="1:18" s="1820" customFormat="1" ht="24.6" thickBot="1">
      <c r="A67" s="1157" t="s">
        <v>1028</v>
      </c>
      <c r="B67" s="1167" t="s">
        <v>1447</v>
      </c>
      <c r="C67" s="361">
        <f ca="1">C48-C58</f>
        <v>-1240</v>
      </c>
      <c r="D67" s="1163" t="s">
        <v>1448</v>
      </c>
      <c r="E67" s="1168"/>
      <c r="F67" s="1169"/>
      <c r="O67" s="1872" t="s">
        <v>1039</v>
      </c>
      <c r="P67" s="1863" t="s">
        <v>1546</v>
      </c>
      <c r="Q67" s="1910">
        <f ca="1">L51</f>
        <v>84279</v>
      </c>
      <c r="R67" s="1864" t="s">
        <v>1566</v>
      </c>
    </row>
    <row r="68" spans="1:18" s="1820" customFormat="1" ht="16.2" thickBot="1">
      <c r="A68" s="1147" t="s">
        <v>1029</v>
      </c>
      <c r="B68" s="1148" t="s">
        <v>1469</v>
      </c>
      <c r="C68" s="346">
        <f ca="1">ROUND(C67*(1-((1+F70)/(1+F68))^F69)/(F68-F70),0)</f>
        <v>-17554</v>
      </c>
      <c r="D68" s="1165" t="s">
        <v>1453</v>
      </c>
      <c r="E68" s="1150" t="s">
        <v>1454</v>
      </c>
      <c r="F68" s="357">
        <f ca="1">F40</f>
        <v>5.5E-2</v>
      </c>
      <c r="O68" s="1872" t="s">
        <v>1040</v>
      </c>
      <c r="P68" s="1911" t="s">
        <v>1567</v>
      </c>
      <c r="Q68" s="1864">
        <f ca="1">ROUND(Q69-Q70*Q71,0)</f>
        <v>5642</v>
      </c>
      <c r="R68" s="1864" t="s">
        <v>1048</v>
      </c>
    </row>
    <row r="69" spans="1:18" s="1820" customFormat="1" ht="13.8" thickBot="1">
      <c r="A69" s="1151"/>
      <c r="B69" s="1152"/>
      <c r="C69" s="351"/>
      <c r="D69" s="1170" t="s">
        <v>1457</v>
      </c>
      <c r="E69" s="1150" t="s">
        <v>1458</v>
      </c>
      <c r="F69" s="379">
        <f ca="1">F41</f>
        <v>28.16</v>
      </c>
      <c r="O69" s="1872" t="s">
        <v>1045</v>
      </c>
      <c r="P69" s="1911" t="s">
        <v>1568</v>
      </c>
      <c r="Q69" s="1864">
        <f ca="1">C39</f>
        <v>5642</v>
      </c>
      <c r="R69" s="1864" t="s">
        <v>1513</v>
      </c>
    </row>
    <row r="70" spans="1:18" s="1820" customFormat="1" ht="13.8" thickBot="1">
      <c r="A70" s="1154"/>
      <c r="B70" s="1155"/>
      <c r="C70" s="355"/>
      <c r="D70" s="1166"/>
      <c r="E70" s="1150" t="s">
        <v>1461</v>
      </c>
      <c r="F70" s="1256"/>
      <c r="O70" s="1872" t="s">
        <v>1046</v>
      </c>
      <c r="P70" s="1911" t="s">
        <v>1569</v>
      </c>
      <c r="Q70" s="1864">
        <f ca="1">C13</f>
        <v>0</v>
      </c>
      <c r="R70" s="1864" t="s">
        <v>1513</v>
      </c>
    </row>
    <row r="71" spans="1:18" s="1820" customFormat="1" ht="13.8" thickBot="1">
      <c r="A71" s="1171" t="s">
        <v>1030</v>
      </c>
      <c r="B71" s="1172" t="s">
        <v>1471</v>
      </c>
      <c r="C71" s="382">
        <f ca="1">ROUND(C68*10000/F71,0)</f>
        <v>-4433</v>
      </c>
      <c r="D71" s="1173" t="s">
        <v>1472</v>
      </c>
      <c r="E71" s="1174" t="s">
        <v>1473</v>
      </c>
      <c r="F71" s="385">
        <f ca="1">F43</f>
        <v>39599.300000000003</v>
      </c>
      <c r="O71" s="1872" t="s">
        <v>1047</v>
      </c>
      <c r="P71" s="1911" t="s">
        <v>1570</v>
      </c>
      <c r="Q71" s="1875">
        <f ca="1">C76</f>
        <v>8.5000000000000006E-2</v>
      </c>
      <c r="R71" s="1864"/>
    </row>
    <row r="72" spans="1:18" s="1820" customFormat="1" ht="13.8" thickBot="1">
      <c r="B72" s="791"/>
      <c r="C72" s="791"/>
      <c r="O72" s="1872" t="s">
        <v>1041</v>
      </c>
      <c r="P72" s="1863" t="s">
        <v>1548</v>
      </c>
      <c r="Q72" s="1875">
        <f>L52</f>
        <v>0</v>
      </c>
      <c r="R72" s="1864"/>
    </row>
    <row r="73" spans="1:18" ht="16.2" thickBot="1">
      <c r="A73" s="1820"/>
      <c r="B73" s="791"/>
      <c r="C73" s="791"/>
      <c r="D73" s="1820"/>
      <c r="E73" s="1820"/>
      <c r="F73" s="1820"/>
      <c r="O73" s="1872" t="s">
        <v>1042</v>
      </c>
      <c r="P73" s="1863" t="s">
        <v>1551</v>
      </c>
      <c r="Q73" s="1864" t="e">
        <f ca="1">L58</f>
        <v>#DIV/0!</v>
      </c>
      <c r="R73" s="1864" t="s">
        <v>1552</v>
      </c>
    </row>
    <row r="74" spans="1:18" ht="13.8" thickBot="1">
      <c r="A74" s="1820"/>
      <c r="B74" s="317" t="s">
        <v>1571</v>
      </c>
      <c r="C74" s="1913"/>
      <c r="D74" s="1820"/>
      <c r="E74" s="1820"/>
      <c r="F74" s="1820"/>
      <c r="O74" s="1872" t="s">
        <v>1049</v>
      </c>
      <c r="P74" s="1863" t="str">
        <f>K59</f>
        <v>建筑物剩余耐用年限下的土地年期修正系数Kn</v>
      </c>
      <c r="Q74" s="1864" t="e">
        <f ca="1">L59</f>
        <v>#DIV/0!</v>
      </c>
      <c r="R74" s="1864" t="s">
        <v>1553</v>
      </c>
    </row>
    <row r="75" spans="1:18" ht="13.8" thickBot="1">
      <c r="A75" s="1820"/>
      <c r="B75" s="386" t="s">
        <v>1490</v>
      </c>
      <c r="C75" s="387">
        <f ca="1">ROUND(C13*C76,0)</f>
        <v>0</v>
      </c>
      <c r="D75" s="1820"/>
      <c r="E75" s="1820"/>
      <c r="F75" s="1820"/>
      <c r="K75" s="1846"/>
      <c r="L75" s="1820"/>
      <c r="O75" s="1862" t="s">
        <v>1043</v>
      </c>
      <c r="P75" s="1863" t="s">
        <v>1533</v>
      </c>
      <c r="Q75" s="1864">
        <f ca="1">Q65+Q66</f>
        <v>117536</v>
      </c>
      <c r="R75" s="1864" t="s">
        <v>1044</v>
      </c>
    </row>
    <row r="76" spans="1:18">
      <c r="B76" s="388" t="s">
        <v>1491</v>
      </c>
      <c r="C76" s="389">
        <f ca="1">INDIRECT("'数据-取费表'!j"&amp;$G$1)</f>
        <v>8.5000000000000006E-2</v>
      </c>
      <c r="I76" s="1820"/>
      <c r="J76" s="1820"/>
      <c r="K76" s="1846"/>
      <c r="L76" s="1820"/>
    </row>
    <row r="77" spans="1:18">
      <c r="B77" s="390" t="s">
        <v>1492</v>
      </c>
      <c r="C77" s="391"/>
      <c r="I77" s="1820"/>
      <c r="J77" s="1820"/>
      <c r="K77" s="1846"/>
      <c r="L77" s="1820"/>
    </row>
    <row r="78" spans="1:18">
      <c r="B78" s="314" t="s">
        <v>1493</v>
      </c>
      <c r="C78" s="392"/>
    </row>
    <row r="79" spans="1:18">
      <c r="B79" s="386" t="s">
        <v>1494</v>
      </c>
      <c r="C79" s="318">
        <f ca="1">1-C80</f>
        <v>1</v>
      </c>
    </row>
    <row r="80" spans="1:18">
      <c r="B80" s="386" t="s">
        <v>1495</v>
      </c>
      <c r="C80" s="318">
        <f ca="1">ROUND(C75/C39,3)</f>
        <v>0</v>
      </c>
    </row>
    <row r="81" spans="2:3">
      <c r="B81" s="314" t="s">
        <v>1496</v>
      </c>
      <c r="C81" s="282"/>
    </row>
    <row r="82" spans="2:3">
      <c r="B82" s="317" t="s">
        <v>1497</v>
      </c>
      <c r="C82" s="319">
        <f ca="1">1-C83</f>
        <v>1</v>
      </c>
    </row>
    <row r="83" spans="2:3">
      <c r="B83" s="317" t="s">
        <v>1498</v>
      </c>
      <c r="C83" s="318">
        <f ca="1">ROUND(C13/C40,3)</f>
        <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500-000000000000}">
      <formula1>"按租金收入计税,按房产原值计税"</formula1>
    </dataValidation>
    <dataValidation type="list" allowBlank="1" showInputMessage="1" showErrorMessage="1" sqref="D33 D61" xr:uid="{00000000-0002-0000-3500-000001000000}">
      <formula1>"按租金收入计税,按房产原值计税,按票据"</formula1>
    </dataValidation>
    <dataValidation type="list" allowBlank="1" showInputMessage="1" showErrorMessage="1" sqref="C1" xr:uid="{00000000-0002-0000-3500-000002000000}">
      <formula1>项目类型</formula1>
    </dataValidation>
    <dataValidation type="list" allowBlank="1" showInputMessage="1" showErrorMessage="1" sqref="J47" xr:uid="{00000000-0002-0000-3500-000003000000}">
      <formula1>"钢,钢混,砖混"</formula1>
    </dataValidation>
    <dataValidation type="list" allowBlank="1" showInputMessage="1" showErrorMessage="1" sqref="J48" xr:uid="{00000000-0002-0000-3500-000004000000}">
      <formula1>"非生产用房,生产用房,受腐蚀的生产用房"</formula1>
    </dataValidation>
    <dataValidation type="list" allowBlank="1" showInputMessage="1" showErrorMessage="1" sqref="J56" xr:uid="{00000000-0002-0000-3500-000005000000}">
      <formula1>判定</formula1>
    </dataValidation>
    <dataValidation type="list" allowBlank="1" showInputMessage="1" showErrorMessage="1" sqref="L55" xr:uid="{00000000-0002-0000-3500-000006000000}">
      <formula1>"比较法,基准地价,收益还原"</formula1>
    </dataValidation>
    <dataValidation type="list" allowBlank="1" showInputMessage="1" showErrorMessage="1" sqref="M10 F10 F53" xr:uid="{00000000-0002-0000-3500-000007000000}">
      <formula1>"押一,押二,押三,自定义"</formula1>
    </dataValidation>
    <dataValidation type="list" allowBlank="1" showInputMessage="1" showErrorMessage="1" sqref="D1" xr:uid="{00000000-0002-0000-3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38"/>
  <sheetViews>
    <sheetView topLeftCell="A16" workbookViewId="0">
      <selection activeCell="Q24" sqref="Q24"/>
    </sheetView>
  </sheetViews>
  <sheetFormatPr defaultRowHeight="14.4"/>
  <cols>
    <col min="1" max="1" width="10.44140625" customWidth="1"/>
    <col min="2" max="2" width="12.88671875" customWidth="1"/>
    <col min="3" max="3" width="8.77734375" customWidth="1"/>
    <col min="15" max="16" width="11" bestFit="1" customWidth="1"/>
  </cols>
  <sheetData>
    <row r="1" spans="1:16" ht="15.6">
      <c r="A1" s="3820" t="s">
        <v>1073</v>
      </c>
      <c r="B1" s="3821"/>
      <c r="C1" s="3822"/>
      <c r="D1" s="3823">
        <f>SUM(I10,I15,I20,I21,I23)</f>
        <v>10472</v>
      </c>
      <c r="E1" s="3823"/>
      <c r="F1" s="3823"/>
      <c r="G1" s="3823"/>
      <c r="H1" s="3823"/>
      <c r="I1" s="3824"/>
    </row>
    <row r="2" spans="1:16">
      <c r="A2" s="3810" t="s">
        <v>1074</v>
      </c>
      <c r="B2" s="3811" t="s">
        <v>1075</v>
      </c>
      <c r="C2" s="3811"/>
      <c r="D2" s="1282" t="s">
        <v>1076</v>
      </c>
      <c r="E2" s="1282" t="s">
        <v>1077</v>
      </c>
      <c r="F2" s="1282" t="s">
        <v>1078</v>
      </c>
      <c r="G2" s="1282" t="s">
        <v>1079</v>
      </c>
      <c r="H2" s="1282" t="s">
        <v>1080</v>
      </c>
      <c r="I2" s="1283" t="s">
        <v>1081</v>
      </c>
    </row>
    <row r="3" spans="1:16" ht="15.6">
      <c r="A3" s="3810"/>
      <c r="B3" s="3825" t="s">
        <v>3358</v>
      </c>
      <c r="C3" s="3826"/>
      <c r="D3" s="3424">
        <v>150</v>
      </c>
      <c r="E3" s="3376">
        <v>1700</v>
      </c>
      <c r="F3" s="3423">
        <v>1</v>
      </c>
      <c r="G3" s="3423">
        <v>0.75</v>
      </c>
      <c r="H3" s="1286">
        <v>365</v>
      </c>
      <c r="I3" s="1287">
        <f>ROUND(D3*E3*F3*G3*H3/10000,0)</f>
        <v>6981</v>
      </c>
    </row>
    <row r="4" spans="1:16" ht="15.6">
      <c r="A4" s="3810"/>
      <c r="B4" s="3825" t="s">
        <v>3359</v>
      </c>
      <c r="C4" s="3826"/>
      <c r="D4" s="3376"/>
      <c r="E4" s="3376"/>
      <c r="F4" s="3377"/>
      <c r="G4" s="3377"/>
      <c r="H4" s="1286"/>
      <c r="I4" s="1287">
        <f t="shared" ref="I4:I9" si="0">ROUND(D4*E4*F4*G4*H4/10000,0)</f>
        <v>0</v>
      </c>
    </row>
    <row r="5" spans="1:16" ht="15.6">
      <c r="A5" s="3810"/>
      <c r="B5" s="3825" t="s">
        <v>3360</v>
      </c>
      <c r="C5" s="3826"/>
      <c r="D5" s="3376"/>
      <c r="E5" s="3376"/>
      <c r="F5" s="3377"/>
      <c r="G5" s="3377"/>
      <c r="H5" s="1286"/>
      <c r="I5" s="1287">
        <f t="shared" si="0"/>
        <v>0</v>
      </c>
      <c r="K5" s="3372" t="s">
        <v>3351</v>
      </c>
      <c r="L5" s="3372" t="s">
        <v>3352</v>
      </c>
      <c r="M5" s="3372" t="s">
        <v>3353</v>
      </c>
      <c r="N5" s="3372" t="s">
        <v>3354</v>
      </c>
      <c r="O5" s="3372" t="s">
        <v>3355</v>
      </c>
      <c r="P5" s="3372" t="s">
        <v>3356</v>
      </c>
    </row>
    <row r="6" spans="1:16" ht="15.6">
      <c r="A6" s="3810"/>
      <c r="B6" s="3825" t="s">
        <v>3361</v>
      </c>
      <c r="C6" s="3826"/>
      <c r="D6" s="3376"/>
      <c r="E6" s="3376"/>
      <c r="F6" s="3377"/>
      <c r="G6" s="3377"/>
      <c r="H6" s="1286"/>
      <c r="I6" s="1287">
        <f t="shared" si="0"/>
        <v>0</v>
      </c>
      <c r="K6" s="3372">
        <v>2016</v>
      </c>
      <c r="L6" s="3372">
        <v>311</v>
      </c>
      <c r="M6" s="3373">
        <v>0.88800000000000001</v>
      </c>
      <c r="N6" s="3372">
        <v>414.84</v>
      </c>
      <c r="O6" s="3374">
        <v>5026.97</v>
      </c>
      <c r="P6" s="3375">
        <v>2381.44</v>
      </c>
    </row>
    <row r="7" spans="1:16">
      <c r="A7" s="3810"/>
      <c r="B7" s="3811"/>
      <c r="C7" s="3811"/>
      <c r="D7" s="1284"/>
      <c r="E7" s="1282"/>
      <c r="F7" s="1285"/>
      <c r="G7" s="1285"/>
      <c r="H7" s="1286"/>
      <c r="I7" s="1287">
        <f t="shared" si="0"/>
        <v>0</v>
      </c>
      <c r="K7" s="3372">
        <v>2017</v>
      </c>
      <c r="L7" s="3372">
        <v>313</v>
      </c>
      <c r="M7" s="3373">
        <v>0.86260000000000003</v>
      </c>
      <c r="N7" s="3372">
        <v>432.99</v>
      </c>
      <c r="O7" s="3374">
        <v>4763.54</v>
      </c>
      <c r="P7" s="3375">
        <v>2186.4299999999998</v>
      </c>
    </row>
    <row r="8" spans="1:16">
      <c r="A8" s="3810"/>
      <c r="B8" s="3811"/>
      <c r="C8" s="3811"/>
      <c r="D8" s="1284"/>
      <c r="E8" s="1282"/>
      <c r="F8" s="1285"/>
      <c r="G8" s="1285"/>
      <c r="H8" s="1286"/>
      <c r="I8" s="1287">
        <f t="shared" si="0"/>
        <v>0</v>
      </c>
      <c r="K8" s="3372">
        <v>2018</v>
      </c>
      <c r="L8" s="3372">
        <v>313</v>
      </c>
      <c r="M8" s="3373">
        <v>0.85750000000000004</v>
      </c>
      <c r="N8" s="3372">
        <v>490.61</v>
      </c>
      <c r="O8" s="3374">
        <v>5636.54</v>
      </c>
      <c r="P8" s="3375">
        <v>2910.75</v>
      </c>
    </row>
    <row r="9" spans="1:16">
      <c r="A9" s="3810"/>
      <c r="B9" s="3811"/>
      <c r="C9" s="3811"/>
      <c r="D9" s="1284"/>
      <c r="E9" s="1282"/>
      <c r="F9" s="1285"/>
      <c r="G9" s="1285"/>
      <c r="H9" s="1286"/>
      <c r="I9" s="1287">
        <f t="shared" si="0"/>
        <v>0</v>
      </c>
      <c r="K9" s="3372" t="s">
        <v>3357</v>
      </c>
      <c r="L9" s="3372">
        <v>313</v>
      </c>
      <c r="M9" s="3373">
        <v>0.89019999999999999</v>
      </c>
      <c r="N9" s="3372">
        <v>489.52</v>
      </c>
      <c r="O9" s="3374">
        <v>4419.04</v>
      </c>
      <c r="P9" s="3375">
        <v>2299.9899999999998</v>
      </c>
    </row>
    <row r="10" spans="1:16">
      <c r="A10" s="3810"/>
      <c r="B10" s="3812" t="s">
        <v>1082</v>
      </c>
      <c r="C10" s="3812"/>
      <c r="D10" s="1288"/>
      <c r="E10" s="1288" t="e">
        <f>ROUND(D1*10000/D10/H9,0)</f>
        <v>#DIV/0!</v>
      </c>
      <c r="F10" s="1289"/>
      <c r="G10" s="1289"/>
      <c r="H10" s="1290">
        <v>365</v>
      </c>
      <c r="I10" s="1291">
        <f>SUM(I3:I9)</f>
        <v>6981</v>
      </c>
    </row>
    <row r="11" spans="1:16" ht="15.6">
      <c r="A11" s="3810" t="s">
        <v>1083</v>
      </c>
      <c r="B11" s="3811" t="s">
        <v>1084</v>
      </c>
      <c r="C11" s="3811"/>
      <c r="D11" s="1284" t="s">
        <v>1085</v>
      </c>
      <c r="E11" s="1284" t="s">
        <v>1086</v>
      </c>
      <c r="F11" s="1285" t="s">
        <v>1087</v>
      </c>
      <c r="G11" s="1285" t="s">
        <v>1080</v>
      </c>
      <c r="H11" s="1292" t="s">
        <v>1</v>
      </c>
      <c r="I11" s="1283" t="s">
        <v>1081</v>
      </c>
    </row>
    <row r="12" spans="1:16">
      <c r="A12" s="3810"/>
      <c r="B12" s="3811" t="s">
        <v>1089</v>
      </c>
      <c r="C12" s="3811"/>
      <c r="D12" s="1284"/>
      <c r="E12" s="1284"/>
      <c r="F12" s="1285"/>
      <c r="G12" s="1286"/>
      <c r="H12" s="1293"/>
      <c r="I12" s="1283">
        <f>ROUND(D12*E12*F12*G12/10000,0)</f>
        <v>0</v>
      </c>
    </row>
    <row r="13" spans="1:16">
      <c r="A13" s="3810"/>
      <c r="B13" s="3811" t="s">
        <v>1090</v>
      </c>
      <c r="C13" s="3811"/>
      <c r="D13" s="1284"/>
      <c r="E13" s="1284"/>
      <c r="F13" s="1285"/>
      <c r="G13" s="1286"/>
      <c r="H13" s="1293"/>
      <c r="I13" s="1283">
        <f>ROUND(D13*E13*F13*G13/10000,0)</f>
        <v>0</v>
      </c>
    </row>
    <row r="14" spans="1:16">
      <c r="A14" s="3810"/>
      <c r="B14" s="3811" t="s">
        <v>1091</v>
      </c>
      <c r="C14" s="3811"/>
      <c r="D14" s="1284"/>
      <c r="E14" s="1284"/>
      <c r="F14" s="1285"/>
      <c r="G14" s="1286"/>
      <c r="H14" s="1293"/>
      <c r="I14" s="1283">
        <f>ROUND(D14*E14*F14*G14/10000,0)</f>
        <v>0</v>
      </c>
      <c r="N14">
        <f>'数据-汇总表'!F24/50</f>
        <v>744.22619999999995</v>
      </c>
    </row>
    <row r="15" spans="1:16">
      <c r="A15" s="3810"/>
      <c r="B15" s="3812" t="s">
        <v>1082</v>
      </c>
      <c r="C15" s="3812"/>
      <c r="D15" s="1288"/>
      <c r="E15" s="1288">
        <f>SUM(E12:E14)</f>
        <v>0</v>
      </c>
      <c r="F15" s="1289"/>
      <c r="G15" s="1286"/>
      <c r="H15" s="1293"/>
      <c r="I15" s="1294">
        <f>SUM(I12:I14)</f>
        <v>0</v>
      </c>
    </row>
    <row r="16" spans="1:16" ht="24">
      <c r="A16" s="3810" t="s">
        <v>1092</v>
      </c>
      <c r="B16" s="3811" t="s">
        <v>1093</v>
      </c>
      <c r="C16" s="3811"/>
      <c r="D16" s="1284" t="s">
        <v>1076</v>
      </c>
      <c r="E16" s="1295" t="s">
        <v>1094</v>
      </c>
      <c r="F16" s="1285" t="s">
        <v>1095</v>
      </c>
      <c r="G16" s="1286" t="s">
        <v>1080</v>
      </c>
      <c r="H16" s="1292" t="s">
        <v>1088</v>
      </c>
      <c r="I16" s="1283" t="s">
        <v>1081</v>
      </c>
    </row>
    <row r="17" spans="1:12" ht="15.6">
      <c r="A17" s="3810"/>
      <c r="B17" s="3811" t="s">
        <v>1096</v>
      </c>
      <c r="C17" s="3811"/>
      <c r="D17" s="1284"/>
      <c r="E17" s="1284"/>
      <c r="F17" s="1285"/>
      <c r="G17" s="1286"/>
      <c r="H17" s="1296"/>
      <c r="I17" s="1297">
        <f>ROUND(D17*E17*F17*G17/10000,0)</f>
        <v>0</v>
      </c>
    </row>
    <row r="18" spans="1:12" ht="15.6">
      <c r="A18" s="3810"/>
      <c r="B18" s="3811" t="s">
        <v>1097</v>
      </c>
      <c r="C18" s="3811"/>
      <c r="D18" s="1284"/>
      <c r="E18" s="1284"/>
      <c r="F18" s="1285"/>
      <c r="G18" s="1286"/>
      <c r="H18" s="1296"/>
      <c r="I18" s="1297">
        <f>ROUND(D18*E18*F18*G18/10000,0)</f>
        <v>0</v>
      </c>
    </row>
    <row r="19" spans="1:12" ht="15.6">
      <c r="A19" s="3810"/>
      <c r="B19" s="3811" t="s">
        <v>1098</v>
      </c>
      <c r="C19" s="3811"/>
      <c r="D19" s="1284"/>
      <c r="E19" s="1284"/>
      <c r="F19" s="1285"/>
      <c r="G19" s="1286"/>
      <c r="H19" s="1296"/>
      <c r="I19" s="1297">
        <f>ROUND(D19*E19*F19*G19/10000,0)</f>
        <v>0</v>
      </c>
    </row>
    <row r="20" spans="1:12">
      <c r="A20" s="3810"/>
      <c r="B20" s="3812" t="s">
        <v>1082</v>
      </c>
      <c r="C20" s="3812"/>
      <c r="D20" s="1288">
        <f>SUM(D17:D19)</f>
        <v>0</v>
      </c>
      <c r="E20" s="1288"/>
      <c r="F20" s="1289"/>
      <c r="G20" s="1286"/>
      <c r="H20" s="1293"/>
      <c r="I20" s="1294">
        <f>SUM(I17:I19)</f>
        <v>0</v>
      </c>
    </row>
    <row r="21" spans="1:12">
      <c r="A21" s="3810" t="s">
        <v>1099</v>
      </c>
      <c r="B21" s="3813"/>
      <c r="C21" s="3813"/>
      <c r="D21" s="3813"/>
      <c r="E21" s="3813"/>
      <c r="F21" s="3813"/>
      <c r="G21" s="3813"/>
      <c r="H21" s="3436">
        <v>0.5</v>
      </c>
      <c r="I21" s="1291">
        <f>ROUND(I10*H21,0)</f>
        <v>3491</v>
      </c>
      <c r="L21">
        <f>43457332.242046/10000</f>
        <v>4345.7332242045995</v>
      </c>
    </row>
    <row r="22" spans="1:12" ht="15.6">
      <c r="A22" s="3814" t="s">
        <v>1100</v>
      </c>
      <c r="B22" s="3815"/>
      <c r="C22" s="3816"/>
      <c r="D22" s="1298" t="s">
        <v>1101</v>
      </c>
      <c r="E22" s="1298" t="s">
        <v>1102</v>
      </c>
      <c r="F22" s="1299" t="s">
        <v>1103</v>
      </c>
      <c r="G22" s="1299" t="s">
        <v>1104</v>
      </c>
      <c r="H22" s="1292" t="s">
        <v>1105</v>
      </c>
      <c r="I22" s="1283" t="s">
        <v>1106</v>
      </c>
      <c r="L22">
        <f ca="1">收益法商!C5</f>
        <v>2993</v>
      </c>
    </row>
    <row r="23" spans="1:12" ht="15" thickBot="1">
      <c r="A23" s="3817"/>
      <c r="B23" s="3818"/>
      <c r="C23" s="3819"/>
      <c r="D23" s="1300"/>
      <c r="E23" s="1300"/>
      <c r="F23" s="1300"/>
      <c r="G23" s="1301"/>
      <c r="H23" s="1302"/>
      <c r="I23" s="1303">
        <f>ROUND(E23*D23*F23*(1-G23)/10000,0)</f>
        <v>0</v>
      </c>
      <c r="L23">
        <f ca="1">L21-L22</f>
        <v>1352.7332242045995</v>
      </c>
    </row>
    <row r="26" spans="1:12">
      <c r="A26" s="1304" t="s">
        <v>1107</v>
      </c>
      <c r="B26" s="1304"/>
      <c r="C26" s="1304"/>
      <c r="D26" s="1304"/>
      <c r="E26" s="3807">
        <f>C27-C30-C31-C32</f>
        <v>6073.7599999999993</v>
      </c>
      <c r="F26" s="3807"/>
      <c r="G26" s="3807"/>
      <c r="H26" s="1716" t="s">
        <v>1329</v>
      </c>
    </row>
    <row r="27" spans="1:12">
      <c r="A27" s="1305">
        <v>1</v>
      </c>
      <c r="B27" s="1306" t="s">
        <v>1108</v>
      </c>
      <c r="C27" s="1306">
        <f>C28+C29</f>
        <v>10472</v>
      </c>
      <c r="D27" s="1306"/>
      <c r="E27" s="3808"/>
      <c r="F27" s="3808"/>
      <c r="G27" s="3808"/>
    </row>
    <row r="28" spans="1:12">
      <c r="A28" s="1307" t="s">
        <v>1109</v>
      </c>
      <c r="B28" s="1306" t="s">
        <v>1110</v>
      </c>
      <c r="C28" s="1306">
        <f>I10</f>
        <v>6981</v>
      </c>
      <c r="D28" s="1306"/>
      <c r="E28" s="3808"/>
      <c r="F28" s="3808"/>
      <c r="G28" s="3808"/>
    </row>
    <row r="29" spans="1:12">
      <c r="A29" s="1307" t="s">
        <v>1111</v>
      </c>
      <c r="B29" s="1306" t="s">
        <v>1112</v>
      </c>
      <c r="C29" s="1306">
        <f>I21</f>
        <v>3491</v>
      </c>
      <c r="D29" s="1306"/>
      <c r="E29" s="1306" t="s">
        <v>1113</v>
      </c>
      <c r="F29" s="1306"/>
      <c r="G29" s="1306"/>
    </row>
    <row r="30" spans="1:12">
      <c r="A30" s="1305">
        <v>2</v>
      </c>
      <c r="B30" s="1306" t="s">
        <v>1114</v>
      </c>
      <c r="C30" s="1306">
        <f>C27*D30</f>
        <v>2303.84</v>
      </c>
      <c r="D30" s="3442">
        <v>0.22</v>
      </c>
      <c r="E30" s="1306" t="s">
        <v>1115</v>
      </c>
      <c r="F30" s="1306"/>
      <c r="G30" s="1306"/>
    </row>
    <row r="31" spans="1:12">
      <c r="A31" s="1305">
        <v>3</v>
      </c>
      <c r="B31" s="1306" t="s">
        <v>1116</v>
      </c>
      <c r="C31" s="1306">
        <f>C27*D31</f>
        <v>1570.8</v>
      </c>
      <c r="D31" s="1308">
        <v>0.15</v>
      </c>
      <c r="E31" s="1306" t="s">
        <v>1117</v>
      </c>
      <c r="F31" s="1306"/>
      <c r="G31" s="1306"/>
    </row>
    <row r="32" spans="1:12">
      <c r="A32" s="1305">
        <v>4</v>
      </c>
      <c r="B32" s="1306" t="s">
        <v>1118</v>
      </c>
      <c r="C32" s="1306">
        <f>C27*D32</f>
        <v>523.6</v>
      </c>
      <c r="D32" s="1308">
        <v>0.05</v>
      </c>
      <c r="E32" s="3809"/>
      <c r="F32" s="3809"/>
      <c r="G32" s="3809"/>
    </row>
    <row r="33" spans="1:7" hidden="1">
      <c r="A33" s="3804" t="s">
        <v>1119</v>
      </c>
      <c r="B33" s="3805"/>
      <c r="C33" s="3805"/>
      <c r="D33" s="3806"/>
      <c r="E33" s="3807"/>
      <c r="F33" s="3807"/>
      <c r="G33" s="3807"/>
    </row>
    <row r="34" spans="1:7" hidden="1">
      <c r="A34" s="1309">
        <v>1</v>
      </c>
      <c r="B34" s="1306" t="s">
        <v>1120</v>
      </c>
      <c r="C34" s="1306"/>
      <c r="D34" s="1306"/>
      <c r="E34" s="3808"/>
      <c r="F34" s="3808"/>
      <c r="G34" s="3808"/>
    </row>
    <row r="35" spans="1:7" hidden="1">
      <c r="A35" s="1309">
        <v>2</v>
      </c>
      <c r="B35" s="1306" t="s">
        <v>1121</v>
      </c>
      <c r="C35" s="1306"/>
      <c r="D35" s="1306"/>
      <c r="E35" s="3808"/>
      <c r="F35" s="3808"/>
      <c r="G35" s="3808"/>
    </row>
    <row r="36" spans="1:7" hidden="1">
      <c r="A36" s="1309">
        <v>3</v>
      </c>
      <c r="B36" s="1306" t="s">
        <v>1122</v>
      </c>
      <c r="C36" s="1306"/>
      <c r="D36" s="1306"/>
      <c r="E36" s="3808"/>
      <c r="F36" s="3808"/>
      <c r="G36" s="3808"/>
    </row>
    <row r="37" spans="1:7" hidden="1">
      <c r="A37" s="1309">
        <v>4</v>
      </c>
      <c r="B37" s="1306" t="s">
        <v>1123</v>
      </c>
      <c r="C37" s="1306"/>
      <c r="D37" s="1306"/>
      <c r="E37" s="3808"/>
      <c r="F37" s="3808"/>
      <c r="G37" s="3808"/>
    </row>
    <row r="38" spans="1:7" hidden="1">
      <c r="A38" s="3804" t="s">
        <v>1124</v>
      </c>
      <c r="B38" s="3805"/>
      <c r="C38" s="3805"/>
      <c r="D38" s="3806"/>
      <c r="E38" s="3807"/>
      <c r="F38" s="3807"/>
      <c r="G38" s="38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AH111"/>
  <sheetViews>
    <sheetView zoomScale="80" zoomScaleNormal="80" workbookViewId="0">
      <selection activeCell="I11" sqref="I11"/>
    </sheetView>
  </sheetViews>
  <sheetFormatPr defaultColWidth="9" defaultRowHeight="13.2"/>
  <cols>
    <col min="1" max="1" width="9" style="1451"/>
    <col min="2" max="6" width="9" style="1451" customWidth="1"/>
    <col min="7" max="7" width="9" style="1466"/>
    <col min="8" max="8" width="9" style="1451"/>
    <col min="9" max="12" width="9" style="1451" customWidth="1"/>
    <col min="13" max="13" width="2.21875" style="1451" customWidth="1"/>
    <col min="14" max="14" width="9" style="1466" customWidth="1"/>
    <col min="15" max="17" width="9" style="1451" customWidth="1"/>
    <col min="18" max="18" width="2.33203125" style="1451" customWidth="1"/>
    <col min="19" max="19" width="7.109375" style="1466" customWidth="1"/>
    <col min="20" max="22" width="7.109375" style="1451" customWidth="1"/>
    <col min="23" max="23" width="24.21875" style="1451" customWidth="1"/>
    <col min="24" max="25" width="9" style="1451"/>
    <col min="26" max="27" width="11.6640625" style="1451" customWidth="1"/>
    <col min="28" max="28" width="9" style="1451"/>
    <col min="29" max="29" width="2" style="1451" customWidth="1"/>
    <col min="30" max="16384" width="9" style="1451"/>
  </cols>
  <sheetData>
    <row r="1" spans="1:34" s="1425" customFormat="1">
      <c r="B1" s="3832" t="s">
        <v>1139</v>
      </c>
      <c r="C1" s="3832"/>
      <c r="D1" s="3832"/>
      <c r="E1" s="3832"/>
      <c r="F1" s="3832"/>
      <c r="G1" s="3831" t="s">
        <v>1140</v>
      </c>
      <c r="H1" s="3831"/>
      <c r="I1" s="3831"/>
      <c r="J1" s="3831"/>
      <c r="K1" s="3831"/>
      <c r="L1" s="3831"/>
      <c r="N1" s="3831" t="s">
        <v>1141</v>
      </c>
      <c r="O1" s="3831"/>
      <c r="P1" s="3831"/>
      <c r="Q1" s="3831"/>
      <c r="R1" s="1426"/>
      <c r="S1" s="3831" t="s">
        <v>1142</v>
      </c>
      <c r="T1" s="3831"/>
      <c r="U1" s="3831"/>
      <c r="V1" s="3831"/>
      <c r="X1" s="3830" t="s">
        <v>1143</v>
      </c>
      <c r="Y1" s="3831"/>
      <c r="Z1" s="3831"/>
      <c r="AA1" s="3831"/>
      <c r="AB1" s="3831"/>
      <c r="AD1" s="3830" t="s">
        <v>1144</v>
      </c>
      <c r="AE1" s="3831"/>
      <c r="AF1" s="3831"/>
      <c r="AG1" s="3831"/>
      <c r="AH1" s="3831"/>
    </row>
    <row r="2" spans="1:34" s="1427" customFormat="1" ht="15" thickBot="1">
      <c r="B2" s="1428" t="s">
        <v>1145</v>
      </c>
      <c r="C2" s="1428" t="s">
        <v>1146</v>
      </c>
      <c r="D2" s="1429" t="s">
        <v>1147</v>
      </c>
      <c r="E2" s="1429" t="s">
        <v>1148</v>
      </c>
      <c r="F2" s="1428" t="s">
        <v>1149</v>
      </c>
      <c r="G2" s="1430"/>
      <c r="H2" s="1431"/>
      <c r="I2" s="1428" t="s">
        <v>1145</v>
      </c>
      <c r="J2" s="1429" t="s">
        <v>1369</v>
      </c>
      <c r="K2" s="1429" t="s">
        <v>751</v>
      </c>
      <c r="L2" s="1428" t="s">
        <v>1149</v>
      </c>
      <c r="N2" s="1428" t="s">
        <v>1145</v>
      </c>
      <c r="O2" s="1429" t="s">
        <v>1369</v>
      </c>
      <c r="P2" s="1429" t="s">
        <v>751</v>
      </c>
      <c r="Q2" s="1428" t="s">
        <v>1149</v>
      </c>
      <c r="R2" s="1432"/>
      <c r="S2" s="1428" t="s">
        <v>1145</v>
      </c>
      <c r="T2" s="1429" t="s">
        <v>1369</v>
      </c>
      <c r="U2" s="1429" t="s">
        <v>751</v>
      </c>
      <c r="V2" s="1428" t="s">
        <v>1149</v>
      </c>
      <c r="X2" s="1428" t="s">
        <v>1145</v>
      </c>
      <c r="Y2" s="1428" t="s">
        <v>1146</v>
      </c>
      <c r="Z2" s="1429" t="s">
        <v>1147</v>
      </c>
      <c r="AA2" s="1429" t="s">
        <v>1148</v>
      </c>
      <c r="AB2" s="1428" t="s">
        <v>1149</v>
      </c>
      <c r="AD2" s="1428" t="s">
        <v>1145</v>
      </c>
      <c r="AE2" s="1428" t="s">
        <v>1146</v>
      </c>
      <c r="AF2" s="1429" t="s">
        <v>1147</v>
      </c>
      <c r="AG2" s="1429" t="s">
        <v>1148</v>
      </c>
      <c r="AH2" s="1428" t="s">
        <v>1149</v>
      </c>
    </row>
    <row r="3" spans="1:34" s="2886" customFormat="1" ht="14.4">
      <c r="A3" s="2895" t="s">
        <v>3005</v>
      </c>
      <c r="B3" s="2887"/>
      <c r="C3" s="2887"/>
      <c r="D3" s="2888"/>
      <c r="E3" s="2888"/>
      <c r="F3" s="2887"/>
      <c r="G3" s="2889"/>
      <c r="H3" s="2890"/>
      <c r="I3" s="2891">
        <f>ROUND(AVERAGE($I4:$I28),2)</f>
        <v>1.98</v>
      </c>
      <c r="J3" s="2891">
        <f>ROUND(AVERAGE($J4:$J28),2)</f>
        <v>1.41</v>
      </c>
      <c r="K3" s="2891">
        <f>ROUND(AVERAGE($K4:$K28),2)</f>
        <v>2.16</v>
      </c>
      <c r="L3" s="2891">
        <f>ROUND(AVERAGE($L4:$L28),2)</f>
        <v>1.38</v>
      </c>
      <c r="N3" s="2889"/>
      <c r="O3" s="2892"/>
      <c r="P3" s="2892"/>
      <c r="Q3" s="2892"/>
      <c r="R3" s="2892"/>
      <c r="S3" s="2889"/>
      <c r="T3" s="2892"/>
      <c r="U3" s="2892"/>
      <c r="V3" s="2892"/>
      <c r="W3" s="2884"/>
      <c r="X3" s="2893">
        <f>ROUND(SUMPRODUCT(PRODUCT(1+N3:N$27)),4)</f>
        <v>1.5516000000000001</v>
      </c>
      <c r="Y3" s="2893">
        <f>ROUND(SUMPRODUCT(PRODUCT(1+O3:O$27)),4)</f>
        <v>1.3649</v>
      </c>
      <c r="Z3" s="2893">
        <f t="shared" ref="Z3:Z25" si="0">Y3</f>
        <v>1.3649</v>
      </c>
      <c r="AA3" s="2893">
        <f>ROUND(SUMPRODUCT(PRODUCT(1+P3:P$27)),4)</f>
        <v>1.6133999999999999</v>
      </c>
      <c r="AB3" s="2893">
        <f>ROUND(SUMPRODUCT(PRODUCT(1+Q3:Q$27)),4)</f>
        <v>1.3713</v>
      </c>
      <c r="AD3" s="2894">
        <f>ROUND(AVERAGE(I3:I$28)/100,4)</f>
        <v>1.9800000000000002E-2</v>
      </c>
      <c r="AE3" s="2894">
        <f>ROUND(AVERAGE(J3:J$28)/100,4)</f>
        <v>1.41E-2</v>
      </c>
      <c r="AF3" s="2894">
        <f t="shared" ref="AF3:AF26" si="1">AE3</f>
        <v>1.41E-2</v>
      </c>
      <c r="AG3" s="2894">
        <f>ROUND(AVERAGE(K3:K$28)/100,4)</f>
        <v>2.1600000000000001E-2</v>
      </c>
      <c r="AH3" s="2894">
        <f>ROUND(AVERAGE(L3:L$28)/100,4)</f>
        <v>1.38E-2</v>
      </c>
    </row>
    <row r="4" spans="1:34" s="1433" customFormat="1" ht="14.4">
      <c r="B4" s="1434"/>
      <c r="C4" s="1434"/>
      <c r="D4" s="1435"/>
      <c r="E4" s="1435"/>
      <c r="F4" s="1434"/>
      <c r="G4" s="1436"/>
      <c r="H4" s="1437"/>
      <c r="I4" s="2881"/>
      <c r="J4" s="2881"/>
      <c r="K4" s="2881"/>
      <c r="L4" s="2881"/>
      <c r="N4" s="1436"/>
      <c r="O4" s="1438"/>
      <c r="P4" s="1438"/>
      <c r="Q4" s="1438"/>
      <c r="R4" s="1438"/>
      <c r="S4" s="1436"/>
      <c r="T4" s="1438"/>
      <c r="U4" s="1438"/>
      <c r="V4" s="1438"/>
      <c r="X4" s="1439"/>
      <c r="Y4" s="1439"/>
      <c r="Z4" s="1439"/>
      <c r="AA4" s="1439"/>
      <c r="AB4" s="1439"/>
      <c r="AD4" s="1440"/>
      <c r="AE4" s="1440"/>
      <c r="AF4" s="1440"/>
      <c r="AG4" s="1440"/>
      <c r="AH4" s="1440"/>
    </row>
    <row r="5" spans="1:34" s="1710" customFormat="1">
      <c r="A5" s="1708" t="s">
        <v>3023</v>
      </c>
      <c r="B5" s="1769">
        <f t="shared" ref="B5" si="2">B6*(1+N5)</f>
        <v>477.19997390765138</v>
      </c>
      <c r="C5" s="1769">
        <f t="shared" ref="C5" si="3">C6*(1+O5)</f>
        <v>351.84874729536665</v>
      </c>
      <c r="D5" s="1769">
        <f t="shared" ref="D5" si="4">C5</f>
        <v>351.84874729536665</v>
      </c>
      <c r="E5" s="1769">
        <f t="shared" ref="E5" si="5">E6*(1+P5)</f>
        <v>682.29768951465201</v>
      </c>
      <c r="F5" s="1769">
        <f t="shared" ref="F5" si="6">F6*(1+Q5)</f>
        <v>315.26985675409043</v>
      </c>
      <c r="G5" s="2919">
        <v>2019</v>
      </c>
      <c r="H5" s="1709">
        <v>4</v>
      </c>
      <c r="I5" s="2882">
        <v>0</v>
      </c>
      <c r="J5" s="2882">
        <v>0</v>
      </c>
      <c r="K5" s="2882">
        <v>0</v>
      </c>
      <c r="L5" s="2882">
        <v>0</v>
      </c>
      <c r="N5" s="1447">
        <f t="shared" ref="N5:N10" si="7">I5/100</f>
        <v>0</v>
      </c>
      <c r="O5" s="1447">
        <f t="shared" ref="O5" si="8">J5/100</f>
        <v>0</v>
      </c>
      <c r="P5" s="1447">
        <f t="shared" ref="P5" si="9">K5/100</f>
        <v>0</v>
      </c>
      <c r="Q5" s="1447">
        <f t="shared" ref="Q5" si="10">L5/100</f>
        <v>0</v>
      </c>
      <c r="R5" s="1711"/>
      <c r="S5" s="1712"/>
      <c r="T5" s="1711"/>
      <c r="U5" s="1711"/>
      <c r="V5" s="1711"/>
      <c r="W5" s="2885" t="s">
        <v>3006</v>
      </c>
      <c r="X5" s="1705">
        <f>ROUND(IF(项目基本情况!B7="出让",SUMPRODUCT(PRODUCT(1+N5:N$28)),SUMPRODUCT(PRODUCT(1+N5:N$27))),4)</f>
        <v>1.5516000000000001</v>
      </c>
      <c r="Y5" s="1705">
        <f>ROUND(IF(项目基本情况!B7="出让",SUMPRODUCT(PRODUCT(1+O5:O$28)),SUMPRODUCT(PRODUCT(1+O5:O$27))),4)</f>
        <v>1.3649</v>
      </c>
      <c r="Z5" s="1705">
        <f t="shared" ref="Z5" si="11">Y5</f>
        <v>1.3649</v>
      </c>
      <c r="AA5" s="1705">
        <f>ROUND(IF(项目基本情况!B7="出让",SUMPRODUCT(PRODUCT(1+P5:P$28)),SUMPRODUCT(PRODUCT(1+P5:P$27))),4)</f>
        <v>1.6133999999999999</v>
      </c>
      <c r="AB5" s="1705">
        <f>ROUND(IF(项目基本情况!B7="出让",SUMPRODUCT(PRODUCT(1+Q5:Q$28)),SUMPRODUCT(PRODUCT(1+Q5:Q$27))),4)</f>
        <v>1.3713</v>
      </c>
      <c r="AD5" s="1448">
        <f>ROUND(AVERAGE(I5:I$28)/100,4)</f>
        <v>1.9800000000000002E-2</v>
      </c>
      <c r="AE5" s="1448">
        <f>ROUND(AVERAGE(J5:J$28)/100,4)</f>
        <v>1.41E-2</v>
      </c>
      <c r="AF5" s="1448">
        <f t="shared" ref="AF5" si="12">AE5</f>
        <v>1.41E-2</v>
      </c>
      <c r="AG5" s="1448">
        <f>ROUND(AVERAGE(K5:K$28)/100,4)</f>
        <v>2.1600000000000001E-2</v>
      </c>
      <c r="AH5" s="1448">
        <f>ROUND(AVERAGE(L5:L$28)/100,4)</f>
        <v>1.38E-2</v>
      </c>
    </row>
    <row r="6" spans="1:34" s="1446" customFormat="1" ht="13.8" thickBot="1">
      <c r="A6" s="1441" t="s">
        <v>3022</v>
      </c>
      <c r="B6" s="1457">
        <f t="shared" ref="B6" si="13">B7*(1+N6)</f>
        <v>477.19997390765138</v>
      </c>
      <c r="C6" s="1457">
        <f t="shared" ref="C6" si="14">C7*(1+O6)</f>
        <v>351.84874729536665</v>
      </c>
      <c r="D6" s="1457">
        <f t="shared" ref="D6" si="15">C6</f>
        <v>351.84874729536665</v>
      </c>
      <c r="E6" s="1457">
        <f t="shared" ref="E6" si="16">E7*(1+P6)</f>
        <v>682.29768951465201</v>
      </c>
      <c r="F6" s="1457">
        <f t="shared" ref="F6" si="17">F7*(1+Q6)</f>
        <v>315.26985675409043</v>
      </c>
      <c r="G6" s="2919">
        <v>2019</v>
      </c>
      <c r="H6" s="1444">
        <v>3</v>
      </c>
      <c r="I6" s="1444">
        <v>0.61</v>
      </c>
      <c r="J6" s="1444">
        <v>0.67</v>
      </c>
      <c r="K6" s="1444">
        <v>0.6</v>
      </c>
      <c r="L6" s="1458">
        <v>1.03</v>
      </c>
      <c r="M6" s="1451"/>
      <c r="N6" s="1452">
        <f t="shared" si="7"/>
        <v>6.0999999999999995E-3</v>
      </c>
      <c r="O6" s="1453">
        <f t="shared" ref="O6" si="18">J6/100</f>
        <v>6.7000000000000002E-3</v>
      </c>
      <c r="P6" s="1453">
        <f t="shared" ref="P6" si="19">K6/100</f>
        <v>6.0000000000000001E-3</v>
      </c>
      <c r="Q6" s="1453">
        <f t="shared" ref="Q6" si="20">L6/100</f>
        <v>1.03E-2</v>
      </c>
      <c r="R6" s="1454"/>
      <c r="S6" s="1452"/>
      <c r="T6" s="1453"/>
      <c r="U6" s="1453"/>
      <c r="V6" s="1453"/>
      <c r="W6" s="1768"/>
      <c r="X6" s="1766">
        <f>ROUND(IF(项目基本情况!B8="出让",SUMPRODUCT(PRODUCT(1+N6:N$28)),SUMPRODUCT(PRODUCT(1+N6:N$27))),4)</f>
        <v>1.5516000000000001</v>
      </c>
      <c r="Y6" s="1766">
        <f>ROUND(IF(项目基本情况!B8="出让",SUMPRODUCT(PRODUCT(1+O6:O$28)),SUMPRODUCT(PRODUCT(1+O6:O$27))),4)</f>
        <v>1.3649</v>
      </c>
      <c r="Z6" s="1766">
        <f t="shared" ref="Z6" si="21">Y6</f>
        <v>1.3649</v>
      </c>
      <c r="AA6" s="1766">
        <f>ROUND(IF(项目基本情况!B8="出让",SUMPRODUCT(PRODUCT(1+P6:P$28)),SUMPRODUCT(PRODUCT(1+P6:P$27))),4)</f>
        <v>1.6133999999999999</v>
      </c>
      <c r="AB6" s="1766">
        <f>ROUND(IF(项目基本情况!B8="出让",SUMPRODUCT(PRODUCT(1+Q6:Q$28)),SUMPRODUCT(PRODUCT(1+Q6:Q$27))),4)</f>
        <v>1.3713</v>
      </c>
      <c r="AC6" s="1768"/>
      <c r="AD6" s="1767">
        <f>ROUND(AVERAGE(I6:I$28)/100,4)</f>
        <v>2.07E-2</v>
      </c>
      <c r="AE6" s="1767">
        <f>ROUND(AVERAGE(J6:J$28)/100,4)</f>
        <v>1.47E-2</v>
      </c>
      <c r="AF6" s="1767">
        <f t="shared" ref="AF6" si="22">AE6</f>
        <v>1.47E-2</v>
      </c>
      <c r="AG6" s="1767">
        <f>ROUND(AVERAGE(K6:K$28)/100,4)</f>
        <v>2.2599999999999999E-2</v>
      </c>
      <c r="AH6" s="1767">
        <f>ROUND(AVERAGE(L6:L$28)/100,4)</f>
        <v>1.44E-2</v>
      </c>
    </row>
    <row r="7" spans="1:34" s="1446" customFormat="1">
      <c r="A7" s="1441" t="s">
        <v>3020</v>
      </c>
      <c r="B7" s="1457">
        <f t="shared" ref="B7" si="23">B8*(1+N7)</f>
        <v>474.30670301923408</v>
      </c>
      <c r="C7" s="1457">
        <f t="shared" ref="C7" si="24">C8*(1+O7)</f>
        <v>349.50705005996491</v>
      </c>
      <c r="D7" s="1457">
        <f t="shared" ref="D7" si="25">C7</f>
        <v>349.50705005996491</v>
      </c>
      <c r="E7" s="1457">
        <f t="shared" ref="E7" si="26">E8*(1+P7)</f>
        <v>678.22831959706957</v>
      </c>
      <c r="F7" s="1457">
        <f t="shared" ref="F7" si="27">F8*(1+Q7)</f>
        <v>312.0556832169558</v>
      </c>
      <c r="G7" s="2915">
        <v>2019</v>
      </c>
      <c r="H7" s="1442">
        <v>2</v>
      </c>
      <c r="I7" s="1442">
        <v>1.53</v>
      </c>
      <c r="J7" s="1442">
        <v>1.01</v>
      </c>
      <c r="K7" s="1442">
        <v>1.62</v>
      </c>
      <c r="L7" s="1443">
        <v>1.25</v>
      </c>
      <c r="M7" s="1451"/>
      <c r="N7" s="1452">
        <f t="shared" si="7"/>
        <v>1.5300000000000001E-2</v>
      </c>
      <c r="O7" s="1453">
        <f t="shared" ref="O7" si="28">J7/100</f>
        <v>1.01E-2</v>
      </c>
      <c r="P7" s="1453">
        <f t="shared" ref="P7" si="29">K7/100</f>
        <v>1.6200000000000003E-2</v>
      </c>
      <c r="Q7" s="1453">
        <f t="shared" ref="Q7" si="30">L7/100</f>
        <v>1.2500000000000001E-2</v>
      </c>
      <c r="R7" s="1454"/>
      <c r="S7" s="1452"/>
      <c r="T7" s="1453"/>
      <c r="U7" s="1453"/>
      <c r="V7" s="1453"/>
      <c r="W7" s="1768"/>
      <c r="X7" s="1766">
        <f>ROUND(IF(项目基本情况!B8="出让",SUMPRODUCT(PRODUCT(1+N7:N$28)),SUMPRODUCT(PRODUCT(1+N7:N$27))),4)</f>
        <v>1.5422</v>
      </c>
      <c r="Y7" s="1766">
        <f>ROUND(IF(项目基本情况!B8="出让",SUMPRODUCT(PRODUCT(1+O7:O$28)),SUMPRODUCT(PRODUCT(1+O7:O$27))),4)</f>
        <v>1.3557999999999999</v>
      </c>
      <c r="Z7" s="1766">
        <f t="shared" ref="Z7" si="31">Y7</f>
        <v>1.3557999999999999</v>
      </c>
      <c r="AA7" s="1766">
        <f>ROUND(IF(项目基本情况!B8="出让",SUMPRODUCT(PRODUCT(1+P7:P$28)),SUMPRODUCT(PRODUCT(1+P7:P$27))),4)</f>
        <v>1.6036999999999999</v>
      </c>
      <c r="AB7" s="1766">
        <f>ROUND(IF(项目基本情况!B8="出让",SUMPRODUCT(PRODUCT(1+Q7:Q$28)),SUMPRODUCT(PRODUCT(1+Q7:Q$27))),4)</f>
        <v>1.3573</v>
      </c>
      <c r="AC7" s="1768"/>
      <c r="AD7" s="1767">
        <f>ROUND(AVERAGE(I7:I$28)/100,4)</f>
        <v>2.1299999999999999E-2</v>
      </c>
      <c r="AE7" s="1767">
        <f>ROUND(AVERAGE(J7:J$28)/100,4)</f>
        <v>1.4999999999999999E-2</v>
      </c>
      <c r="AF7" s="1767">
        <f t="shared" ref="AF7" si="32">AE7</f>
        <v>1.4999999999999999E-2</v>
      </c>
      <c r="AG7" s="1767">
        <f>ROUND(AVERAGE(K7:K$28)/100,4)</f>
        <v>2.3300000000000001E-2</v>
      </c>
      <c r="AH7" s="1767">
        <f>ROUND(AVERAGE(L7:L$28)/100,4)</f>
        <v>1.46E-2</v>
      </c>
    </row>
    <row r="8" spans="1:34" s="1446" customFormat="1" ht="13.8" thickBot="1">
      <c r="A8" s="1441" t="s">
        <v>3018</v>
      </c>
      <c r="B8" s="1457">
        <f t="shared" ref="B8" si="33">B9*(1+N8)</f>
        <v>467.15916775261894</v>
      </c>
      <c r="C8" s="1457">
        <f t="shared" ref="C8" si="34">C9*(1+O8)</f>
        <v>346.01232557169084</v>
      </c>
      <c r="D8" s="1457">
        <f t="shared" ref="D8" si="35">C8</f>
        <v>346.01232557169084</v>
      </c>
      <c r="E8" s="1457">
        <f t="shared" ref="E8" si="36">E9*(1+P8)</f>
        <v>667.41617752122568</v>
      </c>
      <c r="F8" s="1457">
        <f t="shared" ref="F8" si="37">F9*(1+Q8)</f>
        <v>308.20314391798104</v>
      </c>
      <c r="G8" s="2899">
        <v>2019</v>
      </c>
      <c r="H8" s="1444">
        <v>1</v>
      </c>
      <c r="I8" s="1444">
        <v>0.6</v>
      </c>
      <c r="J8" s="1444">
        <v>0.37</v>
      </c>
      <c r="K8" s="1444">
        <v>0.63</v>
      </c>
      <c r="L8" s="1458">
        <v>1.1299999999999999</v>
      </c>
      <c r="M8" s="1451"/>
      <c r="N8" s="1452">
        <f t="shared" si="7"/>
        <v>6.0000000000000001E-3</v>
      </c>
      <c r="O8" s="1453">
        <f t="shared" ref="O8" si="38">J8/100</f>
        <v>3.7000000000000002E-3</v>
      </c>
      <c r="P8" s="1453">
        <f t="shared" ref="P8" si="39">K8/100</f>
        <v>6.3E-3</v>
      </c>
      <c r="Q8" s="1453">
        <f t="shared" ref="Q8" si="40">L8/100</f>
        <v>1.1299999999999999E-2</v>
      </c>
      <c r="R8" s="1454"/>
      <c r="S8" s="1452">
        <f>B8/B9-1</f>
        <v>6.0000000000000053E-3</v>
      </c>
      <c r="T8" s="1453">
        <f t="shared" ref="T8" si="41">C8/C9-1</f>
        <v>3.7000000000000366E-3</v>
      </c>
      <c r="U8" s="1453">
        <f t="shared" ref="U8" si="42">D8/D9-1</f>
        <v>3.7000000000000366E-3</v>
      </c>
      <c r="V8" s="1453">
        <f t="shared" ref="V8" si="43">E8/E9-1</f>
        <v>6.2999999999999723E-3</v>
      </c>
      <c r="W8" s="1768"/>
      <c r="X8" s="1766">
        <f>ROUND(IF(项目基本情况!B8="出让",SUMPRODUCT(PRODUCT(1+N8:N$28)),SUMPRODUCT(PRODUCT(1+N8:N$27))),4)</f>
        <v>1.5189999999999999</v>
      </c>
      <c r="Y8" s="1766">
        <f>ROUND(IF(项目基本情况!B8="出让",SUMPRODUCT(PRODUCT(1+O8:O$28)),SUMPRODUCT(PRODUCT(1+O8:O$27))),4)</f>
        <v>1.3423</v>
      </c>
      <c r="Z8" s="1766">
        <f t="shared" ref="Z8" si="44">Y8</f>
        <v>1.3423</v>
      </c>
      <c r="AA8" s="1766">
        <f>ROUND(IF(项目基本情况!B8="出让",SUMPRODUCT(PRODUCT(1+P8:P$28)),SUMPRODUCT(PRODUCT(1+P8:P$27))),4)</f>
        <v>1.5782</v>
      </c>
      <c r="AB8" s="1766">
        <f>ROUND(IF(项目基本情况!B8="出让",SUMPRODUCT(PRODUCT(1+Q8:Q$28)),SUMPRODUCT(PRODUCT(1+Q8:Q$27))),4)</f>
        <v>1.3405</v>
      </c>
      <c r="AC8" s="1768"/>
      <c r="AD8" s="1767">
        <f>ROUND(AVERAGE(I8:I$28)/100,4)</f>
        <v>2.1600000000000001E-2</v>
      </c>
      <c r="AE8" s="1767">
        <f>ROUND(AVERAGE(J8:J$28)/100,4)</f>
        <v>1.5299999999999999E-2</v>
      </c>
      <c r="AF8" s="1767">
        <f t="shared" ref="AF8" si="45">AE8</f>
        <v>1.5299999999999999E-2</v>
      </c>
      <c r="AG8" s="1767">
        <f>ROUND(AVERAGE(K8:K$28)/100,4)</f>
        <v>2.3699999999999999E-2</v>
      </c>
      <c r="AH8" s="1767">
        <f>ROUND(AVERAGE(L8:L$28)/100,4)</f>
        <v>1.47E-2</v>
      </c>
    </row>
    <row r="9" spans="1:34" s="1446" customFormat="1">
      <c r="A9" s="1441" t="s">
        <v>3021</v>
      </c>
      <c r="B9" s="2916">
        <f t="shared" ref="B9" si="46">B10*(1+N9)</f>
        <v>464.37293017158942</v>
      </c>
      <c r="C9" s="2916">
        <f t="shared" ref="C9" si="47">C10*(1+O9)</f>
        <v>344.73679941385956</v>
      </c>
      <c r="D9" s="2916">
        <f t="shared" ref="D9" si="48">C9</f>
        <v>344.73679941385956</v>
      </c>
      <c r="E9" s="2916">
        <f t="shared" ref="E9" si="49">E10*(1+P9)</f>
        <v>663.2377795103107</v>
      </c>
      <c r="F9" s="2917">
        <f t="shared" ref="F9" si="50">F10*(1+Q9)</f>
        <v>304.75936311478398</v>
      </c>
      <c r="G9" s="3828">
        <v>2018</v>
      </c>
      <c r="H9" s="1442">
        <v>4</v>
      </c>
      <c r="I9" s="1442">
        <v>0.96</v>
      </c>
      <c r="J9" s="1442">
        <v>1.03</v>
      </c>
      <c r="K9" s="1442">
        <v>0.92</v>
      </c>
      <c r="L9" s="1443">
        <v>1.29</v>
      </c>
      <c r="M9" s="1451"/>
      <c r="N9" s="1452">
        <f t="shared" si="7"/>
        <v>9.5999999999999992E-3</v>
      </c>
      <c r="O9" s="1453">
        <f t="shared" ref="O9" si="51">J9/100</f>
        <v>1.03E-2</v>
      </c>
      <c r="P9" s="1453">
        <f t="shared" ref="P9" si="52">K9/100</f>
        <v>9.1999999999999998E-3</v>
      </c>
      <c r="Q9" s="1453">
        <f t="shared" ref="Q9" si="53">L9/100</f>
        <v>1.29E-2</v>
      </c>
      <c r="R9" s="1454"/>
      <c r="S9" s="1452"/>
      <c r="T9" s="1453"/>
      <c r="U9" s="1453"/>
      <c r="V9" s="1453"/>
      <c r="W9" s="1768"/>
      <c r="X9" s="1766">
        <f>ROUND(SUMPRODUCT(PRODUCT(1+N9:N$27)),4)</f>
        <v>1.5099</v>
      </c>
      <c r="Y9" s="1766">
        <f>ROUND(SUMPRODUCT(PRODUCT(1+O9:O$27)),4)</f>
        <v>1.3372999999999999</v>
      </c>
      <c r="Z9" s="1766">
        <f t="shared" ref="Z9" si="54">Y9</f>
        <v>1.3372999999999999</v>
      </c>
      <c r="AA9" s="1766">
        <f>ROUND(SUMPRODUCT(PRODUCT(1+P9:P$27)),4)</f>
        <v>1.5683</v>
      </c>
      <c r="AB9" s="1766">
        <f>ROUND(SUMPRODUCT(PRODUCT(1+Q9:Q$27)),4)</f>
        <v>1.3255999999999999</v>
      </c>
      <c r="AC9" s="1768"/>
      <c r="AD9" s="1767">
        <f>ROUND(AVERAGE(I9:I$28)/100,4)</f>
        <v>2.24E-2</v>
      </c>
      <c r="AE9" s="1767">
        <f>ROUND(AVERAGE(J9:J$28)/100,4)</f>
        <v>1.5800000000000002E-2</v>
      </c>
      <c r="AF9" s="1767">
        <f t="shared" ref="AF9" si="55">AE9</f>
        <v>1.5800000000000002E-2</v>
      </c>
      <c r="AG9" s="1767">
        <f>ROUND(AVERAGE(K9:K$28)/100,4)</f>
        <v>2.4500000000000001E-2</v>
      </c>
      <c r="AH9" s="1767">
        <f>ROUND(AVERAGE(L9:L$28)/100,4)</f>
        <v>1.49E-2</v>
      </c>
    </row>
    <row r="10" spans="1:34" s="1446" customFormat="1" ht="14.4" customHeight="1">
      <c r="A10" s="1441" t="s">
        <v>3012</v>
      </c>
      <c r="B10" s="1457">
        <f t="shared" ref="B10" si="56">B11*(1+N10)</f>
        <v>459.95733971036987</v>
      </c>
      <c r="C10" s="1457">
        <f t="shared" ref="C10" si="57">C11*(1+O10)</f>
        <v>341.22221064422405</v>
      </c>
      <c r="D10" s="1457">
        <f t="shared" ref="D10" si="58">C10</f>
        <v>341.22221064422405</v>
      </c>
      <c r="E10" s="1457">
        <f t="shared" ref="E10" si="59">E11*(1+P10)</f>
        <v>657.19161663724799</v>
      </c>
      <c r="F10" s="1457">
        <f t="shared" ref="F10" si="60">F11*(1+Q10)</f>
        <v>300.87803644464805</v>
      </c>
      <c r="G10" s="3828"/>
      <c r="H10" s="1444">
        <v>3</v>
      </c>
      <c r="I10" s="1444">
        <v>1.51</v>
      </c>
      <c r="J10" s="1444">
        <v>1.41</v>
      </c>
      <c r="K10" s="1444">
        <v>1.52</v>
      </c>
      <c r="L10" s="1458">
        <v>1.74</v>
      </c>
      <c r="M10" s="1451"/>
      <c r="N10" s="1452">
        <f t="shared" si="7"/>
        <v>1.5100000000000001E-2</v>
      </c>
      <c r="O10" s="1453">
        <f t="shared" ref="O10" si="61">J10/100</f>
        <v>1.41E-2</v>
      </c>
      <c r="P10" s="1453">
        <f t="shared" ref="P10" si="62">K10/100</f>
        <v>1.52E-2</v>
      </c>
      <c r="Q10" s="1453">
        <f t="shared" ref="Q10" si="63">L10/100</f>
        <v>1.7399999999999999E-2</v>
      </c>
      <c r="R10" s="1454"/>
      <c r="S10" s="1452"/>
      <c r="T10" s="1453"/>
      <c r="U10" s="1453"/>
      <c r="V10" s="1453"/>
      <c r="W10" s="1768"/>
      <c r="X10" s="1766">
        <f>ROUND(SUMPRODUCT(PRODUCT(1+N10:N$27)),4)</f>
        <v>1.4956</v>
      </c>
      <c r="Y10" s="1766">
        <f>ROUND(SUMPRODUCT(PRODUCT(1+O10:O$27)),4)</f>
        <v>1.3237000000000001</v>
      </c>
      <c r="Z10" s="1766">
        <f t="shared" ref="Z10" si="64">Y10</f>
        <v>1.3237000000000001</v>
      </c>
      <c r="AA10" s="1766">
        <f>ROUND(SUMPRODUCT(PRODUCT(1+P10:P$27)),4)</f>
        <v>1.554</v>
      </c>
      <c r="AB10" s="1766">
        <f>ROUND(SUMPRODUCT(PRODUCT(1+Q10:Q$27)),4)</f>
        <v>1.3087</v>
      </c>
      <c r="AC10" s="1768"/>
      <c r="AD10" s="1767">
        <f>ROUND(AVERAGE(I10:I$28)/100,4)</f>
        <v>2.3099999999999999E-2</v>
      </c>
      <c r="AE10" s="1767">
        <f>ROUND(AVERAGE(J10:J$28)/100,4)</f>
        <v>1.61E-2</v>
      </c>
      <c r="AF10" s="1767">
        <f t="shared" ref="AF10" si="65">AE10</f>
        <v>1.61E-2</v>
      </c>
      <c r="AG10" s="1767">
        <f>ROUND(AVERAGE(K10:K$28)/100,4)</f>
        <v>2.53E-2</v>
      </c>
      <c r="AH10" s="1767">
        <f>ROUND(AVERAGE(L10:L$28)/100,4)</f>
        <v>1.4999999999999999E-2</v>
      </c>
    </row>
    <row r="11" spans="1:34" s="1446" customFormat="1" ht="14.4" customHeight="1">
      <c r="A11" s="1441" t="s">
        <v>3011</v>
      </c>
      <c r="B11" s="1457">
        <f t="shared" ref="B11" si="66">B12*(1+N11)</f>
        <v>453.11529869999993</v>
      </c>
      <c r="C11" s="1457">
        <f t="shared" ref="C11" si="67">C12*(1+O11)</f>
        <v>336.47787264000004</v>
      </c>
      <c r="D11" s="1457">
        <f t="shared" ref="D11" si="68">C11</f>
        <v>336.47787264000004</v>
      </c>
      <c r="E11" s="1457">
        <f t="shared" ref="E11" si="69">E12*(1+P11)</f>
        <v>647.35186823999993</v>
      </c>
      <c r="F11" s="1457">
        <f t="shared" ref="F11" si="70">F12*(1+Q11)</f>
        <v>295.73229452000004</v>
      </c>
      <c r="G11" s="3828"/>
      <c r="H11" s="1445">
        <v>2</v>
      </c>
      <c r="I11" s="1445">
        <v>1.49</v>
      </c>
      <c r="J11" s="1445">
        <v>0.96</v>
      </c>
      <c r="K11" s="1445">
        <v>1.58</v>
      </c>
      <c r="L11" s="1459">
        <v>2.44</v>
      </c>
      <c r="M11" s="1451"/>
      <c r="N11" s="1452">
        <f t="shared" ref="N11" si="71">I11/100</f>
        <v>1.49E-2</v>
      </c>
      <c r="O11" s="1453">
        <f t="shared" ref="O11" si="72">J11/100</f>
        <v>9.5999999999999992E-3</v>
      </c>
      <c r="P11" s="1453">
        <f t="shared" ref="P11" si="73">K11/100</f>
        <v>1.5800000000000002E-2</v>
      </c>
      <c r="Q11" s="1453">
        <f t="shared" ref="Q11" si="74">L11/100</f>
        <v>2.4399999999999998E-2</v>
      </c>
      <c r="R11" s="1454"/>
      <c r="S11" s="1452"/>
      <c r="T11" s="1453"/>
      <c r="U11" s="1453"/>
      <c r="V11" s="1453"/>
      <c r="W11" s="1768"/>
      <c r="X11" s="1766">
        <f>ROUND(SUMPRODUCT(PRODUCT(1+N11:N$27)),4)</f>
        <v>1.4733000000000001</v>
      </c>
      <c r="Y11" s="1766">
        <f>ROUND(SUMPRODUCT(PRODUCT(1+O11:O$27)),4)</f>
        <v>1.3052999999999999</v>
      </c>
      <c r="Z11" s="1766">
        <f t="shared" ref="Z11" si="75">Y11</f>
        <v>1.3052999999999999</v>
      </c>
      <c r="AA11" s="1766">
        <f>ROUND(SUMPRODUCT(PRODUCT(1+P11:P$27)),4)</f>
        <v>1.5306999999999999</v>
      </c>
      <c r="AB11" s="1766">
        <f>ROUND(SUMPRODUCT(PRODUCT(1+Q11:Q$27)),4)</f>
        <v>1.2863</v>
      </c>
      <c r="AC11" s="1768"/>
      <c r="AD11" s="1767">
        <f>ROUND(AVERAGE(I11:I$28)/100,4)</f>
        <v>2.35E-2</v>
      </c>
      <c r="AE11" s="1767">
        <f>ROUND(AVERAGE(J11:J$28)/100,4)</f>
        <v>1.6199999999999999E-2</v>
      </c>
      <c r="AF11" s="1767">
        <f t="shared" ref="AF11" si="76">AE11</f>
        <v>1.6199999999999999E-2</v>
      </c>
      <c r="AG11" s="1767">
        <f>ROUND(AVERAGE(K11:K$28)/100,4)</f>
        <v>2.5899999999999999E-2</v>
      </c>
      <c r="AH11" s="1767">
        <f>ROUND(AVERAGE(L11:L$28)/100,4)</f>
        <v>1.49E-2</v>
      </c>
    </row>
    <row r="12" spans="1:34" s="1446" customFormat="1" ht="15" customHeight="1" thickBot="1">
      <c r="A12" s="1441" t="s">
        <v>3004</v>
      </c>
      <c r="B12" s="1457">
        <f t="shared" ref="B12" si="77">B13*(1+N12)</f>
        <v>446.46299999999997</v>
      </c>
      <c r="C12" s="1457">
        <f t="shared" ref="C12" si="78">C13*(1+O12)</f>
        <v>333.27840000000003</v>
      </c>
      <c r="D12" s="1457">
        <f t="shared" ref="D12" si="79">C12</f>
        <v>333.27840000000003</v>
      </c>
      <c r="E12" s="1457">
        <f t="shared" ref="E12" si="80">E13*(1+P12)</f>
        <v>637.28279999999995</v>
      </c>
      <c r="F12" s="1457">
        <f t="shared" ref="F12" si="81">F13*(1+Q12)</f>
        <v>288.68830000000003</v>
      </c>
      <c r="G12" s="3837"/>
      <c r="H12" s="1444">
        <v>1</v>
      </c>
      <c r="I12" s="1444">
        <v>1.7</v>
      </c>
      <c r="J12" s="1444">
        <v>1.92</v>
      </c>
      <c r="K12" s="1444">
        <v>1.64</v>
      </c>
      <c r="L12" s="1458">
        <v>2.0099999999999998</v>
      </c>
      <c r="M12" s="1451"/>
      <c r="N12" s="1452">
        <f t="shared" ref="N12:N17" si="82">I12/100</f>
        <v>1.7000000000000001E-2</v>
      </c>
      <c r="O12" s="1453">
        <f t="shared" ref="O12" si="83">J12/100</f>
        <v>1.9199999999999998E-2</v>
      </c>
      <c r="P12" s="1453">
        <f t="shared" ref="P12" si="84">K12/100</f>
        <v>1.6399999999999998E-2</v>
      </c>
      <c r="Q12" s="1453">
        <f t="shared" ref="Q12" si="85">L12/100</f>
        <v>2.0099999999999996E-2</v>
      </c>
      <c r="R12" s="1454"/>
      <c r="S12" s="1452">
        <f>B12/B13-1</f>
        <v>1.6999999999999904E-2</v>
      </c>
      <c r="T12" s="1453">
        <f t="shared" ref="T12" si="86">C12/C13-1</f>
        <v>1.9200000000000106E-2</v>
      </c>
      <c r="U12" s="1453">
        <f t="shared" ref="U12" si="87">D12/D13-1</f>
        <v>1.9200000000000106E-2</v>
      </c>
      <c r="V12" s="1453">
        <f t="shared" ref="V12" si="88">E12/E13-1</f>
        <v>1.639999999999997E-2</v>
      </c>
      <c r="W12" s="1768"/>
      <c r="X12" s="1766">
        <f>ROUND(SUMPRODUCT(PRODUCT(1+N12:N$27)),4)</f>
        <v>1.4517</v>
      </c>
      <c r="Y12" s="1766">
        <f>ROUND(SUMPRODUCT(PRODUCT(1+O12:O$27)),4)</f>
        <v>1.2928999999999999</v>
      </c>
      <c r="Z12" s="1766">
        <f t="shared" ref="Z12" si="89">Y12</f>
        <v>1.2928999999999999</v>
      </c>
      <c r="AA12" s="1766">
        <f>ROUND(SUMPRODUCT(PRODUCT(1+P12:P$27)),4)</f>
        <v>1.5068999999999999</v>
      </c>
      <c r="AB12" s="1766">
        <f>ROUND(SUMPRODUCT(PRODUCT(1+Q12:Q$27)),4)</f>
        <v>1.2557</v>
      </c>
      <c r="AC12" s="1768"/>
      <c r="AD12" s="1767">
        <f>ROUND(AVERAGE(I12:I$28)/100,4)</f>
        <v>2.4E-2</v>
      </c>
      <c r="AE12" s="1767">
        <f>ROUND(AVERAGE(J12:J$28)/100,4)</f>
        <v>1.66E-2</v>
      </c>
      <c r="AF12" s="1767">
        <f t="shared" ref="AF12" si="90">AE12</f>
        <v>1.66E-2</v>
      </c>
      <c r="AG12" s="1767">
        <f>ROUND(AVERAGE(K12:K$28)/100,4)</f>
        <v>2.6499999999999999E-2</v>
      </c>
      <c r="AH12" s="1767">
        <f>ROUND(AVERAGE(L12:L$28)/100,4)</f>
        <v>1.43E-2</v>
      </c>
    </row>
    <row r="13" spans="1:34">
      <c r="A13" s="1441" t="s">
        <v>3001</v>
      </c>
      <c r="B13" s="1449">
        <v>439</v>
      </c>
      <c r="C13" s="1449">
        <v>327</v>
      </c>
      <c r="D13" s="1449">
        <f>C13</f>
        <v>327</v>
      </c>
      <c r="E13" s="1449">
        <v>627</v>
      </c>
      <c r="F13" s="1450">
        <v>283</v>
      </c>
      <c r="G13" s="3833">
        <v>2017</v>
      </c>
      <c r="H13" s="1442">
        <v>4</v>
      </c>
      <c r="I13" s="1442">
        <v>1.71</v>
      </c>
      <c r="J13" s="1442">
        <v>1.78</v>
      </c>
      <c r="K13" s="1442">
        <v>1.71</v>
      </c>
      <c r="L13" s="1443">
        <v>1.43</v>
      </c>
      <c r="N13" s="1452">
        <f t="shared" si="82"/>
        <v>1.7100000000000001E-2</v>
      </c>
      <c r="O13" s="1453">
        <f t="shared" ref="O13" si="91">J13/100</f>
        <v>1.78E-2</v>
      </c>
      <c r="P13" s="1453">
        <f t="shared" ref="P13" si="92">K13/100</f>
        <v>1.7100000000000001E-2</v>
      </c>
      <c r="Q13" s="1453">
        <f t="shared" ref="Q13" si="93">L13/100</f>
        <v>1.43E-2</v>
      </c>
      <c r="R13" s="1454"/>
      <c r="S13" s="1455"/>
      <c r="T13" s="1456"/>
      <c r="U13" s="1456"/>
      <c r="V13" s="1456"/>
      <c r="X13" s="1439">
        <f>ROUND(SUMPRODUCT(PRODUCT(1+N13:N$27)),4)</f>
        <v>1.4274</v>
      </c>
      <c r="Y13" s="1439">
        <f>ROUND(SUMPRODUCT(PRODUCT(1+O13:O$27)),4)</f>
        <v>1.2685</v>
      </c>
      <c r="Z13" s="1439">
        <f t="shared" si="0"/>
        <v>1.2685</v>
      </c>
      <c r="AA13" s="1439">
        <f>ROUND(SUMPRODUCT(PRODUCT(1+P13:P$27)),4)</f>
        <v>1.4825999999999999</v>
      </c>
      <c r="AB13" s="1439">
        <f>ROUND(SUMPRODUCT(PRODUCT(1+Q13:Q$27)),4)</f>
        <v>1.2309000000000001</v>
      </c>
      <c r="AD13" s="1440">
        <f>ROUND(AVERAGE(I13:I$28)/100,4)</f>
        <v>2.4500000000000001E-2</v>
      </c>
      <c r="AE13" s="1440">
        <f>ROUND(AVERAGE(J13:J$28)/100,4)</f>
        <v>1.6500000000000001E-2</v>
      </c>
      <c r="AF13" s="1440">
        <f t="shared" si="1"/>
        <v>1.6500000000000001E-2</v>
      </c>
      <c r="AG13" s="1440">
        <f>ROUND(AVERAGE(K13:K$28)/100,4)</f>
        <v>2.7099999999999999E-2</v>
      </c>
      <c r="AH13" s="1440">
        <f>ROUND(AVERAGE(L13:L$28)/100,4)</f>
        <v>1.3899999999999999E-2</v>
      </c>
    </row>
    <row r="14" spans="1:34" s="1446" customFormat="1" ht="14.4" customHeight="1">
      <c r="A14" s="1441" t="s">
        <v>3002</v>
      </c>
      <c r="B14" s="1457">
        <f t="shared" ref="B14:B15" si="94">B15*(1+N14)</f>
        <v>431.80730811680002</v>
      </c>
      <c r="C14" s="1457">
        <f t="shared" ref="C14:C15" si="95">C15*(1+O14)</f>
        <v>320.57880516480003</v>
      </c>
      <c r="D14" s="1457">
        <f t="shared" ref="D14:D15" si="96">C14</f>
        <v>320.57880516480003</v>
      </c>
      <c r="E14" s="1457">
        <f t="shared" ref="E14:E15" si="97">E15*(1+P14)</f>
        <v>615.96110553196797</v>
      </c>
      <c r="F14" s="1457">
        <f t="shared" ref="F14:F15" si="98">F15*(1+Q14)</f>
        <v>279.46777300108801</v>
      </c>
      <c r="G14" s="3828"/>
      <c r="H14" s="1444">
        <v>3</v>
      </c>
      <c r="I14" s="1444">
        <v>2.98</v>
      </c>
      <c r="J14" s="1444">
        <v>2.11</v>
      </c>
      <c r="K14" s="1444">
        <v>3.24</v>
      </c>
      <c r="L14" s="1458">
        <v>1.72</v>
      </c>
      <c r="M14" s="1451"/>
      <c r="N14" s="1452">
        <f t="shared" si="82"/>
        <v>2.98E-2</v>
      </c>
      <c r="O14" s="1453">
        <f t="shared" ref="O14" si="99">J14/100</f>
        <v>2.1099999999999997E-2</v>
      </c>
      <c r="P14" s="1453">
        <f t="shared" ref="P14" si="100">K14/100</f>
        <v>3.2400000000000005E-2</v>
      </c>
      <c r="Q14" s="1453">
        <f t="shared" ref="Q14" si="101">L14/100</f>
        <v>1.72E-2</v>
      </c>
      <c r="R14" s="1454"/>
      <c r="S14" s="1452"/>
      <c r="T14" s="1453"/>
      <c r="U14" s="1453"/>
      <c r="V14" s="1453"/>
      <c r="W14" s="1768"/>
      <c r="X14" s="1766">
        <f>ROUND(SUMPRODUCT(PRODUCT(1+N14:N$27)),4)</f>
        <v>1.4034</v>
      </c>
      <c r="Y14" s="1766">
        <f>ROUND(SUMPRODUCT(PRODUCT(1+O14:O$27)),4)</f>
        <v>1.2463</v>
      </c>
      <c r="Z14" s="1766">
        <f t="shared" si="0"/>
        <v>1.2463</v>
      </c>
      <c r="AA14" s="1766">
        <f>ROUND(SUMPRODUCT(PRODUCT(1+P14:P$27)),4)</f>
        <v>1.4577</v>
      </c>
      <c r="AB14" s="1766">
        <f>ROUND(SUMPRODUCT(PRODUCT(1+Q14:Q$27)),4)</f>
        <v>1.2136</v>
      </c>
      <c r="AC14" s="1768"/>
      <c r="AD14" s="1767">
        <f>ROUND(AVERAGE(I14:I$28)/100,4)</f>
        <v>2.4899999999999999E-2</v>
      </c>
      <c r="AE14" s="1767">
        <f>ROUND(AVERAGE(J14:J$28)/100,4)</f>
        <v>1.6400000000000001E-2</v>
      </c>
      <c r="AF14" s="1767">
        <f t="shared" si="1"/>
        <v>1.6400000000000001E-2</v>
      </c>
      <c r="AG14" s="1767">
        <f>ROUND(AVERAGE(K14:K$28)/100,4)</f>
        <v>2.7799999999999998E-2</v>
      </c>
      <c r="AH14" s="1767">
        <f>ROUND(AVERAGE(L14:L$28)/100,4)</f>
        <v>1.3899999999999999E-2</v>
      </c>
    </row>
    <row r="15" spans="1:34" s="1710" customFormat="1" ht="14.4" customHeight="1">
      <c r="A15" s="1441" t="s">
        <v>1370</v>
      </c>
      <c r="B15" s="1457">
        <f t="shared" si="94"/>
        <v>419.31181600000002</v>
      </c>
      <c r="C15" s="1457">
        <f t="shared" si="95"/>
        <v>313.95436800000004</v>
      </c>
      <c r="D15" s="1457">
        <f t="shared" si="96"/>
        <v>313.95436800000004</v>
      </c>
      <c r="E15" s="1457">
        <f t="shared" si="97"/>
        <v>596.63028431999999</v>
      </c>
      <c r="F15" s="1457">
        <f t="shared" si="98"/>
        <v>274.74220703999998</v>
      </c>
      <c r="G15" s="3828"/>
      <c r="H15" s="1445">
        <v>2</v>
      </c>
      <c r="I15" s="1445">
        <v>3.4</v>
      </c>
      <c r="J15" s="1445">
        <v>2</v>
      </c>
      <c r="K15" s="1445">
        <v>3.82</v>
      </c>
      <c r="L15" s="1459">
        <v>1.68</v>
      </c>
      <c r="M15" s="1451"/>
      <c r="N15" s="1452">
        <f t="shared" si="82"/>
        <v>3.4000000000000002E-2</v>
      </c>
      <c r="O15" s="1453">
        <f t="shared" ref="O15" si="102">J15/100</f>
        <v>0.02</v>
      </c>
      <c r="P15" s="1453">
        <f t="shared" ref="P15" si="103">K15/100</f>
        <v>3.8199999999999998E-2</v>
      </c>
      <c r="Q15" s="1453">
        <f t="shared" ref="Q15" si="104">L15/100</f>
        <v>1.6799999999999999E-2</v>
      </c>
      <c r="R15" s="1454"/>
      <c r="S15" s="1455"/>
      <c r="T15" s="1456"/>
      <c r="U15" s="1456"/>
      <c r="V15" s="1456"/>
      <c r="W15" s="1433"/>
      <c r="X15" s="1766">
        <f>ROUND(SUMPRODUCT(PRODUCT(1+N15:N$27)),4)</f>
        <v>1.3628</v>
      </c>
      <c r="Y15" s="1766">
        <f>ROUND(SUMPRODUCT(PRODUCT(1+O15:O$27)),4)</f>
        <v>1.2205999999999999</v>
      </c>
      <c r="Z15" s="1766">
        <f t="shared" si="0"/>
        <v>1.2205999999999999</v>
      </c>
      <c r="AA15" s="1766">
        <f>ROUND(SUMPRODUCT(PRODUCT(1+P15:P$27)),4)</f>
        <v>1.4118999999999999</v>
      </c>
      <c r="AB15" s="1766">
        <f>ROUND(SUMPRODUCT(PRODUCT(1+Q15:Q$27)),4)</f>
        <v>1.1930000000000001</v>
      </c>
      <c r="AC15" s="1433"/>
      <c r="AD15" s="1767">
        <f>ROUND(AVERAGE(I15:I$28)/100,4)</f>
        <v>2.46E-2</v>
      </c>
      <c r="AE15" s="1767">
        <f>ROUND(AVERAGE(J15:J$28)/100,4)</f>
        <v>1.6E-2</v>
      </c>
      <c r="AF15" s="1767">
        <f t="shared" si="1"/>
        <v>1.6E-2</v>
      </c>
      <c r="AG15" s="1767">
        <f>ROUND(AVERAGE(K15:K$28)/100,4)</f>
        <v>2.75E-2</v>
      </c>
      <c r="AH15" s="1767">
        <f>ROUND(AVERAGE(L15:L$28)/100,4)</f>
        <v>1.37E-2</v>
      </c>
    </row>
    <row r="16" spans="1:34" s="1446" customFormat="1" ht="15" customHeight="1" thickBot="1">
      <c r="A16" s="1441" t="s">
        <v>1150</v>
      </c>
      <c r="B16" s="1457">
        <f>B17*(1+N16)</f>
        <v>405.524</v>
      </c>
      <c r="C16" s="1457">
        <f>C17*(1+O16)</f>
        <v>307.79840000000002</v>
      </c>
      <c r="D16" s="1457">
        <f>C16</f>
        <v>307.79840000000002</v>
      </c>
      <c r="E16" s="1457">
        <f>E17*(1+P16)</f>
        <v>574.67759999999998</v>
      </c>
      <c r="F16" s="1457">
        <f>F17*(1+Q16)</f>
        <v>270.20280000000002</v>
      </c>
      <c r="G16" s="3837"/>
      <c r="H16" s="1444">
        <v>1</v>
      </c>
      <c r="I16" s="1444">
        <v>3.45</v>
      </c>
      <c r="J16" s="1444">
        <v>1.92</v>
      </c>
      <c r="K16" s="1444">
        <v>3.92</v>
      </c>
      <c r="L16" s="1458">
        <v>1.58</v>
      </c>
      <c r="M16" s="1451"/>
      <c r="N16" s="1452">
        <f t="shared" si="82"/>
        <v>3.4500000000000003E-2</v>
      </c>
      <c r="O16" s="1453">
        <f t="shared" ref="O16:Q31" si="105">J16/100</f>
        <v>1.9199999999999998E-2</v>
      </c>
      <c r="P16" s="1453">
        <f t="shared" si="105"/>
        <v>3.9199999999999999E-2</v>
      </c>
      <c r="Q16" s="1453">
        <f t="shared" si="105"/>
        <v>1.5800000000000002E-2</v>
      </c>
      <c r="R16" s="1454"/>
      <c r="S16" s="1452">
        <f>B16/B17-1</f>
        <v>3.4499999999999975E-2</v>
      </c>
      <c r="T16" s="1453">
        <f t="shared" ref="T16:V16" si="106">C16/C17-1</f>
        <v>1.9200000000000106E-2</v>
      </c>
      <c r="U16" s="1453">
        <f t="shared" si="106"/>
        <v>1.9200000000000106E-2</v>
      </c>
      <c r="V16" s="1453">
        <f t="shared" si="106"/>
        <v>3.9199999999999902E-2</v>
      </c>
      <c r="W16" s="1768"/>
      <c r="X16" s="1766">
        <f>ROUND(SUMPRODUCT(PRODUCT(1+N16:N$27)),4)</f>
        <v>1.3180000000000001</v>
      </c>
      <c r="Y16" s="1766">
        <f>ROUND(SUMPRODUCT(PRODUCT(1+O16:O$27)),4)</f>
        <v>1.1966000000000001</v>
      </c>
      <c r="Z16" s="1766">
        <f t="shared" si="0"/>
        <v>1.1966000000000001</v>
      </c>
      <c r="AA16" s="1766">
        <f>ROUND(SUMPRODUCT(PRODUCT(1+P16:P$27)),4)</f>
        <v>1.36</v>
      </c>
      <c r="AB16" s="1766">
        <f>ROUND(SUMPRODUCT(PRODUCT(1+Q16:Q$27)),4)</f>
        <v>1.1733</v>
      </c>
      <c r="AC16" s="1768"/>
      <c r="AD16" s="1767">
        <f>ROUND(AVERAGE(I16:I$28)/100,4)</f>
        <v>2.3900000000000001E-2</v>
      </c>
      <c r="AE16" s="1767">
        <f>ROUND(AVERAGE(J16:J$28)/100,4)</f>
        <v>1.5699999999999999E-2</v>
      </c>
      <c r="AF16" s="1767">
        <f t="shared" si="1"/>
        <v>1.5699999999999999E-2</v>
      </c>
      <c r="AG16" s="1767">
        <f>ROUND(AVERAGE(K16:K$28)/100,4)</f>
        <v>2.6599999999999999E-2</v>
      </c>
      <c r="AH16" s="1767">
        <f>ROUND(AVERAGE(L16:L$28)/100,4)</f>
        <v>1.34E-2</v>
      </c>
    </row>
    <row r="17" spans="1:34">
      <c r="A17" s="1441" t="s">
        <v>154</v>
      </c>
      <c r="B17" s="1449">
        <v>392</v>
      </c>
      <c r="C17" s="1449">
        <v>302</v>
      </c>
      <c r="D17" s="1449">
        <f>C17</f>
        <v>302</v>
      </c>
      <c r="E17" s="1449">
        <v>553</v>
      </c>
      <c r="F17" s="1450">
        <v>266</v>
      </c>
      <c r="G17" s="3833">
        <v>2016</v>
      </c>
      <c r="H17" s="1442">
        <v>4</v>
      </c>
      <c r="I17" s="1442">
        <v>4.5599999999999996</v>
      </c>
      <c r="J17" s="1442">
        <v>2.15</v>
      </c>
      <c r="K17" s="1442">
        <v>5.32</v>
      </c>
      <c r="L17" s="1443">
        <v>1.57</v>
      </c>
      <c r="N17" s="1452">
        <f t="shared" si="82"/>
        <v>4.5599999999999995E-2</v>
      </c>
      <c r="O17" s="1453">
        <f t="shared" si="105"/>
        <v>2.1499999999999998E-2</v>
      </c>
      <c r="P17" s="1453">
        <f t="shared" si="105"/>
        <v>5.3200000000000004E-2</v>
      </c>
      <c r="Q17" s="1453">
        <f t="shared" si="105"/>
        <v>1.5700000000000002E-2</v>
      </c>
      <c r="R17" s="1454"/>
      <c r="S17" s="1455"/>
      <c r="T17" s="1456"/>
      <c r="U17" s="1456"/>
      <c r="V17" s="1456"/>
      <c r="X17" s="1439">
        <f>ROUND(SUMPRODUCT(PRODUCT(1+N17:N$27)),4)</f>
        <v>1.274</v>
      </c>
      <c r="Y17" s="1439">
        <f>ROUND(SUMPRODUCT(PRODUCT(1+O17:O$27)),4)</f>
        <v>1.1740999999999999</v>
      </c>
      <c r="Z17" s="1439">
        <f t="shared" si="0"/>
        <v>1.1740999999999999</v>
      </c>
      <c r="AA17" s="1439">
        <f>ROUND(SUMPRODUCT(PRODUCT(1+P17:P$27)),4)</f>
        <v>1.3087</v>
      </c>
      <c r="AB17" s="1439">
        <f>ROUND(SUMPRODUCT(PRODUCT(1+Q17:Q$27)),4)</f>
        <v>1.1551</v>
      </c>
      <c r="AD17" s="1440">
        <f>ROUND(AVERAGE(I17:I$28)/100,4)</f>
        <v>2.3E-2</v>
      </c>
      <c r="AE17" s="1440">
        <f>ROUND(AVERAGE(J17:J$28)/100,4)</f>
        <v>1.55E-2</v>
      </c>
      <c r="AF17" s="1440">
        <f t="shared" si="1"/>
        <v>1.55E-2</v>
      </c>
      <c r="AG17" s="1440">
        <f>ROUND(AVERAGE(K17:K$28)/100,4)</f>
        <v>2.5600000000000001E-2</v>
      </c>
      <c r="AH17" s="1440">
        <f>ROUND(AVERAGE(L17:L$28)/100,4)</f>
        <v>1.32E-2</v>
      </c>
    </row>
    <row r="18" spans="1:34">
      <c r="A18" s="1441" t="s">
        <v>153</v>
      </c>
      <c r="B18" s="1457">
        <f t="shared" ref="B18:C20" si="107">B17/(1+N17)</f>
        <v>374.90436113236416</v>
      </c>
      <c r="C18" s="1457">
        <f t="shared" si="107"/>
        <v>295.64366128242779</v>
      </c>
      <c r="D18" s="1457">
        <f t="shared" ref="D18:D77" si="108">C18</f>
        <v>295.64366128242779</v>
      </c>
      <c r="E18" s="1457">
        <f t="shared" ref="E18:F20" si="109">E17/(1+P17)</f>
        <v>525.06646410938095</v>
      </c>
      <c r="F18" s="1457">
        <f t="shared" si="109"/>
        <v>261.88835286009646</v>
      </c>
      <c r="G18" s="3828"/>
      <c r="H18" s="1444">
        <v>3</v>
      </c>
      <c r="I18" s="1444">
        <v>4.12</v>
      </c>
      <c r="J18" s="1444">
        <v>2</v>
      </c>
      <c r="K18" s="1444">
        <v>4.79</v>
      </c>
      <c r="L18" s="1458">
        <v>1.97</v>
      </c>
      <c r="N18" s="1452">
        <f t="shared" ref="N18:Q52" si="110">I18/100</f>
        <v>4.1200000000000001E-2</v>
      </c>
      <c r="O18" s="1453">
        <f t="shared" si="105"/>
        <v>0.02</v>
      </c>
      <c r="P18" s="1453">
        <f t="shared" si="105"/>
        <v>4.7899999999999998E-2</v>
      </c>
      <c r="Q18" s="1453">
        <f t="shared" si="105"/>
        <v>1.9699999999999999E-2</v>
      </c>
      <c r="R18" s="1454"/>
      <c r="S18" s="1452"/>
      <c r="T18" s="1453"/>
      <c r="U18" s="1453"/>
      <c r="V18" s="1453"/>
      <c r="X18" s="1439">
        <f>ROUND(SUMPRODUCT(PRODUCT(1+N18:N$27)),4)</f>
        <v>1.2184999999999999</v>
      </c>
      <c r="Y18" s="1439">
        <f>ROUND(SUMPRODUCT(PRODUCT(1+O18:O$27)),4)</f>
        <v>1.1494</v>
      </c>
      <c r="Z18" s="1439">
        <f t="shared" si="0"/>
        <v>1.1494</v>
      </c>
      <c r="AA18" s="1439">
        <f>ROUND(SUMPRODUCT(PRODUCT(1+P18:P$27)),4)</f>
        <v>1.2425999999999999</v>
      </c>
      <c r="AB18" s="1439">
        <f>ROUND(SUMPRODUCT(PRODUCT(1+Q18:Q$27)),4)</f>
        <v>1.1372</v>
      </c>
      <c r="AD18" s="1440">
        <f>ROUND(AVERAGE(I18:I$28)/100,4)</f>
        <v>2.0899999999999998E-2</v>
      </c>
      <c r="AE18" s="1440">
        <f>ROUND(AVERAGE(J18:J$28)/100,4)</f>
        <v>1.49E-2</v>
      </c>
      <c r="AF18" s="1440">
        <f t="shared" si="1"/>
        <v>1.49E-2</v>
      </c>
      <c r="AG18" s="1440">
        <f>ROUND(AVERAGE(K18:K$28)/100,4)</f>
        <v>2.3099999999999999E-2</v>
      </c>
      <c r="AH18" s="1440">
        <f>ROUND(AVERAGE(L18:L$28)/100,4)</f>
        <v>1.2999999999999999E-2</v>
      </c>
    </row>
    <row r="19" spans="1:34">
      <c r="A19" s="1441" t="s">
        <v>143</v>
      </c>
      <c r="B19" s="1457">
        <f t="shared" si="107"/>
        <v>360.06949782209392</v>
      </c>
      <c r="C19" s="1457">
        <f t="shared" si="107"/>
        <v>289.84672674747821</v>
      </c>
      <c r="D19" s="1457">
        <f t="shared" si="108"/>
        <v>289.84672674747821</v>
      </c>
      <c r="E19" s="1457">
        <f t="shared" si="109"/>
        <v>501.06543001181495</v>
      </c>
      <c r="F19" s="1457">
        <f t="shared" si="109"/>
        <v>256.82882500744967</v>
      </c>
      <c r="G19" s="3828"/>
      <c r="H19" s="1445">
        <v>2</v>
      </c>
      <c r="I19" s="1445">
        <v>3.85</v>
      </c>
      <c r="J19" s="1445">
        <v>1.95</v>
      </c>
      <c r="K19" s="1445">
        <v>4.4800000000000004</v>
      </c>
      <c r="L19" s="1459">
        <v>1.41</v>
      </c>
      <c r="N19" s="1452">
        <f t="shared" si="110"/>
        <v>3.85E-2</v>
      </c>
      <c r="O19" s="1453">
        <f t="shared" si="105"/>
        <v>1.95E-2</v>
      </c>
      <c r="P19" s="1453">
        <f t="shared" si="105"/>
        <v>4.4800000000000006E-2</v>
      </c>
      <c r="Q19" s="1453">
        <f t="shared" si="105"/>
        <v>1.41E-2</v>
      </c>
      <c r="R19" s="1454"/>
      <c r="S19" s="1452"/>
      <c r="T19" s="1453"/>
      <c r="U19" s="1453"/>
      <c r="V19" s="1453"/>
      <c r="X19" s="1439">
        <f>ROUND(SUMPRODUCT(PRODUCT(1+N19:N$27)),4)</f>
        <v>1.1702999999999999</v>
      </c>
      <c r="Y19" s="1439">
        <f>ROUND(SUMPRODUCT(PRODUCT(1+O19:O$27)),4)</f>
        <v>1.1269</v>
      </c>
      <c r="Z19" s="1439">
        <f t="shared" si="0"/>
        <v>1.1269</v>
      </c>
      <c r="AA19" s="1439">
        <f>ROUND(SUMPRODUCT(PRODUCT(1+P19:P$27)),4)</f>
        <v>1.1858</v>
      </c>
      <c r="AB19" s="1439">
        <f>ROUND(SUMPRODUCT(PRODUCT(1+Q19:Q$27)),4)</f>
        <v>1.1152</v>
      </c>
      <c r="AD19" s="1440">
        <f>ROUND(AVERAGE(I19:I$28)/100,4)</f>
        <v>1.89E-2</v>
      </c>
      <c r="AE19" s="1440">
        <f>ROUND(AVERAGE(J19:J$28)/100,4)</f>
        <v>1.44E-2</v>
      </c>
      <c r="AF19" s="1440">
        <f t="shared" si="1"/>
        <v>1.44E-2</v>
      </c>
      <c r="AG19" s="1440">
        <f>ROUND(AVERAGE(K19:K$28)/100,4)</f>
        <v>2.06E-2</v>
      </c>
      <c r="AH19" s="1440">
        <f>ROUND(AVERAGE(L19:L$28)/100,4)</f>
        <v>1.23E-2</v>
      </c>
    </row>
    <row r="20" spans="1:34" ht="13.8" thickBot="1">
      <c r="A20" s="1441" t="s">
        <v>152</v>
      </c>
      <c r="B20" s="1457">
        <f t="shared" si="107"/>
        <v>346.720748986128</v>
      </c>
      <c r="C20" s="1457">
        <f t="shared" si="107"/>
        <v>284.30282172386285</v>
      </c>
      <c r="D20" s="1457">
        <f t="shared" si="108"/>
        <v>284.30282172386285</v>
      </c>
      <c r="E20" s="1457">
        <f t="shared" si="109"/>
        <v>479.58023546306947</v>
      </c>
      <c r="F20" s="1457">
        <f t="shared" si="109"/>
        <v>253.25788877571213</v>
      </c>
      <c r="G20" s="3829"/>
      <c r="H20" s="1444">
        <v>1</v>
      </c>
      <c r="I20" s="1444">
        <v>4.09</v>
      </c>
      <c r="J20" s="1444">
        <v>2.93</v>
      </c>
      <c r="K20" s="1444">
        <v>4.54</v>
      </c>
      <c r="L20" s="1458">
        <v>1.48</v>
      </c>
      <c r="N20" s="1452">
        <f t="shared" si="110"/>
        <v>4.0899999999999999E-2</v>
      </c>
      <c r="O20" s="1453">
        <f t="shared" si="105"/>
        <v>2.9300000000000003E-2</v>
      </c>
      <c r="P20" s="1453">
        <f t="shared" si="105"/>
        <v>4.5400000000000003E-2</v>
      </c>
      <c r="Q20" s="1453">
        <f t="shared" si="105"/>
        <v>1.4800000000000001E-2</v>
      </c>
      <c r="R20" s="1454"/>
      <c r="S20" s="1460">
        <f>B20/B21-1</f>
        <v>4.1203450408792808E-2</v>
      </c>
      <c r="T20" s="1461">
        <f>C20/C21-1</f>
        <v>2.6363977342465095E-2</v>
      </c>
      <c r="U20" s="1461">
        <f>E20/E21-1</f>
        <v>4.4837114298626357E-2</v>
      </c>
      <c r="V20" s="1461">
        <f>F20/F21-1</f>
        <v>1.7099954922538574E-2</v>
      </c>
      <c r="X20" s="1439">
        <f>ROUND(SUMPRODUCT(PRODUCT(1+N20:N$27)),4)</f>
        <v>1.1269</v>
      </c>
      <c r="Y20" s="1439">
        <f>ROUND(SUMPRODUCT(PRODUCT(1+O20:O$27)),4)</f>
        <v>1.1052999999999999</v>
      </c>
      <c r="Z20" s="1439">
        <f t="shared" si="0"/>
        <v>1.1052999999999999</v>
      </c>
      <c r="AA20" s="1439">
        <f>ROUND(SUMPRODUCT(PRODUCT(1+P20:P$27)),4)</f>
        <v>1.1349</v>
      </c>
      <c r="AB20" s="1439">
        <f>ROUND(SUMPRODUCT(PRODUCT(1+Q20:Q$27)),4)</f>
        <v>1.0996999999999999</v>
      </c>
      <c r="AD20" s="1440">
        <f>ROUND(AVERAGE(I20:I$28)/100,4)</f>
        <v>1.67E-2</v>
      </c>
      <c r="AE20" s="1440">
        <f>ROUND(AVERAGE(J20:J$28)/100,4)</f>
        <v>1.38E-2</v>
      </c>
      <c r="AF20" s="1440">
        <f t="shared" si="1"/>
        <v>1.38E-2</v>
      </c>
      <c r="AG20" s="1440">
        <f>ROUND(AVERAGE(K20:K$28)/100,4)</f>
        <v>1.7899999999999999E-2</v>
      </c>
      <c r="AH20" s="1440">
        <f>ROUND(AVERAGE(L20:L$28)/100,4)</f>
        <v>1.21E-2</v>
      </c>
    </row>
    <row r="21" spans="1:34" ht="13.8" thickBot="1">
      <c r="A21" s="1441" t="s">
        <v>151</v>
      </c>
      <c r="B21" s="1449">
        <v>333</v>
      </c>
      <c r="C21" s="1449">
        <v>277</v>
      </c>
      <c r="D21" s="1449">
        <f t="shared" si="108"/>
        <v>277</v>
      </c>
      <c r="E21" s="1449">
        <v>459</v>
      </c>
      <c r="F21" s="1450">
        <v>249</v>
      </c>
      <c r="G21" s="3827">
        <v>2015</v>
      </c>
      <c r="H21" s="1462">
        <v>4</v>
      </c>
      <c r="I21" s="1462">
        <v>1.63</v>
      </c>
      <c r="J21" s="1462">
        <v>1.1100000000000001</v>
      </c>
      <c r="K21" s="1462">
        <v>1.77</v>
      </c>
      <c r="L21" s="1463">
        <v>1.89</v>
      </c>
      <c r="N21" s="1464">
        <f t="shared" si="110"/>
        <v>1.6299999999999999E-2</v>
      </c>
      <c r="O21" s="1465">
        <f t="shared" si="105"/>
        <v>1.11E-2</v>
      </c>
      <c r="P21" s="1465">
        <f t="shared" si="105"/>
        <v>1.77E-2</v>
      </c>
      <c r="Q21" s="1465">
        <f t="shared" si="105"/>
        <v>1.89E-2</v>
      </c>
      <c r="R21" s="1454"/>
      <c r="X21" s="1439">
        <f>ROUND(SUMPRODUCT(PRODUCT(1+N21:N$27)),4)</f>
        <v>1.0826</v>
      </c>
      <c r="Y21" s="1439">
        <f>ROUND(SUMPRODUCT(PRODUCT(1+O21:O$27)),4)</f>
        <v>1.0738000000000001</v>
      </c>
      <c r="Z21" s="1439">
        <f t="shared" si="0"/>
        <v>1.0738000000000001</v>
      </c>
      <c r="AA21" s="1439">
        <f>ROUND(SUMPRODUCT(PRODUCT(1+P21:P$27)),4)</f>
        <v>1.0855999999999999</v>
      </c>
      <c r="AB21" s="1439">
        <f>ROUND(SUMPRODUCT(PRODUCT(1+Q21:Q$27)),4)</f>
        <v>1.0837000000000001</v>
      </c>
      <c r="AD21" s="1440">
        <f>ROUND(AVERAGE(I21:I$28)/100,4)</f>
        <v>1.37E-2</v>
      </c>
      <c r="AE21" s="1440">
        <f>ROUND(AVERAGE(J21:J$28)/100,4)</f>
        <v>1.1900000000000001E-2</v>
      </c>
      <c r="AF21" s="1440">
        <f t="shared" si="1"/>
        <v>1.1900000000000001E-2</v>
      </c>
      <c r="AG21" s="1440">
        <f>ROUND(AVERAGE(K21:K$28)/100,4)</f>
        <v>1.4500000000000001E-2</v>
      </c>
      <c r="AH21" s="1440">
        <f>ROUND(AVERAGE(L21:L$28)/100,4)</f>
        <v>1.18E-2</v>
      </c>
    </row>
    <row r="22" spans="1:34">
      <c r="A22" s="1441" t="s">
        <v>150</v>
      </c>
      <c r="B22" s="1457">
        <f t="shared" ref="B22:C24" si="111">B21/(1+N21)</f>
        <v>327.65915576109415</v>
      </c>
      <c r="C22" s="1457">
        <f t="shared" si="111"/>
        <v>273.95905449510434</v>
      </c>
      <c r="D22" s="1457">
        <f t="shared" si="108"/>
        <v>273.95905449510434</v>
      </c>
      <c r="E22" s="1457">
        <f t="shared" ref="E22:F24" si="112">E21/(1+P21)</f>
        <v>451.01699911565294</v>
      </c>
      <c r="F22" s="1457">
        <f t="shared" si="112"/>
        <v>244.38119540681129</v>
      </c>
      <c r="G22" s="3828"/>
      <c r="H22" s="1467">
        <v>3</v>
      </c>
      <c r="I22" s="1467">
        <v>1.65</v>
      </c>
      <c r="J22" s="1467">
        <v>0.92</v>
      </c>
      <c r="K22" s="1467">
        <v>1.88</v>
      </c>
      <c r="L22" s="1468">
        <v>1.26</v>
      </c>
      <c r="N22" s="1452">
        <f t="shared" si="110"/>
        <v>1.6500000000000001E-2</v>
      </c>
      <c r="O22" s="1469">
        <f t="shared" si="105"/>
        <v>9.1999999999999998E-3</v>
      </c>
      <c r="P22" s="1469">
        <f t="shared" si="105"/>
        <v>1.8799999999999997E-2</v>
      </c>
      <c r="Q22" s="1469">
        <f t="shared" si="105"/>
        <v>1.26E-2</v>
      </c>
      <c r="R22" s="1454"/>
      <c r="S22" s="1452"/>
      <c r="T22" s="1453"/>
      <c r="U22" s="1453"/>
      <c r="V22" s="1453"/>
      <c r="X22" s="1439">
        <f>ROUND(SUMPRODUCT(PRODUCT(1+N22:N$27)),4)</f>
        <v>1.0651999999999999</v>
      </c>
      <c r="Y22" s="1439">
        <f>ROUND(SUMPRODUCT(PRODUCT(1+O22:O$27)),4)</f>
        <v>1.0621</v>
      </c>
      <c r="Z22" s="1439">
        <f t="shared" si="0"/>
        <v>1.0621</v>
      </c>
      <c r="AA22" s="1439">
        <f>ROUND(SUMPRODUCT(PRODUCT(1+P22:P$27)),4)</f>
        <v>1.0668</v>
      </c>
      <c r="AB22" s="1439">
        <f>ROUND(SUMPRODUCT(PRODUCT(1+Q22:Q$27)),4)</f>
        <v>1.0636000000000001</v>
      </c>
      <c r="AD22" s="1440">
        <f>ROUND(AVERAGE(I22:I$28)/100,4)</f>
        <v>1.3299999999999999E-2</v>
      </c>
      <c r="AE22" s="1440">
        <f>ROUND(AVERAGE(J22:J$28)/100,4)</f>
        <v>1.2E-2</v>
      </c>
      <c r="AF22" s="1440">
        <f t="shared" si="1"/>
        <v>1.2E-2</v>
      </c>
      <c r="AG22" s="1440">
        <f>ROUND(AVERAGE(K22:K$28)/100,4)</f>
        <v>1.4E-2</v>
      </c>
      <c r="AH22" s="1440">
        <f>ROUND(AVERAGE(L22:L$28)/100,4)</f>
        <v>1.0800000000000001E-2</v>
      </c>
    </row>
    <row r="23" spans="1:34">
      <c r="A23" s="1441" t="s">
        <v>149</v>
      </c>
      <c r="B23" s="1457">
        <f t="shared" si="111"/>
        <v>322.34053690220776</v>
      </c>
      <c r="C23" s="1457">
        <f t="shared" si="111"/>
        <v>271.46160770422546</v>
      </c>
      <c r="D23" s="1457">
        <f t="shared" si="108"/>
        <v>271.46160770422546</v>
      </c>
      <c r="E23" s="1457">
        <f t="shared" si="112"/>
        <v>442.69434542172456</v>
      </c>
      <c r="F23" s="1457">
        <f t="shared" si="112"/>
        <v>241.34030753190925</v>
      </c>
      <c r="G23" s="3828"/>
      <c r="H23" s="1445">
        <v>2</v>
      </c>
      <c r="I23" s="1445">
        <v>0.77</v>
      </c>
      <c r="J23" s="1445">
        <v>0.69</v>
      </c>
      <c r="K23" s="1445">
        <v>0.8</v>
      </c>
      <c r="L23" s="1459">
        <v>0.88</v>
      </c>
      <c r="N23" s="1452">
        <f t="shared" si="110"/>
        <v>7.7000000000000002E-3</v>
      </c>
      <c r="O23" s="1469">
        <f t="shared" si="105"/>
        <v>6.8999999999999999E-3</v>
      </c>
      <c r="P23" s="1469">
        <f t="shared" si="105"/>
        <v>8.0000000000000002E-3</v>
      </c>
      <c r="Q23" s="1469">
        <f t="shared" si="105"/>
        <v>8.8000000000000005E-3</v>
      </c>
      <c r="R23" s="1454"/>
      <c r="S23" s="1452"/>
      <c r="T23" s="1453"/>
      <c r="U23" s="1453"/>
      <c r="V23" s="1453"/>
      <c r="X23" s="1439">
        <f>ROUND(SUMPRODUCT(PRODUCT(1+N23:N$27)),4)</f>
        <v>1.048</v>
      </c>
      <c r="Y23" s="1439">
        <f>ROUND(SUMPRODUCT(PRODUCT(1+O23:O$27)),4)</f>
        <v>1.0524</v>
      </c>
      <c r="Z23" s="1439">
        <f t="shared" si="0"/>
        <v>1.0524</v>
      </c>
      <c r="AA23" s="1439">
        <f>ROUND(SUMPRODUCT(PRODUCT(1+P23:P$27)),4)</f>
        <v>1.0470999999999999</v>
      </c>
      <c r="AB23" s="1439">
        <f>ROUND(SUMPRODUCT(PRODUCT(1+Q23:Q$27)),4)</f>
        <v>1.0504</v>
      </c>
      <c r="AD23" s="1440">
        <f>ROUND(AVERAGE(I23:I$28)/100,4)</f>
        <v>1.2800000000000001E-2</v>
      </c>
      <c r="AE23" s="1440">
        <f>ROUND(AVERAGE(J23:J$28)/100,4)</f>
        <v>1.2500000000000001E-2</v>
      </c>
      <c r="AF23" s="1440">
        <f t="shared" si="1"/>
        <v>1.2500000000000001E-2</v>
      </c>
      <c r="AG23" s="1440">
        <f>ROUND(AVERAGE(K23:K$28)/100,4)</f>
        <v>1.32E-2</v>
      </c>
      <c r="AH23" s="1440">
        <f>ROUND(AVERAGE(L23:L$28)/100,4)</f>
        <v>1.0500000000000001E-2</v>
      </c>
    </row>
    <row r="24" spans="1:34">
      <c r="A24" s="1441" t="s">
        <v>148</v>
      </c>
      <c r="B24" s="1457">
        <f t="shared" si="111"/>
        <v>319.87748030386797</v>
      </c>
      <c r="C24" s="1457">
        <f t="shared" si="111"/>
        <v>269.60135833173649</v>
      </c>
      <c r="D24" s="1457">
        <f t="shared" si="108"/>
        <v>269.60135833173649</v>
      </c>
      <c r="E24" s="1457">
        <f t="shared" si="112"/>
        <v>439.18089823583784</v>
      </c>
      <c r="F24" s="1457">
        <f t="shared" si="112"/>
        <v>239.23503918706311</v>
      </c>
      <c r="G24" s="3829"/>
      <c r="H24" s="1444">
        <v>1</v>
      </c>
      <c r="I24" s="1444">
        <v>0.51</v>
      </c>
      <c r="J24" s="1444">
        <v>0.54</v>
      </c>
      <c r="K24" s="1444">
        <v>0.48</v>
      </c>
      <c r="L24" s="1458">
        <v>0.93</v>
      </c>
      <c r="N24" s="1460">
        <f t="shared" si="110"/>
        <v>5.1000000000000004E-3</v>
      </c>
      <c r="O24" s="1461">
        <f t="shared" si="105"/>
        <v>5.4000000000000003E-3</v>
      </c>
      <c r="P24" s="1461">
        <f t="shared" si="105"/>
        <v>4.7999999999999996E-3</v>
      </c>
      <c r="Q24" s="1461">
        <f t="shared" si="105"/>
        <v>9.300000000000001E-3</v>
      </c>
      <c r="R24" s="1454"/>
      <c r="S24" s="1460">
        <f>B24/B25-1</f>
        <v>5.9040261127922822E-3</v>
      </c>
      <c r="T24" s="1461">
        <f>C24/C25-1</f>
        <v>5.9752176557332781E-3</v>
      </c>
      <c r="U24" s="1461">
        <f>E24/E25-1</f>
        <v>4.9906138119859556E-3</v>
      </c>
      <c r="V24" s="1461">
        <f>F24/F25-1</f>
        <v>9.4305450930933787E-3</v>
      </c>
      <c r="X24" s="1439">
        <f>ROUND(SUMPRODUCT(PRODUCT(1+N24:N$27)),4)</f>
        <v>1.0399</v>
      </c>
      <c r="Y24" s="1439">
        <f>ROUND(SUMPRODUCT(PRODUCT(1+O24:O$27)),4)</f>
        <v>1.0451999999999999</v>
      </c>
      <c r="Z24" s="1439">
        <f t="shared" si="0"/>
        <v>1.0451999999999999</v>
      </c>
      <c r="AA24" s="1439">
        <f>ROUND(SUMPRODUCT(PRODUCT(1+P24:P$27)),4)</f>
        <v>1.0387999999999999</v>
      </c>
      <c r="AB24" s="1439">
        <f>ROUND(SUMPRODUCT(PRODUCT(1+Q24:Q$27)),4)</f>
        <v>1.0411999999999999</v>
      </c>
      <c r="AD24" s="1440">
        <f>ROUND(AVERAGE(I24:I$28)/100,4)</f>
        <v>1.38E-2</v>
      </c>
      <c r="AE24" s="1440">
        <f>ROUND(AVERAGE(J24:J$28)/100,4)</f>
        <v>1.3599999999999999E-2</v>
      </c>
      <c r="AF24" s="1440">
        <f t="shared" si="1"/>
        <v>1.3599999999999999E-2</v>
      </c>
      <c r="AG24" s="1440">
        <f>ROUND(AVERAGE(K24:K$28)/100,4)</f>
        <v>1.4200000000000001E-2</v>
      </c>
      <c r="AH24" s="1440">
        <f>ROUND(AVERAGE(L24:L$28)/100,4)</f>
        <v>1.0800000000000001E-2</v>
      </c>
    </row>
    <row r="25" spans="1:34" ht="13.8" thickBot="1">
      <c r="A25" s="1441" t="s">
        <v>147</v>
      </c>
      <c r="B25" s="1470">
        <v>318</v>
      </c>
      <c r="C25" s="1470">
        <v>268</v>
      </c>
      <c r="D25" s="1470">
        <f t="shared" si="108"/>
        <v>268</v>
      </c>
      <c r="E25" s="1470">
        <v>437</v>
      </c>
      <c r="F25" s="1471">
        <v>237</v>
      </c>
      <c r="G25" s="3827">
        <v>2014</v>
      </c>
      <c r="H25" s="1462">
        <v>4</v>
      </c>
      <c r="I25" s="1462">
        <v>0.21</v>
      </c>
      <c r="J25" s="1462">
        <v>0.41</v>
      </c>
      <c r="K25" s="1462">
        <v>0.12</v>
      </c>
      <c r="L25" s="1463">
        <v>0.89</v>
      </c>
      <c r="N25" s="1452">
        <f t="shared" si="110"/>
        <v>2.0999999999999999E-3</v>
      </c>
      <c r="O25" s="1453">
        <f t="shared" si="105"/>
        <v>4.0999999999999995E-3</v>
      </c>
      <c r="P25" s="1453">
        <f t="shared" si="105"/>
        <v>1.1999999999999999E-3</v>
      </c>
      <c r="Q25" s="1453">
        <f t="shared" si="105"/>
        <v>8.8999999999999999E-3</v>
      </c>
      <c r="R25" s="1454"/>
      <c r="S25" s="1455"/>
      <c r="T25" s="1456"/>
      <c r="U25" s="1456"/>
      <c r="V25" s="1456"/>
      <c r="X25" s="1439">
        <f>ROUND(SUMPRODUCT(PRODUCT(1+N25:N$27)),4)</f>
        <v>1.0347</v>
      </c>
      <c r="Y25" s="1439">
        <f>ROUND(SUMPRODUCT(PRODUCT(1+O25:O$27)),4)</f>
        <v>1.0395000000000001</v>
      </c>
      <c r="Z25" s="1439">
        <f t="shared" si="0"/>
        <v>1.0395000000000001</v>
      </c>
      <c r="AA25" s="1439">
        <f>ROUND(SUMPRODUCT(PRODUCT(1+P25:P$27)),4)</f>
        <v>1.0338000000000001</v>
      </c>
      <c r="AB25" s="1439">
        <f>ROUND(SUMPRODUCT(PRODUCT(1+Q25:Q$27)),4)</f>
        <v>1.0316000000000001</v>
      </c>
      <c r="AD25" s="1440">
        <f>ROUND(AVERAGE(I25:I$28)/100,4)</f>
        <v>1.6E-2</v>
      </c>
      <c r="AE25" s="1440">
        <f>ROUND(AVERAGE(J25:J$28)/100,4)</f>
        <v>1.5599999999999999E-2</v>
      </c>
      <c r="AF25" s="1440">
        <f t="shared" si="1"/>
        <v>1.5599999999999999E-2</v>
      </c>
      <c r="AG25" s="1440">
        <f>ROUND(AVERAGE(K25:K$28)/100,4)</f>
        <v>1.66E-2</v>
      </c>
      <c r="AH25" s="1440">
        <f>ROUND(AVERAGE(L25:L$28)/100,4)</f>
        <v>1.12E-2</v>
      </c>
    </row>
    <row r="26" spans="1:34">
      <c r="A26" s="1441" t="s">
        <v>146</v>
      </c>
      <c r="B26" s="1457">
        <f t="shared" ref="B26:C28" si="113">B25/(1+N25)</f>
        <v>317.33359944117353</v>
      </c>
      <c r="C26" s="1457">
        <f t="shared" si="113"/>
        <v>266.90568668459315</v>
      </c>
      <c r="D26" s="1457">
        <f t="shared" si="108"/>
        <v>266.90568668459315</v>
      </c>
      <c r="E26" s="1457">
        <f t="shared" ref="E26:F28" si="114">E25/(1+P25)</f>
        <v>436.47622852576905</v>
      </c>
      <c r="F26" s="1457">
        <f t="shared" si="114"/>
        <v>234.90930716622066</v>
      </c>
      <c r="G26" s="3828"/>
      <c r="H26" s="1472">
        <v>3</v>
      </c>
      <c r="I26" s="1472">
        <v>0.83</v>
      </c>
      <c r="J26" s="1472">
        <v>1.47</v>
      </c>
      <c r="K26" s="1472">
        <v>0.65</v>
      </c>
      <c r="L26" s="1473">
        <v>0.72</v>
      </c>
      <c r="N26" s="1452">
        <f t="shared" si="110"/>
        <v>8.3000000000000001E-3</v>
      </c>
      <c r="O26" s="1453">
        <f t="shared" si="105"/>
        <v>1.47E-2</v>
      </c>
      <c r="P26" s="1453">
        <f t="shared" si="105"/>
        <v>6.5000000000000006E-3</v>
      </c>
      <c r="Q26" s="1453">
        <f t="shared" si="105"/>
        <v>7.1999999999999998E-3</v>
      </c>
      <c r="R26" s="1454"/>
      <c r="S26" s="1452"/>
      <c r="T26" s="1453"/>
      <c r="U26" s="1453"/>
      <c r="V26" s="1453"/>
      <c r="X26" s="1439">
        <f>ROUND(SUMPRODUCT(PRODUCT(1+N26:N$27)),4)</f>
        <v>1.0325</v>
      </c>
      <c r="Y26" s="1439">
        <f>ROUND(SUMPRODUCT(PRODUCT(1+O26:O$27)),4)</f>
        <v>1.0353000000000001</v>
      </c>
      <c r="Z26" s="1439">
        <f t="shared" ref="Z26:Z27" si="115">Y26</f>
        <v>1.0353000000000001</v>
      </c>
      <c r="AA26" s="1439">
        <f>ROUND(SUMPRODUCT(PRODUCT(1+P26:P$27)),4)</f>
        <v>1.0326</v>
      </c>
      <c r="AB26" s="1439">
        <f>ROUND(SUMPRODUCT(PRODUCT(1+Q26:Q$27)),4)</f>
        <v>1.0225</v>
      </c>
      <c r="AD26" s="1440">
        <f>ROUND(AVERAGE(I26:I$28)/100,4)</f>
        <v>2.07E-2</v>
      </c>
      <c r="AE26" s="1440">
        <f>ROUND(AVERAGE(J26:J$28)/100,4)</f>
        <v>1.95E-2</v>
      </c>
      <c r="AF26" s="1440">
        <f t="shared" si="1"/>
        <v>1.95E-2</v>
      </c>
      <c r="AG26" s="1440">
        <f>ROUND(AVERAGE(K26:K$28)/100,4)</f>
        <v>2.1700000000000001E-2</v>
      </c>
      <c r="AH26" s="1440">
        <f>ROUND(AVERAGE(L26:L$28)/100,4)</f>
        <v>1.2E-2</v>
      </c>
    </row>
    <row r="27" spans="1:34" ht="13.8" thickBot="1">
      <c r="A27" s="1441" t="s">
        <v>145</v>
      </c>
      <c r="B27" s="1457">
        <f t="shared" si="113"/>
        <v>314.72141172386546</v>
      </c>
      <c r="C27" s="1457">
        <f t="shared" si="113"/>
        <v>263.03901319069001</v>
      </c>
      <c r="D27" s="1457">
        <f t="shared" si="108"/>
        <v>263.03901319069001</v>
      </c>
      <c r="E27" s="1457">
        <f t="shared" si="114"/>
        <v>433.65745506782821</v>
      </c>
      <c r="F27" s="1457">
        <f t="shared" si="114"/>
        <v>233.23005080045735</v>
      </c>
      <c r="G27" s="3828"/>
      <c r="H27" s="1462">
        <v>2</v>
      </c>
      <c r="I27" s="1462">
        <v>2.4</v>
      </c>
      <c r="J27" s="1462">
        <v>2.0299999999999998</v>
      </c>
      <c r="K27" s="1462">
        <v>2.59</v>
      </c>
      <c r="L27" s="1463">
        <v>1.52</v>
      </c>
      <c r="N27" s="1452">
        <f t="shared" si="110"/>
        <v>2.4E-2</v>
      </c>
      <c r="O27" s="1453">
        <f t="shared" si="105"/>
        <v>2.0299999999999999E-2</v>
      </c>
      <c r="P27" s="1453">
        <f t="shared" si="105"/>
        <v>2.5899999999999999E-2</v>
      </c>
      <c r="Q27" s="1453">
        <f t="shared" si="105"/>
        <v>1.52E-2</v>
      </c>
      <c r="R27" s="1454"/>
      <c r="S27" s="1452"/>
      <c r="T27" s="1453"/>
      <c r="U27" s="1453"/>
      <c r="V27" s="1453"/>
      <c r="X27" s="1439">
        <f>1+N27</f>
        <v>1.024</v>
      </c>
      <c r="Y27" s="1439">
        <f>1+O27</f>
        <v>1.0203</v>
      </c>
      <c r="Z27" s="1439">
        <f t="shared" si="115"/>
        <v>1.0203</v>
      </c>
      <c r="AA27" s="1439">
        <f>1+P27</f>
        <v>1.0259</v>
      </c>
      <c r="AB27" s="1439">
        <f>1+Q27</f>
        <v>1.0152000000000001</v>
      </c>
      <c r="AD27" s="1440">
        <f>ROUND(AVERAGE(I27:I$28)/100,4)</f>
        <v>2.69E-2</v>
      </c>
      <c r="AE27" s="1440">
        <f>ROUND(AVERAGE(J27:J$28)/100,4)</f>
        <v>2.1899999999999999E-2</v>
      </c>
      <c r="AF27" s="1440">
        <f t="shared" ref="AF27" si="116">AE27</f>
        <v>2.1899999999999999E-2</v>
      </c>
      <c r="AG27" s="1440">
        <f>ROUND(AVERAGE(K27:K$28)/100,4)</f>
        <v>2.9399999999999999E-2</v>
      </c>
      <c r="AH27" s="1440">
        <f>ROUND(AVERAGE(L27:L$28)/100,4)</f>
        <v>1.44E-2</v>
      </c>
    </row>
    <row r="28" spans="1:34" s="1478" customFormat="1" ht="13.8" thickBot="1">
      <c r="A28" s="1474" t="s">
        <v>144</v>
      </c>
      <c r="B28" s="1475">
        <f t="shared" si="113"/>
        <v>307.34512863658733</v>
      </c>
      <c r="C28" s="1475">
        <f t="shared" si="113"/>
        <v>257.80556031626975</v>
      </c>
      <c r="D28" s="1475">
        <f t="shared" si="108"/>
        <v>257.80556031626975</v>
      </c>
      <c r="E28" s="1475">
        <f t="shared" si="114"/>
        <v>422.70928459677179</v>
      </c>
      <c r="F28" s="1475">
        <f t="shared" si="114"/>
        <v>229.73803270336617</v>
      </c>
      <c r="G28" s="3829"/>
      <c r="H28" s="1476">
        <v>1</v>
      </c>
      <c r="I28" s="1476">
        <v>2.97</v>
      </c>
      <c r="J28" s="1476">
        <v>2.34</v>
      </c>
      <c r="K28" s="1476">
        <v>3.28</v>
      </c>
      <c r="L28" s="1477">
        <v>1.36</v>
      </c>
      <c r="N28" s="1479">
        <f t="shared" si="110"/>
        <v>2.9700000000000001E-2</v>
      </c>
      <c r="O28" s="1480">
        <f t="shared" si="105"/>
        <v>2.3399999999999997E-2</v>
      </c>
      <c r="P28" s="1480">
        <f t="shared" si="105"/>
        <v>3.2799999999999996E-2</v>
      </c>
      <c r="Q28" s="1480">
        <f t="shared" si="105"/>
        <v>1.3600000000000001E-2</v>
      </c>
      <c r="R28" s="1481"/>
      <c r="S28" s="1482">
        <f>B28/B29-1</f>
        <v>2.7910129219355539E-2</v>
      </c>
      <c r="T28" s="1483">
        <f>C28/C29-1</f>
        <v>2.3037937762975247E-2</v>
      </c>
      <c r="U28" s="1483">
        <f>E28/E29-1</f>
        <v>3.3519033243940788E-2</v>
      </c>
      <c r="V28" s="1483">
        <f>F28/F29-1</f>
        <v>1.2061818076502862E-2</v>
      </c>
      <c r="W28" s="1484" t="s">
        <v>1151</v>
      </c>
      <c r="X28" s="1485">
        <v>1</v>
      </c>
      <c r="Y28" s="1485">
        <v>1</v>
      </c>
      <c r="Z28" s="1485">
        <v>1</v>
      </c>
      <c r="AA28" s="1485">
        <v>1</v>
      </c>
      <c r="AB28" s="1485">
        <v>1</v>
      </c>
      <c r="AD28" s="1706">
        <f>I28/100</f>
        <v>2.9700000000000001E-2</v>
      </c>
      <c r="AE28" s="1706">
        <f>J28/100</f>
        <v>2.3399999999999997E-2</v>
      </c>
      <c r="AF28" s="1706">
        <f>AE28</f>
        <v>2.3399999999999997E-2</v>
      </c>
      <c r="AG28" s="1706">
        <f>K28/100</f>
        <v>3.2799999999999996E-2</v>
      </c>
      <c r="AH28" s="1706">
        <f>L28/100</f>
        <v>1.3600000000000001E-2</v>
      </c>
    </row>
    <row r="29" spans="1:34" ht="13.8" thickBot="1">
      <c r="A29" s="1441" t="s">
        <v>1152</v>
      </c>
      <c r="B29" s="1449">
        <v>299</v>
      </c>
      <c r="C29" s="1449">
        <v>252</v>
      </c>
      <c r="D29" s="1449">
        <f t="shared" si="108"/>
        <v>252</v>
      </c>
      <c r="E29" s="1449">
        <v>409</v>
      </c>
      <c r="F29" s="1450">
        <v>227</v>
      </c>
      <c r="G29" s="3834">
        <v>2013</v>
      </c>
      <c r="H29" s="1486">
        <v>4</v>
      </c>
      <c r="I29" s="1486">
        <v>1.83</v>
      </c>
      <c r="J29" s="1486">
        <v>1.68</v>
      </c>
      <c r="K29" s="1486">
        <v>1.97</v>
      </c>
      <c r="L29" s="1487">
        <v>0.87</v>
      </c>
      <c r="N29" s="1464">
        <f t="shared" si="110"/>
        <v>1.83E-2</v>
      </c>
      <c r="O29" s="1465">
        <f t="shared" si="105"/>
        <v>1.6799999999999999E-2</v>
      </c>
      <c r="P29" s="1465">
        <f t="shared" si="105"/>
        <v>1.9699999999999999E-2</v>
      </c>
      <c r="Q29" s="1465">
        <f t="shared" si="105"/>
        <v>8.6999999999999994E-3</v>
      </c>
      <c r="R29" s="1454"/>
      <c r="S29" s="1455"/>
      <c r="T29" s="1456"/>
      <c r="U29" s="1456"/>
      <c r="V29" s="1456"/>
      <c r="X29" s="1456"/>
      <c r="Y29" s="1456"/>
      <c r="Z29" s="1456"/>
    </row>
    <row r="30" spans="1:34">
      <c r="A30" s="1441" t="s">
        <v>1153</v>
      </c>
      <c r="B30" s="1457">
        <f t="shared" ref="B30:C32" si="117">B29/(1+N29)</f>
        <v>293.62663262299913</v>
      </c>
      <c r="C30" s="1457">
        <f t="shared" si="117"/>
        <v>247.83634933123525</v>
      </c>
      <c r="D30" s="1457">
        <f t="shared" si="108"/>
        <v>247.83634933123525</v>
      </c>
      <c r="E30" s="1457">
        <f t="shared" ref="E30:F32" si="118">E29/(1+P29)</f>
        <v>401.09836226341076</v>
      </c>
      <c r="F30" s="1457">
        <f t="shared" si="118"/>
        <v>225.04213343908003</v>
      </c>
      <c r="G30" s="3835"/>
      <c r="H30" s="1467">
        <v>3</v>
      </c>
      <c r="I30" s="1467">
        <v>1.86</v>
      </c>
      <c r="J30" s="1467">
        <v>1.72</v>
      </c>
      <c r="K30" s="1467">
        <v>1.98</v>
      </c>
      <c r="L30" s="1468">
        <v>0.88</v>
      </c>
      <c r="N30" s="1452">
        <f t="shared" si="110"/>
        <v>1.8600000000000002E-2</v>
      </c>
      <c r="O30" s="1469">
        <f t="shared" si="105"/>
        <v>1.72E-2</v>
      </c>
      <c r="P30" s="1469">
        <f t="shared" si="105"/>
        <v>1.9799999999999998E-2</v>
      </c>
      <c r="Q30" s="1469">
        <f t="shared" si="105"/>
        <v>8.8000000000000005E-3</v>
      </c>
      <c r="R30" s="1454"/>
      <c r="S30" s="1452"/>
      <c r="T30" s="1453"/>
      <c r="U30" s="1453"/>
      <c r="V30" s="1453"/>
    </row>
    <row r="31" spans="1:34">
      <c r="A31" s="1441" t="s">
        <v>1154</v>
      </c>
      <c r="B31" s="1457">
        <f t="shared" si="117"/>
        <v>288.2649053828776</v>
      </c>
      <c r="C31" s="1457">
        <f t="shared" si="117"/>
        <v>243.64564425013293</v>
      </c>
      <c r="D31" s="1457">
        <f t="shared" si="108"/>
        <v>243.64564425013293</v>
      </c>
      <c r="E31" s="1457">
        <f t="shared" si="118"/>
        <v>393.31080825986544</v>
      </c>
      <c r="F31" s="1457">
        <f t="shared" si="118"/>
        <v>223.07903790551154</v>
      </c>
      <c r="G31" s="3835"/>
      <c r="H31" s="1445">
        <v>2</v>
      </c>
      <c r="I31" s="1445">
        <v>2.04</v>
      </c>
      <c r="J31" s="1445">
        <v>2.33</v>
      </c>
      <c r="K31" s="1445">
        <v>2.0699999999999998</v>
      </c>
      <c r="L31" s="1459">
        <v>0.69</v>
      </c>
      <c r="N31" s="1452">
        <f t="shared" si="110"/>
        <v>2.0400000000000001E-2</v>
      </c>
      <c r="O31" s="1469">
        <f t="shared" si="105"/>
        <v>2.3300000000000001E-2</v>
      </c>
      <c r="P31" s="1469">
        <f t="shared" si="105"/>
        <v>2.07E-2</v>
      </c>
      <c r="Q31" s="1469">
        <f t="shared" si="105"/>
        <v>6.8999999999999999E-3</v>
      </c>
      <c r="R31" s="1454"/>
      <c r="S31" s="1452"/>
      <c r="T31" s="1453"/>
      <c r="U31" s="1453"/>
      <c r="V31" s="1453"/>
      <c r="X31" s="1488"/>
      <c r="Y31" s="1489"/>
    </row>
    <row r="32" spans="1:34">
      <c r="A32" s="1441" t="s">
        <v>1155</v>
      </c>
      <c r="B32" s="1457">
        <f t="shared" si="117"/>
        <v>282.50186729015837</v>
      </c>
      <c r="C32" s="1457">
        <f t="shared" si="117"/>
        <v>238.09796174155468</v>
      </c>
      <c r="D32" s="1457">
        <f t="shared" si="108"/>
        <v>238.09796174155468</v>
      </c>
      <c r="E32" s="1457">
        <f t="shared" si="118"/>
        <v>385.33438646014054</v>
      </c>
      <c r="F32" s="1457">
        <f t="shared" si="118"/>
        <v>221.55034055567739</v>
      </c>
      <c r="G32" s="3836"/>
      <c r="H32" s="1444">
        <v>1</v>
      </c>
      <c r="I32" s="1444">
        <v>1.67</v>
      </c>
      <c r="J32" s="1444">
        <v>1.31</v>
      </c>
      <c r="K32" s="1444">
        <v>1.85</v>
      </c>
      <c r="L32" s="1458">
        <v>0.96</v>
      </c>
      <c r="N32" s="1460">
        <f t="shared" si="110"/>
        <v>1.67E-2</v>
      </c>
      <c r="O32" s="1461">
        <f t="shared" si="110"/>
        <v>1.3100000000000001E-2</v>
      </c>
      <c r="P32" s="1461">
        <f t="shared" si="110"/>
        <v>1.8500000000000003E-2</v>
      </c>
      <c r="Q32" s="1461">
        <f t="shared" si="110"/>
        <v>9.5999999999999992E-3</v>
      </c>
      <c r="R32" s="1454"/>
      <c r="S32" s="1460">
        <f>B32/B33-1</f>
        <v>1.6193767230785472E-2</v>
      </c>
      <c r="T32" s="1461">
        <f>C32/C33-1</f>
        <v>1.7512657015190891E-2</v>
      </c>
      <c r="U32" s="1461">
        <f>E32/E33-1</f>
        <v>1.6713420739157048E-2</v>
      </c>
      <c r="V32" s="1461">
        <f>F32/F33-1</f>
        <v>7.0470025258062563E-3</v>
      </c>
      <c r="X32" s="1490"/>
      <c r="Y32" s="1440"/>
      <c r="Z32" s="1440"/>
    </row>
    <row r="33" spans="1:26" ht="13.8" thickBot="1">
      <c r="A33" s="1441" t="s">
        <v>1156</v>
      </c>
      <c r="B33" s="1491">
        <v>278</v>
      </c>
      <c r="C33" s="1491">
        <v>234</v>
      </c>
      <c r="D33" s="1491">
        <f t="shared" si="108"/>
        <v>234</v>
      </c>
      <c r="E33" s="1491">
        <v>379</v>
      </c>
      <c r="F33" s="1492">
        <v>220</v>
      </c>
      <c r="G33" s="3827">
        <v>2012</v>
      </c>
      <c r="H33" s="1462">
        <v>4</v>
      </c>
      <c r="I33" s="1462">
        <v>0.91</v>
      </c>
      <c r="J33" s="1462">
        <v>0.68</v>
      </c>
      <c r="K33" s="1462">
        <v>0.98</v>
      </c>
      <c r="L33" s="1463">
        <v>0.9</v>
      </c>
      <c r="N33" s="1452">
        <f t="shared" si="110"/>
        <v>9.1000000000000004E-3</v>
      </c>
      <c r="O33" s="1453">
        <f t="shared" si="110"/>
        <v>6.8000000000000005E-3</v>
      </c>
      <c r="P33" s="1453">
        <f t="shared" si="110"/>
        <v>9.7999999999999997E-3</v>
      </c>
      <c r="Q33" s="1453">
        <f t="shared" si="110"/>
        <v>9.0000000000000011E-3</v>
      </c>
      <c r="R33" s="1454"/>
      <c r="S33" s="1455"/>
      <c r="T33" s="1456"/>
      <c r="U33" s="1456"/>
      <c r="V33" s="1456"/>
      <c r="X33" s="1456"/>
      <c r="Y33" s="1456"/>
      <c r="Z33" s="1456"/>
    </row>
    <row r="34" spans="1:26">
      <c r="A34" s="1441" t="s">
        <v>1157</v>
      </c>
      <c r="B34" s="1457">
        <f>B33/(1+N33)</f>
        <v>275.49301357645425</v>
      </c>
      <c r="C34" s="1457">
        <f>C33/(1+O33)</f>
        <v>232.41954707985698</v>
      </c>
      <c r="D34" s="1457">
        <f t="shared" si="108"/>
        <v>232.41954707985698</v>
      </c>
      <c r="E34" s="1457">
        <f t="shared" ref="E34:F36" si="119">E33/(1+P33)</f>
        <v>375.32184591008121</v>
      </c>
      <c r="F34" s="1457">
        <f t="shared" si="119"/>
        <v>218.03766105054513</v>
      </c>
      <c r="G34" s="3828"/>
      <c r="H34" s="1467">
        <v>3</v>
      </c>
      <c r="I34" s="1467">
        <v>0.09</v>
      </c>
      <c r="J34" s="1467">
        <v>0.28999999999999998</v>
      </c>
      <c r="K34" s="1467">
        <v>-0.01</v>
      </c>
      <c r="L34" s="1468">
        <v>0.57999999999999996</v>
      </c>
      <c r="N34" s="1452">
        <f t="shared" si="110"/>
        <v>8.9999999999999998E-4</v>
      </c>
      <c r="O34" s="1453">
        <f t="shared" si="110"/>
        <v>2.8999999999999998E-3</v>
      </c>
      <c r="P34" s="1453">
        <f t="shared" si="110"/>
        <v>-1E-4</v>
      </c>
      <c r="Q34" s="1453">
        <f t="shared" si="110"/>
        <v>5.7999999999999996E-3</v>
      </c>
      <c r="R34" s="1454"/>
      <c r="S34" s="1452"/>
      <c r="T34" s="1453"/>
      <c r="U34" s="1453"/>
      <c r="V34" s="1453"/>
    </row>
    <row r="35" spans="1:26">
      <c r="A35" s="1441" t="s">
        <v>1158</v>
      </c>
      <c r="B35" s="1457">
        <f>B34/(1+N34)</f>
        <v>275.24529281292263</v>
      </c>
      <c r="C35" s="1457">
        <f>C34/(1+O34)</f>
        <v>231.74747938962707</v>
      </c>
      <c r="D35" s="1457">
        <f t="shared" si="108"/>
        <v>231.74747938962707</v>
      </c>
      <c r="E35" s="1457">
        <f t="shared" si="119"/>
        <v>375.35938184826603</v>
      </c>
      <c r="F35" s="1457">
        <f t="shared" si="119"/>
        <v>216.78033510692495</v>
      </c>
      <c r="G35" s="3828"/>
      <c r="H35" s="1445">
        <v>2</v>
      </c>
      <c r="I35" s="1445">
        <v>0.02</v>
      </c>
      <c r="J35" s="1445">
        <v>0.12</v>
      </c>
      <c r="K35" s="1445">
        <v>-0.08</v>
      </c>
      <c r="L35" s="1459">
        <v>1.24</v>
      </c>
      <c r="N35" s="1452">
        <f t="shared" si="110"/>
        <v>2.0000000000000001E-4</v>
      </c>
      <c r="O35" s="1453">
        <f t="shared" si="110"/>
        <v>1.1999999999999999E-3</v>
      </c>
      <c r="P35" s="1453">
        <f t="shared" si="110"/>
        <v>-8.0000000000000004E-4</v>
      </c>
      <c r="Q35" s="1453">
        <f t="shared" si="110"/>
        <v>1.24E-2</v>
      </c>
      <c r="R35" s="1454"/>
      <c r="S35" s="1452"/>
      <c r="T35" s="1453"/>
      <c r="U35" s="1453"/>
      <c r="V35" s="1453"/>
    </row>
    <row r="36" spans="1:26" ht="13.8" thickBot="1">
      <c r="A36" s="1441" t="s">
        <v>1159</v>
      </c>
      <c r="B36" s="1457">
        <f>B35/(1+N35)</f>
        <v>275.19025476197027</v>
      </c>
      <c r="C36" s="1493">
        <v>232</v>
      </c>
      <c r="D36" s="1493">
        <f t="shared" si="108"/>
        <v>232</v>
      </c>
      <c r="E36" s="1457">
        <f t="shared" si="119"/>
        <v>375.65990977608692</v>
      </c>
      <c r="F36" s="1457">
        <f t="shared" si="119"/>
        <v>214.12518283971252</v>
      </c>
      <c r="G36" s="3829"/>
      <c r="H36" s="1444">
        <v>1</v>
      </c>
      <c r="I36" s="1444">
        <v>0.02</v>
      </c>
      <c r="J36" s="1444">
        <v>0.13</v>
      </c>
      <c r="K36" s="1444">
        <v>-0.04</v>
      </c>
      <c r="L36" s="1458">
        <v>0.46</v>
      </c>
      <c r="N36" s="1452">
        <f t="shared" si="110"/>
        <v>2.0000000000000001E-4</v>
      </c>
      <c r="O36" s="1453">
        <f t="shared" si="110"/>
        <v>1.2999999999999999E-3</v>
      </c>
      <c r="P36" s="1453">
        <f t="shared" si="110"/>
        <v>-4.0000000000000002E-4</v>
      </c>
      <c r="Q36" s="1453">
        <f t="shared" si="110"/>
        <v>4.5999999999999999E-3</v>
      </c>
      <c r="R36" s="1454"/>
      <c r="S36" s="1460">
        <f>B36/B37-1</f>
        <v>6.9183549807361189E-4</v>
      </c>
      <c r="T36" s="1461">
        <f>C36/C37-1</f>
        <v>0</v>
      </c>
      <c r="U36" s="1461">
        <f>E36/E37-1</f>
        <v>-9.0449527636460303E-4</v>
      </c>
      <c r="V36" s="1461">
        <f>F36/F37-1</f>
        <v>5.2825485432512753E-3</v>
      </c>
      <c r="X36" s="1440"/>
      <c r="Y36" s="1440"/>
      <c r="Z36" s="1440"/>
    </row>
    <row r="37" spans="1:26" ht="13.8" thickBot="1">
      <c r="A37" s="1441" t="s">
        <v>1160</v>
      </c>
      <c r="B37" s="1449">
        <v>275</v>
      </c>
      <c r="C37" s="1449">
        <v>232</v>
      </c>
      <c r="D37" s="1449">
        <f t="shared" si="108"/>
        <v>232</v>
      </c>
      <c r="E37" s="1449">
        <v>376</v>
      </c>
      <c r="F37" s="1450">
        <v>213</v>
      </c>
      <c r="G37" s="3827">
        <v>2011</v>
      </c>
      <c r="H37" s="1462">
        <v>4</v>
      </c>
      <c r="I37" s="1462">
        <v>-0.2</v>
      </c>
      <c r="J37" s="1462">
        <v>0.04</v>
      </c>
      <c r="K37" s="1462">
        <v>-0.34</v>
      </c>
      <c r="L37" s="1463">
        <v>0.46</v>
      </c>
      <c r="N37" s="1464">
        <f t="shared" si="110"/>
        <v>-2E-3</v>
      </c>
      <c r="O37" s="1465">
        <f t="shared" si="110"/>
        <v>4.0000000000000002E-4</v>
      </c>
      <c r="P37" s="1465">
        <f t="shared" si="110"/>
        <v>-3.4000000000000002E-3</v>
      </c>
      <c r="Q37" s="1465">
        <f t="shared" si="110"/>
        <v>4.5999999999999999E-3</v>
      </c>
      <c r="R37" s="1454"/>
      <c r="S37" s="1455"/>
      <c r="T37" s="1456"/>
      <c r="U37" s="1456"/>
      <c r="V37" s="1456"/>
      <c r="X37" s="1456"/>
      <c r="Y37" s="1456"/>
      <c r="Z37" s="1456"/>
    </row>
    <row r="38" spans="1:26">
      <c r="A38" s="1441" t="s">
        <v>1161</v>
      </c>
      <c r="B38" s="1457">
        <f t="shared" ref="B38:C40" si="120">B37/(1+N37)</f>
        <v>275.55110220440883</v>
      </c>
      <c r="C38" s="1457">
        <f t="shared" si="120"/>
        <v>231.90723710515795</v>
      </c>
      <c r="D38" s="1457">
        <f t="shared" si="108"/>
        <v>231.90723710515795</v>
      </c>
      <c r="E38" s="1457">
        <f t="shared" ref="E38:F40" si="121">E37/(1+P37)</f>
        <v>377.28276138872161</v>
      </c>
      <c r="F38" s="1457">
        <f t="shared" si="121"/>
        <v>212.02468644236512</v>
      </c>
      <c r="G38" s="3828">
        <v>2011</v>
      </c>
      <c r="H38" s="1467">
        <v>3</v>
      </c>
      <c r="I38" s="1467">
        <v>0.13</v>
      </c>
      <c r="J38" s="1467">
        <v>0.75</v>
      </c>
      <c r="K38" s="1467">
        <v>-0.08</v>
      </c>
      <c r="L38" s="1468">
        <v>0.53</v>
      </c>
      <c r="N38" s="1452">
        <f t="shared" si="110"/>
        <v>1.2999999999999999E-3</v>
      </c>
      <c r="O38" s="1469">
        <f t="shared" si="110"/>
        <v>7.4999999999999997E-3</v>
      </c>
      <c r="P38" s="1469">
        <f t="shared" si="110"/>
        <v>-8.0000000000000004E-4</v>
      </c>
      <c r="Q38" s="1469">
        <f t="shared" si="110"/>
        <v>5.3E-3</v>
      </c>
      <c r="R38" s="1454"/>
      <c r="S38" s="1452"/>
      <c r="T38" s="1453"/>
      <c r="U38" s="1453"/>
      <c r="V38" s="1453"/>
    </row>
    <row r="39" spans="1:26">
      <c r="A39" s="1441" t="s">
        <v>1162</v>
      </c>
      <c r="B39" s="1457">
        <f t="shared" si="120"/>
        <v>275.19335084830601</v>
      </c>
      <c r="C39" s="1457">
        <f t="shared" si="120"/>
        <v>230.18088050139744</v>
      </c>
      <c r="D39" s="1457">
        <f t="shared" si="108"/>
        <v>230.18088050139744</v>
      </c>
      <c r="E39" s="1457">
        <f t="shared" si="121"/>
        <v>377.58482925212331</v>
      </c>
      <c r="F39" s="1457">
        <f t="shared" si="121"/>
        <v>210.90687997847917</v>
      </c>
      <c r="G39" s="3828">
        <v>2011</v>
      </c>
      <c r="H39" s="1445">
        <v>2</v>
      </c>
      <c r="I39" s="1445">
        <v>-0.4</v>
      </c>
      <c r="J39" s="1445">
        <v>0.17</v>
      </c>
      <c r="K39" s="1445">
        <v>-0.57999999999999996</v>
      </c>
      <c r="L39" s="1459">
        <v>-0.2</v>
      </c>
      <c r="N39" s="1452">
        <f t="shared" si="110"/>
        <v>-4.0000000000000001E-3</v>
      </c>
      <c r="O39" s="1469">
        <f t="shared" si="110"/>
        <v>1.7000000000000001E-3</v>
      </c>
      <c r="P39" s="1469">
        <f t="shared" si="110"/>
        <v>-5.7999999999999996E-3</v>
      </c>
      <c r="Q39" s="1469">
        <f t="shared" si="110"/>
        <v>-2E-3</v>
      </c>
      <c r="R39" s="1454"/>
      <c r="S39" s="1452"/>
      <c r="T39" s="1453"/>
      <c r="U39" s="1453"/>
      <c r="V39" s="1453"/>
    </row>
    <row r="40" spans="1:26" ht="13.8" thickBot="1">
      <c r="A40" s="1441" t="s">
        <v>1163</v>
      </c>
      <c r="B40" s="1457">
        <f t="shared" si="120"/>
        <v>276.29854502841971</v>
      </c>
      <c r="C40" s="1457">
        <f t="shared" si="120"/>
        <v>229.79023709833027</v>
      </c>
      <c r="D40" s="1457">
        <f t="shared" si="108"/>
        <v>229.79023709833027</v>
      </c>
      <c r="E40" s="1457">
        <f t="shared" si="121"/>
        <v>379.78759731655936</v>
      </c>
      <c r="F40" s="1457">
        <f t="shared" si="121"/>
        <v>211.32953905659235</v>
      </c>
      <c r="G40" s="3829">
        <v>2011</v>
      </c>
      <c r="H40" s="1444">
        <v>1</v>
      </c>
      <c r="I40" s="1444">
        <v>2.65</v>
      </c>
      <c r="J40" s="1444">
        <v>3.76</v>
      </c>
      <c r="K40" s="1444">
        <v>1.89</v>
      </c>
      <c r="L40" s="1458">
        <v>7.95</v>
      </c>
      <c r="N40" s="1460">
        <f t="shared" si="110"/>
        <v>2.6499999999999999E-2</v>
      </c>
      <c r="O40" s="1461">
        <f t="shared" si="110"/>
        <v>3.7599999999999995E-2</v>
      </c>
      <c r="P40" s="1461">
        <f t="shared" si="110"/>
        <v>1.89E-2</v>
      </c>
      <c r="Q40" s="1461">
        <f t="shared" si="110"/>
        <v>7.9500000000000001E-2</v>
      </c>
      <c r="R40" s="1454"/>
      <c r="S40" s="1460">
        <f>B40/B41-1</f>
        <v>2.713213765211786E-2</v>
      </c>
      <c r="T40" s="1461">
        <f>C40/C41-1</f>
        <v>3.9774828499231862E-2</v>
      </c>
      <c r="U40" s="1461">
        <f>E40/E41-1</f>
        <v>1.8197311840641772E-2</v>
      </c>
      <c r="V40" s="1461">
        <f>F40/F41-1</f>
        <v>7.8211933962205826E-2</v>
      </c>
      <c r="X40" s="1440"/>
      <c r="Y40" s="1440"/>
      <c r="Z40" s="1440"/>
    </row>
    <row r="41" spans="1:26" ht="13.8" thickBot="1">
      <c r="A41" s="1441" t="s">
        <v>1164</v>
      </c>
      <c r="B41" s="1449">
        <v>269</v>
      </c>
      <c r="C41" s="1449">
        <v>221</v>
      </c>
      <c r="D41" s="1449">
        <f t="shared" si="108"/>
        <v>221</v>
      </c>
      <c r="E41" s="1449">
        <v>373</v>
      </c>
      <c r="F41" s="1450">
        <v>196</v>
      </c>
      <c r="G41" s="3827">
        <v>2010</v>
      </c>
      <c r="H41" s="1462">
        <v>4</v>
      </c>
      <c r="I41" s="1462">
        <v>5.72</v>
      </c>
      <c r="J41" s="1462">
        <v>6.57</v>
      </c>
      <c r="K41" s="1462">
        <v>5.72</v>
      </c>
      <c r="L41" s="1463">
        <v>2.72</v>
      </c>
      <c r="N41" s="1452">
        <f t="shared" si="110"/>
        <v>5.7200000000000001E-2</v>
      </c>
      <c r="O41" s="1453">
        <f t="shared" si="110"/>
        <v>6.5700000000000008E-2</v>
      </c>
      <c r="P41" s="1453">
        <f t="shared" si="110"/>
        <v>5.7200000000000001E-2</v>
      </c>
      <c r="Q41" s="1453">
        <f t="shared" si="110"/>
        <v>2.7200000000000002E-2</v>
      </c>
      <c r="R41" s="1454"/>
      <c r="S41" s="1455"/>
      <c r="T41" s="1456"/>
      <c r="U41" s="1456"/>
      <c r="V41" s="1456"/>
      <c r="X41" s="1456"/>
      <c r="Y41" s="1456"/>
      <c r="Z41" s="1456"/>
    </row>
    <row r="42" spans="1:26">
      <c r="A42" s="1441" t="s">
        <v>1165</v>
      </c>
      <c r="B42" s="1457">
        <f t="shared" ref="B42:C44" si="122">B41/(1+N41)</f>
        <v>254.44570563753314</v>
      </c>
      <c r="C42" s="1457">
        <f t="shared" si="122"/>
        <v>207.37543398705074</v>
      </c>
      <c r="D42" s="1457">
        <f t="shared" si="108"/>
        <v>207.37543398705074</v>
      </c>
      <c r="E42" s="1457">
        <f t="shared" ref="E42:F44" si="123">E41/(1+P41)</f>
        <v>352.81876655315932</v>
      </c>
      <c r="F42" s="1457">
        <f t="shared" si="123"/>
        <v>190.809968847352</v>
      </c>
      <c r="G42" s="3828">
        <v>2010</v>
      </c>
      <c r="H42" s="1467">
        <v>3</v>
      </c>
      <c r="I42" s="1467">
        <v>4.7300000000000004</v>
      </c>
      <c r="J42" s="1467">
        <v>3.9</v>
      </c>
      <c r="K42" s="1467">
        <v>5.03</v>
      </c>
      <c r="L42" s="1468">
        <v>4.21</v>
      </c>
      <c r="N42" s="1452">
        <f t="shared" si="110"/>
        <v>4.7300000000000002E-2</v>
      </c>
      <c r="O42" s="1453">
        <f t="shared" si="110"/>
        <v>3.9E-2</v>
      </c>
      <c r="P42" s="1453">
        <f t="shared" si="110"/>
        <v>5.0300000000000004E-2</v>
      </c>
      <c r="Q42" s="1453">
        <f t="shared" si="110"/>
        <v>4.2099999999999999E-2</v>
      </c>
      <c r="R42" s="1454"/>
      <c r="S42" s="1452"/>
      <c r="T42" s="1453"/>
      <c r="U42" s="1453"/>
      <c r="V42" s="1453"/>
    </row>
    <row r="43" spans="1:26">
      <c r="A43" s="1441" t="s">
        <v>1166</v>
      </c>
      <c r="B43" s="1457">
        <f t="shared" si="122"/>
        <v>242.95398227588385</v>
      </c>
      <c r="C43" s="1457">
        <f t="shared" si="122"/>
        <v>199.59137053614126</v>
      </c>
      <c r="D43" s="1457">
        <f t="shared" si="108"/>
        <v>199.59137053614126</v>
      </c>
      <c r="E43" s="1457">
        <f t="shared" si="123"/>
        <v>335.92189522342125</v>
      </c>
      <c r="F43" s="1457">
        <f t="shared" si="123"/>
        <v>183.10139991109489</v>
      </c>
      <c r="G43" s="3828">
        <v>2010</v>
      </c>
      <c r="H43" s="1445">
        <v>2</v>
      </c>
      <c r="I43" s="1445">
        <v>4.6900000000000004</v>
      </c>
      <c r="J43" s="1445">
        <v>3.55</v>
      </c>
      <c r="K43" s="1445">
        <v>5.07</v>
      </c>
      <c r="L43" s="1459">
        <v>4.2300000000000004</v>
      </c>
      <c r="N43" s="1452">
        <f t="shared" si="110"/>
        <v>4.6900000000000004E-2</v>
      </c>
      <c r="O43" s="1453">
        <f t="shared" si="110"/>
        <v>3.5499999999999997E-2</v>
      </c>
      <c r="P43" s="1453">
        <f t="shared" si="110"/>
        <v>5.0700000000000002E-2</v>
      </c>
      <c r="Q43" s="1453">
        <f t="shared" si="110"/>
        <v>4.2300000000000004E-2</v>
      </c>
      <c r="R43" s="1454"/>
      <c r="S43" s="1452"/>
      <c r="T43" s="1453"/>
      <c r="U43" s="1453"/>
      <c r="V43" s="1453"/>
    </row>
    <row r="44" spans="1:26" ht="13.8" thickBot="1">
      <c r="A44" s="1441" t="s">
        <v>1167</v>
      </c>
      <c r="B44" s="1457">
        <f t="shared" si="122"/>
        <v>232.06990378821649</v>
      </c>
      <c r="C44" s="1457">
        <f t="shared" si="122"/>
        <v>192.74878854286936</v>
      </c>
      <c r="D44" s="1457">
        <f t="shared" si="108"/>
        <v>192.74878854286936</v>
      </c>
      <c r="E44" s="1457">
        <f t="shared" si="123"/>
        <v>319.71247284992984</v>
      </c>
      <c r="F44" s="1457">
        <f t="shared" si="123"/>
        <v>175.67053622862409</v>
      </c>
      <c r="G44" s="3829">
        <v>2010</v>
      </c>
      <c r="H44" s="1444">
        <v>1</v>
      </c>
      <c r="I44" s="1444">
        <v>5.4</v>
      </c>
      <c r="J44" s="1444">
        <v>3.2</v>
      </c>
      <c r="K44" s="1444">
        <v>6.16</v>
      </c>
      <c r="L44" s="1458">
        <v>4.51</v>
      </c>
      <c r="N44" s="1452">
        <f t="shared" si="110"/>
        <v>5.4000000000000006E-2</v>
      </c>
      <c r="O44" s="1453">
        <f t="shared" si="110"/>
        <v>3.2000000000000001E-2</v>
      </c>
      <c r="P44" s="1453">
        <f t="shared" si="110"/>
        <v>6.1600000000000002E-2</v>
      </c>
      <c r="Q44" s="1453">
        <f t="shared" si="110"/>
        <v>4.5100000000000001E-2</v>
      </c>
      <c r="R44" s="1454"/>
      <c r="S44" s="1460">
        <f>B44/B45-1</f>
        <v>5.4863199037347599E-2</v>
      </c>
      <c r="T44" s="1461">
        <f>C44/C45-1</f>
        <v>3.0742184721226584E-2</v>
      </c>
      <c r="U44" s="1461">
        <f>E44/E45-1</f>
        <v>6.2167683886810154E-2</v>
      </c>
      <c r="V44" s="1461">
        <f>F44/F45-1</f>
        <v>4.5657953741810031E-2</v>
      </c>
      <c r="X44" s="1440"/>
      <c r="Y44" s="1440"/>
      <c r="Z44" s="1440"/>
    </row>
    <row r="45" spans="1:26" ht="13.8" thickBot="1">
      <c r="A45" s="1441" t="s">
        <v>1168</v>
      </c>
      <c r="B45" s="1449">
        <v>220</v>
      </c>
      <c r="C45" s="1449">
        <v>187</v>
      </c>
      <c r="D45" s="1449">
        <f t="shared" si="108"/>
        <v>187</v>
      </c>
      <c r="E45" s="1449">
        <v>301</v>
      </c>
      <c r="F45" s="1450">
        <v>168</v>
      </c>
      <c r="G45" s="3827">
        <v>2009</v>
      </c>
      <c r="H45" s="1462">
        <v>4</v>
      </c>
      <c r="I45" s="1462">
        <v>2.2999999999999998</v>
      </c>
      <c r="J45" s="1462">
        <v>1.04</v>
      </c>
      <c r="K45" s="1462">
        <v>2.84</v>
      </c>
      <c r="L45" s="1463">
        <v>0.67</v>
      </c>
      <c r="N45" s="1464">
        <f t="shared" si="110"/>
        <v>2.3E-2</v>
      </c>
      <c r="O45" s="1465">
        <f t="shared" si="110"/>
        <v>1.04E-2</v>
      </c>
      <c r="P45" s="1465">
        <f t="shared" si="110"/>
        <v>2.8399999999999998E-2</v>
      </c>
      <c r="Q45" s="1465">
        <f t="shared" si="110"/>
        <v>6.7000000000000002E-3</v>
      </c>
      <c r="R45" s="1454"/>
      <c r="S45" s="1455"/>
      <c r="T45" s="1456"/>
      <c r="U45" s="1456"/>
      <c r="V45" s="1456"/>
      <c r="X45" s="1456"/>
      <c r="Y45" s="1456"/>
      <c r="Z45" s="1456"/>
    </row>
    <row r="46" spans="1:26">
      <c r="A46" s="1441" t="s">
        <v>1169</v>
      </c>
      <c r="B46" s="1457">
        <f t="shared" ref="B46:C48" si="124">B45/(1+N45)</f>
        <v>215.05376344086022</v>
      </c>
      <c r="C46" s="1457">
        <f t="shared" si="124"/>
        <v>185.0752177355503</v>
      </c>
      <c r="D46" s="1457">
        <f t="shared" si="108"/>
        <v>185.0752177355503</v>
      </c>
      <c r="E46" s="1457">
        <f t="shared" ref="E46:F48" si="125">E45/(1+P45)</f>
        <v>292.68767016725008</v>
      </c>
      <c r="F46" s="1457">
        <f t="shared" si="125"/>
        <v>166.88189132810174</v>
      </c>
      <c r="G46" s="3828">
        <v>2009</v>
      </c>
      <c r="H46" s="1467">
        <v>3</v>
      </c>
      <c r="I46" s="1467">
        <v>2.1</v>
      </c>
      <c r="J46" s="1467">
        <v>1.86</v>
      </c>
      <c r="K46" s="1467">
        <v>2.29</v>
      </c>
      <c r="L46" s="1468">
        <v>0.85</v>
      </c>
      <c r="N46" s="1452">
        <f t="shared" si="110"/>
        <v>2.1000000000000001E-2</v>
      </c>
      <c r="O46" s="1469">
        <f t="shared" si="110"/>
        <v>1.8600000000000002E-2</v>
      </c>
      <c r="P46" s="1469">
        <f t="shared" si="110"/>
        <v>2.29E-2</v>
      </c>
      <c r="Q46" s="1469">
        <f t="shared" si="110"/>
        <v>8.5000000000000006E-3</v>
      </c>
      <c r="R46" s="1454"/>
      <c r="S46" s="1452"/>
      <c r="T46" s="1453"/>
      <c r="U46" s="1453"/>
      <c r="V46" s="1453"/>
    </row>
    <row r="47" spans="1:26">
      <c r="A47" s="1441" t="s">
        <v>1170</v>
      </c>
      <c r="B47" s="1457">
        <f t="shared" si="124"/>
        <v>210.630522469011</v>
      </c>
      <c r="C47" s="1457">
        <f t="shared" si="124"/>
        <v>181.69567812247232</v>
      </c>
      <c r="D47" s="1457">
        <f t="shared" si="108"/>
        <v>181.69567812247232</v>
      </c>
      <c r="E47" s="1457">
        <f t="shared" si="125"/>
        <v>286.13517466736738</v>
      </c>
      <c r="F47" s="1457">
        <f t="shared" si="125"/>
        <v>165.47535084591149</v>
      </c>
      <c r="G47" s="3828">
        <v>2009</v>
      </c>
      <c r="H47" s="1445">
        <v>2</v>
      </c>
      <c r="I47" s="1445">
        <v>0.86</v>
      </c>
      <c r="J47" s="1445">
        <v>-1.1299999999999999</v>
      </c>
      <c r="K47" s="1445">
        <v>1.79</v>
      </c>
      <c r="L47" s="1459">
        <v>-2.0699999999999998</v>
      </c>
      <c r="N47" s="1452">
        <f t="shared" si="110"/>
        <v>8.6E-3</v>
      </c>
      <c r="O47" s="1469">
        <f t="shared" si="110"/>
        <v>-1.1299999999999999E-2</v>
      </c>
      <c r="P47" s="1469">
        <f t="shared" si="110"/>
        <v>1.7899999999999999E-2</v>
      </c>
      <c r="Q47" s="1469">
        <f t="shared" si="110"/>
        <v>-2.07E-2</v>
      </c>
      <c r="R47" s="1454"/>
      <c r="S47" s="1452"/>
      <c r="T47" s="1453"/>
      <c r="U47" s="1453"/>
      <c r="V47" s="1453"/>
    </row>
    <row r="48" spans="1:26">
      <c r="A48" s="1441" t="s">
        <v>1171</v>
      </c>
      <c r="B48" s="1457">
        <f t="shared" si="124"/>
        <v>208.83454537875372</v>
      </c>
      <c r="C48" s="1457">
        <f t="shared" si="124"/>
        <v>183.77230517090351</v>
      </c>
      <c r="D48" s="1457">
        <f t="shared" si="108"/>
        <v>183.77230517090351</v>
      </c>
      <c r="E48" s="1457">
        <f t="shared" si="125"/>
        <v>281.10342338870947</v>
      </c>
      <c r="F48" s="1457">
        <f t="shared" si="125"/>
        <v>168.97309388942256</v>
      </c>
      <c r="G48" s="3829">
        <v>2009</v>
      </c>
      <c r="H48" s="1444">
        <v>1</v>
      </c>
      <c r="I48" s="1444">
        <v>-2.64</v>
      </c>
      <c r="J48" s="1444">
        <v>-2.5299999999999998</v>
      </c>
      <c r="K48" s="1444">
        <v>-3.02</v>
      </c>
      <c r="L48" s="1458">
        <v>1.52</v>
      </c>
      <c r="N48" s="1460">
        <f t="shared" si="110"/>
        <v>-2.64E-2</v>
      </c>
      <c r="O48" s="1461">
        <f t="shared" si="110"/>
        <v>-2.53E-2</v>
      </c>
      <c r="P48" s="1461">
        <f t="shared" si="110"/>
        <v>-3.0200000000000001E-2</v>
      </c>
      <c r="Q48" s="1461">
        <f t="shared" si="110"/>
        <v>1.52E-2</v>
      </c>
      <c r="R48" s="1454"/>
      <c r="S48" s="1460">
        <f>B48/B49-1</f>
        <v>-2.4137638417038754E-2</v>
      </c>
      <c r="T48" s="1461">
        <f>C48/C49-1</f>
        <v>-2.248773845264096E-2</v>
      </c>
      <c r="U48" s="1461">
        <f>E48/E49-1</f>
        <v>-2.7323794502735366E-2</v>
      </c>
      <c r="V48" s="1461">
        <f>F48/F49-1</f>
        <v>1.7910204153148035E-2</v>
      </c>
      <c r="X48" s="1440"/>
      <c r="Y48" s="1440"/>
      <c r="Z48" s="1440"/>
    </row>
    <row r="49" spans="1:26" ht="13.8" thickBot="1">
      <c r="A49" s="1441" t="s">
        <v>1172</v>
      </c>
      <c r="B49" s="1491">
        <v>214</v>
      </c>
      <c r="C49" s="1491">
        <v>188</v>
      </c>
      <c r="D49" s="1491">
        <f t="shared" si="108"/>
        <v>188</v>
      </c>
      <c r="E49" s="1491">
        <v>289</v>
      </c>
      <c r="F49" s="1492">
        <v>166</v>
      </c>
      <c r="G49" s="3827">
        <v>2008</v>
      </c>
      <c r="H49" s="1462">
        <v>4</v>
      </c>
      <c r="I49" s="1462">
        <v>1.73</v>
      </c>
      <c r="J49" s="1462">
        <v>0.03</v>
      </c>
      <c r="K49" s="1462">
        <v>2.59</v>
      </c>
      <c r="L49" s="1463">
        <v>-1.66</v>
      </c>
      <c r="N49" s="1452">
        <f t="shared" si="110"/>
        <v>1.7299999999999999E-2</v>
      </c>
      <c r="O49" s="1453">
        <f t="shared" si="110"/>
        <v>2.9999999999999997E-4</v>
      </c>
      <c r="P49" s="1453">
        <f t="shared" si="110"/>
        <v>2.5899999999999999E-2</v>
      </c>
      <c r="Q49" s="1453">
        <f t="shared" si="110"/>
        <v>-1.66E-2</v>
      </c>
      <c r="R49" s="1454"/>
      <c r="S49" s="1455"/>
      <c r="T49" s="1456"/>
      <c r="U49" s="1456"/>
      <c r="V49" s="1456"/>
      <c r="X49" s="1456"/>
      <c r="Y49" s="1456"/>
      <c r="Z49" s="1456"/>
    </row>
    <row r="50" spans="1:26">
      <c r="A50" s="1441" t="s">
        <v>1173</v>
      </c>
      <c r="B50" s="1457">
        <f t="shared" ref="B50:C52" si="126">B49/(1+N49)</f>
        <v>210.36075887152265</v>
      </c>
      <c r="C50" s="1457">
        <f t="shared" si="126"/>
        <v>187.94361691492554</v>
      </c>
      <c r="D50" s="1457">
        <f t="shared" si="108"/>
        <v>187.94361691492554</v>
      </c>
      <c r="E50" s="1457">
        <f t="shared" ref="E50:F52" si="127">E49/(1+P49)</f>
        <v>281.70386977288234</v>
      </c>
      <c r="F50" s="1457">
        <f t="shared" si="127"/>
        <v>168.80211511083994</v>
      </c>
      <c r="G50" s="3828">
        <v>2008</v>
      </c>
      <c r="H50" s="1467">
        <v>3</v>
      </c>
      <c r="I50" s="1467">
        <v>1.96</v>
      </c>
      <c r="J50" s="1467">
        <v>2.36</v>
      </c>
      <c r="K50" s="1467">
        <v>1.82</v>
      </c>
      <c r="L50" s="1468">
        <v>2.2200000000000002</v>
      </c>
      <c r="N50" s="1452">
        <f t="shared" si="110"/>
        <v>1.9599999999999999E-2</v>
      </c>
      <c r="O50" s="1453">
        <f t="shared" si="110"/>
        <v>2.3599999999999999E-2</v>
      </c>
      <c r="P50" s="1453">
        <f t="shared" si="110"/>
        <v>1.8200000000000001E-2</v>
      </c>
      <c r="Q50" s="1453">
        <f t="shared" si="110"/>
        <v>2.2200000000000001E-2</v>
      </c>
      <c r="R50" s="1454"/>
      <c r="S50" s="1452"/>
      <c r="T50" s="1453"/>
      <c r="U50" s="1453"/>
      <c r="V50" s="1453"/>
    </row>
    <row r="51" spans="1:26">
      <c r="A51" s="1441" t="s">
        <v>1174</v>
      </c>
      <c r="B51" s="1457">
        <f t="shared" si="126"/>
        <v>206.31694671589116</v>
      </c>
      <c r="C51" s="1457">
        <f t="shared" si="126"/>
        <v>183.61041121036101</v>
      </c>
      <c r="D51" s="1457">
        <f t="shared" si="108"/>
        <v>183.61041121036101</v>
      </c>
      <c r="E51" s="1457">
        <f t="shared" si="127"/>
        <v>276.66850301795557</v>
      </c>
      <c r="F51" s="1457">
        <f t="shared" si="127"/>
        <v>165.1360938278614</v>
      </c>
      <c r="G51" s="3828">
        <v>2008</v>
      </c>
      <c r="H51" s="1445">
        <v>2</v>
      </c>
      <c r="I51" s="1445">
        <v>4.93</v>
      </c>
      <c r="J51" s="1445">
        <v>7.38</v>
      </c>
      <c r="K51" s="1445">
        <v>3.98</v>
      </c>
      <c r="L51" s="1459">
        <v>6.86</v>
      </c>
      <c r="N51" s="1452">
        <f t="shared" si="110"/>
        <v>4.9299999999999997E-2</v>
      </c>
      <c r="O51" s="1453">
        <f t="shared" si="110"/>
        <v>7.3800000000000004E-2</v>
      </c>
      <c r="P51" s="1453">
        <f t="shared" si="110"/>
        <v>3.9800000000000002E-2</v>
      </c>
      <c r="Q51" s="1453">
        <f t="shared" si="110"/>
        <v>6.8600000000000008E-2</v>
      </c>
      <c r="R51" s="1454"/>
      <c r="S51" s="1452"/>
      <c r="T51" s="1453"/>
      <c r="U51" s="1453"/>
      <c r="V51" s="1453"/>
    </row>
    <row r="52" spans="1:26" s="1497" customFormat="1" ht="13.8" thickBot="1">
      <c r="A52" s="1441" t="s">
        <v>1175</v>
      </c>
      <c r="B52" s="1494">
        <f t="shared" si="126"/>
        <v>196.62341248059772</v>
      </c>
      <c r="C52" s="1494">
        <f t="shared" si="126"/>
        <v>170.99125648199012</v>
      </c>
      <c r="D52" s="1494">
        <f t="shared" si="108"/>
        <v>170.99125648199012</v>
      </c>
      <c r="E52" s="1494">
        <f t="shared" si="127"/>
        <v>266.07857570490052</v>
      </c>
      <c r="F52" s="1494">
        <f t="shared" si="127"/>
        <v>154.53499328828505</v>
      </c>
      <c r="G52" s="3829">
        <v>2008</v>
      </c>
      <c r="H52" s="1495">
        <v>1</v>
      </c>
      <c r="I52" s="1495">
        <v>4.1399999999999997</v>
      </c>
      <c r="J52" s="1495">
        <v>3.45</v>
      </c>
      <c r="K52" s="1495">
        <v>4.95</v>
      </c>
      <c r="L52" s="1496">
        <v>4.82</v>
      </c>
      <c r="N52" s="1498">
        <f t="shared" si="110"/>
        <v>4.1399999999999999E-2</v>
      </c>
      <c r="O52" s="1499">
        <f t="shared" si="110"/>
        <v>3.4500000000000003E-2</v>
      </c>
      <c r="P52" s="1499">
        <f t="shared" si="110"/>
        <v>4.9500000000000002E-2</v>
      </c>
      <c r="Q52" s="1499">
        <f t="shared" si="110"/>
        <v>4.82E-2</v>
      </c>
      <c r="R52" s="1500"/>
      <c r="S52" s="1498">
        <f>B52/B53-1</f>
        <v>4.5869215322328349E-2</v>
      </c>
      <c r="T52" s="1499">
        <f>C52/C53-1</f>
        <v>3.6310645345394743E-2</v>
      </c>
      <c r="U52" s="1499">
        <f>E52/E53-1</f>
        <v>4.7553447657088688E-2</v>
      </c>
      <c r="V52" s="1499">
        <f>F52/F53-1</f>
        <v>4.4155360055980086E-2</v>
      </c>
      <c r="X52" s="1501"/>
      <c r="Y52" s="1501"/>
      <c r="Z52" s="1501"/>
    </row>
    <row r="53" spans="1:26" ht="13.8" thickBot="1">
      <c r="A53" s="1441" t="s">
        <v>1176</v>
      </c>
      <c r="B53" s="1449">
        <v>188</v>
      </c>
      <c r="C53" s="1449">
        <v>165</v>
      </c>
      <c r="D53" s="1449">
        <f t="shared" si="108"/>
        <v>165</v>
      </c>
      <c r="E53" s="1449">
        <v>254</v>
      </c>
      <c r="F53" s="1450">
        <v>148</v>
      </c>
      <c r="G53" s="3827">
        <v>2007</v>
      </c>
      <c r="H53" s="1502">
        <v>4</v>
      </c>
      <c r="I53" s="1502">
        <v>5.51</v>
      </c>
      <c r="J53" s="1502">
        <v>4.8899999999999997</v>
      </c>
      <c r="K53" s="1502">
        <v>6.43</v>
      </c>
      <c r="L53" s="1503">
        <v>5.36</v>
      </c>
      <c r="N53" s="1504">
        <f t="shared" ref="N53:O56" si="128">B53/B54-1</f>
        <v>4.1339718365245526E-2</v>
      </c>
      <c r="O53" s="1505">
        <f t="shared" si="128"/>
        <v>4.0324492593776018E-2</v>
      </c>
      <c r="P53" s="1505">
        <f t="shared" ref="P53:Q56" si="129">E53/E54-1</f>
        <v>6.1625555347990968E-2</v>
      </c>
      <c r="Q53" s="1505">
        <f t="shared" si="129"/>
        <v>4.6757569250590603E-2</v>
      </c>
      <c r="R53" s="1454"/>
      <c r="S53" s="1455"/>
      <c r="T53" s="1456"/>
      <c r="U53" s="1456"/>
      <c r="V53" s="1456"/>
      <c r="X53" s="1456"/>
      <c r="Y53" s="1456"/>
      <c r="Z53" s="1456"/>
    </row>
    <row r="54" spans="1:26">
      <c r="A54" s="1441" t="s">
        <v>1177</v>
      </c>
      <c r="B54" s="1457">
        <f t="shared" ref="B54:C56" si="130">B55+(B$53-B$57)*I54/SUM(I$53:I$56)</f>
        <v>180.5366651097618</v>
      </c>
      <c r="C54" s="1457">
        <f t="shared" si="130"/>
        <v>158.60435967302453</v>
      </c>
      <c r="D54" s="1457">
        <f t="shared" si="108"/>
        <v>158.60435967302453</v>
      </c>
      <c r="E54" s="1457">
        <f t="shared" ref="E54:F56" si="131">E55+(E$53-E$57)*K54/SUM(K$53:K$56)</f>
        <v>239.25573260785075</v>
      </c>
      <c r="F54" s="1457">
        <f t="shared" si="131"/>
        <v>141.38899430740037</v>
      </c>
      <c r="G54" s="3828">
        <v>2007</v>
      </c>
      <c r="H54" s="1467">
        <v>3</v>
      </c>
      <c r="I54" s="1467">
        <v>8.65</v>
      </c>
      <c r="J54" s="1467">
        <v>8.06</v>
      </c>
      <c r="K54" s="1467">
        <v>9.94</v>
      </c>
      <c r="L54" s="1468">
        <v>5.8</v>
      </c>
      <c r="N54" s="1504">
        <f t="shared" si="128"/>
        <v>6.940217571740015E-2</v>
      </c>
      <c r="O54" s="1505">
        <f t="shared" si="128"/>
        <v>7.1197482471153428E-2</v>
      </c>
      <c r="P54" s="1505">
        <f t="shared" si="129"/>
        <v>0.10529679922579582</v>
      </c>
      <c r="Q54" s="1505">
        <f t="shared" si="129"/>
        <v>5.3292245059512133E-2</v>
      </c>
      <c r="R54" s="1454"/>
      <c r="S54" s="1452"/>
      <c r="T54" s="1453"/>
      <c r="U54" s="1453"/>
      <c r="V54" s="1453"/>
      <c r="X54" s="1506"/>
      <c r="Y54" s="1506"/>
      <c r="Z54" s="1506"/>
    </row>
    <row r="55" spans="1:26">
      <c r="A55" s="1441" t="s">
        <v>1178</v>
      </c>
      <c r="B55" s="1457">
        <f t="shared" si="130"/>
        <v>168.82017748715555</v>
      </c>
      <c r="C55" s="1457">
        <f t="shared" si="130"/>
        <v>148.06267029972753</v>
      </c>
      <c r="D55" s="1457">
        <f t="shared" si="108"/>
        <v>148.06267029972753</v>
      </c>
      <c r="E55" s="1457">
        <f t="shared" si="131"/>
        <v>216.46288379323747</v>
      </c>
      <c r="F55" s="1457">
        <f t="shared" si="131"/>
        <v>134.23529411764704</v>
      </c>
      <c r="G55" s="3828">
        <v>2007</v>
      </c>
      <c r="H55" s="1445">
        <v>2</v>
      </c>
      <c r="I55" s="1445">
        <v>3.67</v>
      </c>
      <c r="J55" s="1445">
        <v>2.3199999999999998</v>
      </c>
      <c r="K55" s="1445">
        <v>5.0199999999999996</v>
      </c>
      <c r="L55" s="1459">
        <v>6.71</v>
      </c>
      <c r="N55" s="1504">
        <f t="shared" si="128"/>
        <v>3.0339138143848032E-2</v>
      </c>
      <c r="O55" s="1505">
        <f t="shared" si="128"/>
        <v>2.0922341588790472E-2</v>
      </c>
      <c r="P55" s="1505">
        <f t="shared" si="129"/>
        <v>5.6164796592717003E-2</v>
      </c>
      <c r="Q55" s="1505">
        <f t="shared" si="129"/>
        <v>6.5704536723887319E-2</v>
      </c>
      <c r="R55" s="1454"/>
      <c r="S55" s="1452"/>
      <c r="T55" s="1453"/>
      <c r="U55" s="1453"/>
      <c r="V55" s="1453"/>
      <c r="X55" s="1506"/>
      <c r="Y55" s="1506"/>
      <c r="Z55" s="1506"/>
    </row>
    <row r="56" spans="1:26">
      <c r="A56" s="1441" t="s">
        <v>1179</v>
      </c>
      <c r="B56" s="1457">
        <f t="shared" si="130"/>
        <v>163.84913591779542</v>
      </c>
      <c r="C56" s="1457">
        <f t="shared" si="130"/>
        <v>145.0283378746594</v>
      </c>
      <c r="D56" s="1457">
        <f t="shared" si="108"/>
        <v>145.0283378746594</v>
      </c>
      <c r="E56" s="1457">
        <f t="shared" si="131"/>
        <v>204.95180722891567</v>
      </c>
      <c r="F56" s="1457">
        <f t="shared" si="131"/>
        <v>125.95920303605313</v>
      </c>
      <c r="G56" s="3829">
        <v>2007</v>
      </c>
      <c r="H56" s="1444">
        <v>1</v>
      </c>
      <c r="I56" s="1444">
        <v>3.58</v>
      </c>
      <c r="J56" s="1444">
        <v>3.08</v>
      </c>
      <c r="K56" s="1444">
        <v>4.34</v>
      </c>
      <c r="L56" s="1458">
        <v>3.21</v>
      </c>
      <c r="N56" s="1507">
        <f t="shared" si="128"/>
        <v>3.0497710174814063E-2</v>
      </c>
      <c r="O56" s="1508">
        <f t="shared" si="128"/>
        <v>2.8569772160704998E-2</v>
      </c>
      <c r="P56" s="1508">
        <f t="shared" si="129"/>
        <v>5.1034908866234296E-2</v>
      </c>
      <c r="Q56" s="1508">
        <f t="shared" si="129"/>
        <v>3.245248390207478E-2</v>
      </c>
      <c r="R56" s="1454"/>
      <c r="S56" s="1460">
        <f>B56/B57-1</f>
        <v>3.0497710174814063E-2</v>
      </c>
      <c r="T56" s="1461">
        <f>C56/C57-1</f>
        <v>2.8569772160704998E-2</v>
      </c>
      <c r="U56" s="1461">
        <f>E56/E57-1</f>
        <v>5.1034908866234296E-2</v>
      </c>
      <c r="V56" s="1461">
        <f>F56/F57-1</f>
        <v>3.245248390207478E-2</v>
      </c>
      <c r="X56" s="1506"/>
      <c r="Y56" s="1506"/>
      <c r="Z56" s="1506"/>
    </row>
    <row r="57" spans="1:26" ht="13.8" thickBot="1">
      <c r="A57" s="1441" t="s">
        <v>1180</v>
      </c>
      <c r="B57" s="1470">
        <v>159</v>
      </c>
      <c r="C57" s="1470">
        <v>141</v>
      </c>
      <c r="D57" s="1470">
        <f t="shared" si="108"/>
        <v>141</v>
      </c>
      <c r="E57" s="1470">
        <v>195</v>
      </c>
      <c r="F57" s="1471">
        <v>122</v>
      </c>
      <c r="G57" s="3827">
        <v>2006</v>
      </c>
      <c r="H57" s="1462">
        <v>4</v>
      </c>
      <c r="I57" s="1462">
        <v>3.79</v>
      </c>
      <c r="J57" s="1462">
        <v>2.21</v>
      </c>
      <c r="K57" s="1462">
        <v>5.65</v>
      </c>
      <c r="L57" s="1463">
        <v>5.41</v>
      </c>
      <c r="N57" s="1504">
        <f t="shared" ref="N57:O60" si="132">I57/SUM(I$57:I$60)*(B$57/B$61-1)</f>
        <v>7.245466462748526E-2</v>
      </c>
      <c r="O57" s="1505">
        <f t="shared" si="132"/>
        <v>2.3237230038062766E-2</v>
      </c>
      <c r="P57" s="1505">
        <f t="shared" ref="P57:Q60" si="133">K57/SUM(K$57:K$60)*(E$57/E$61-1)</f>
        <v>0.16146893866323722</v>
      </c>
      <c r="Q57" s="1505">
        <f t="shared" si="133"/>
        <v>5.0755230321793784E-2</v>
      </c>
      <c r="R57" s="1454"/>
      <c r="S57" s="1455"/>
      <c r="T57" s="1456"/>
      <c r="U57" s="1456"/>
      <c r="V57" s="1456"/>
      <c r="X57" s="1506"/>
      <c r="Y57" s="1506"/>
      <c r="Z57" s="1506"/>
    </row>
    <row r="58" spans="1:26">
      <c r="A58" s="1441" t="s">
        <v>1181</v>
      </c>
      <c r="B58" s="1457">
        <f t="shared" ref="B58:C60" si="134">B59+(B$57-B$61)*I58/SUM(I$57:I$60)</f>
        <v>149.00125628140702</v>
      </c>
      <c r="C58" s="1457">
        <f t="shared" si="134"/>
        <v>137.95592286501378</v>
      </c>
      <c r="D58" s="1457">
        <f t="shared" si="108"/>
        <v>137.95592286501378</v>
      </c>
      <c r="E58" s="1457">
        <f t="shared" ref="E58:F60" si="135">E59+(E$57-E$61)*K58/SUM(K$57:K$60)</f>
        <v>169.97231450719823</v>
      </c>
      <c r="F58" s="1457">
        <f t="shared" si="135"/>
        <v>116.21390374331551</v>
      </c>
      <c r="G58" s="3828">
        <v>2006</v>
      </c>
      <c r="H58" s="1467">
        <v>3</v>
      </c>
      <c r="I58" s="1467">
        <v>0.92</v>
      </c>
      <c r="J58" s="1467">
        <v>1.08</v>
      </c>
      <c r="K58" s="1467">
        <v>0.73</v>
      </c>
      <c r="L58" s="1468">
        <v>1.08</v>
      </c>
      <c r="N58" s="1504">
        <f t="shared" si="132"/>
        <v>1.7587939698492462E-2</v>
      </c>
      <c r="O58" s="1505">
        <f t="shared" si="132"/>
        <v>1.1355750425840628E-2</v>
      </c>
      <c r="P58" s="1505">
        <f t="shared" si="133"/>
        <v>2.0862358446754544E-2</v>
      </c>
      <c r="Q58" s="1505">
        <f t="shared" si="133"/>
        <v>1.0132282578103011E-2</v>
      </c>
      <c r="R58" s="1454"/>
      <c r="S58" s="1452"/>
      <c r="T58" s="1453"/>
      <c r="U58" s="1453"/>
      <c r="V58" s="1453"/>
      <c r="X58" s="1506"/>
      <c r="Y58" s="1506"/>
      <c r="Z58" s="1506"/>
    </row>
    <row r="59" spans="1:26">
      <c r="A59" s="1441" t="s">
        <v>1182</v>
      </c>
      <c r="B59" s="1457">
        <f t="shared" si="134"/>
        <v>146.57412060301507</v>
      </c>
      <c r="C59" s="1457">
        <f t="shared" si="134"/>
        <v>136.46831955922866</v>
      </c>
      <c r="D59" s="1457">
        <f t="shared" si="108"/>
        <v>136.46831955922866</v>
      </c>
      <c r="E59" s="1457">
        <f t="shared" si="135"/>
        <v>166.73864894795128</v>
      </c>
      <c r="F59" s="1457">
        <f t="shared" si="135"/>
        <v>115.05882352941177</v>
      </c>
      <c r="G59" s="3828">
        <v>2006</v>
      </c>
      <c r="H59" s="1445">
        <v>2</v>
      </c>
      <c r="I59" s="1445">
        <v>0.96</v>
      </c>
      <c r="J59" s="1445">
        <v>0.25</v>
      </c>
      <c r="K59" s="1445">
        <v>1.9</v>
      </c>
      <c r="L59" s="1459">
        <v>0.95</v>
      </c>
      <c r="N59" s="1504">
        <f t="shared" si="132"/>
        <v>1.8352632728861701E-2</v>
      </c>
      <c r="O59" s="1505">
        <f t="shared" si="132"/>
        <v>2.6286459319075526E-3</v>
      </c>
      <c r="P59" s="1505">
        <f t="shared" si="133"/>
        <v>5.4299289107991269E-2</v>
      </c>
      <c r="Q59" s="1505">
        <f t="shared" si="133"/>
        <v>8.9126559714794995E-3</v>
      </c>
      <c r="R59" s="1454"/>
      <c r="S59" s="1452"/>
      <c r="T59" s="1453"/>
      <c r="U59" s="1453"/>
      <c r="V59" s="1453"/>
      <c r="X59" s="1506"/>
      <c r="Y59" s="1506"/>
      <c r="Z59" s="1506"/>
    </row>
    <row r="60" spans="1:26">
      <c r="A60" s="1441" t="s">
        <v>1183</v>
      </c>
      <c r="B60" s="1457">
        <f t="shared" si="134"/>
        <v>144.04145728643215</v>
      </c>
      <c r="C60" s="1457">
        <f t="shared" si="134"/>
        <v>136.12396694214877</v>
      </c>
      <c r="D60" s="1457">
        <f t="shared" si="108"/>
        <v>136.12396694214877</v>
      </c>
      <c r="E60" s="1457">
        <f t="shared" si="135"/>
        <v>158.32225913621264</v>
      </c>
      <c r="F60" s="1457">
        <f t="shared" si="135"/>
        <v>114.04278074866311</v>
      </c>
      <c r="G60" s="3829">
        <v>2006</v>
      </c>
      <c r="H60" s="1444">
        <v>1</v>
      </c>
      <c r="I60" s="1444">
        <v>2.29</v>
      </c>
      <c r="J60" s="1444">
        <v>3.72</v>
      </c>
      <c r="K60" s="1444">
        <v>0.75</v>
      </c>
      <c r="L60" s="1458">
        <v>0.04</v>
      </c>
      <c r="N60" s="1507">
        <f t="shared" si="132"/>
        <v>4.3778675988638847E-2</v>
      </c>
      <c r="O60" s="1508">
        <f t="shared" si="132"/>
        <v>3.9114251466784385E-2</v>
      </c>
      <c r="P60" s="1508">
        <f t="shared" si="133"/>
        <v>2.1433929911049188E-2</v>
      </c>
      <c r="Q60" s="1508">
        <f t="shared" si="133"/>
        <v>3.7526972511492629E-4</v>
      </c>
      <c r="R60" s="1454"/>
      <c r="S60" s="1460">
        <f>B60/B61-1</f>
        <v>4.3778675988638716E-2</v>
      </c>
      <c r="T60" s="1461">
        <f>C60/C61-1</f>
        <v>3.91142514667846E-2</v>
      </c>
      <c r="U60" s="1461">
        <f>E60/E61-1</f>
        <v>2.143392991104931E-2</v>
      </c>
      <c r="V60" s="1461">
        <f>F60/F61-1</f>
        <v>3.7526972511492396E-4</v>
      </c>
      <c r="X60" s="1506"/>
      <c r="Y60" s="1506"/>
      <c r="Z60" s="1506"/>
    </row>
    <row r="61" spans="1:26" ht="13.8" thickBot="1">
      <c r="A61" s="1441" t="s">
        <v>1184</v>
      </c>
      <c r="B61" s="1470">
        <v>138</v>
      </c>
      <c r="C61" s="1470">
        <v>131</v>
      </c>
      <c r="D61" s="1470">
        <f t="shared" si="108"/>
        <v>131</v>
      </c>
      <c r="E61" s="1470">
        <v>155</v>
      </c>
      <c r="F61" s="1471">
        <v>114</v>
      </c>
      <c r="G61" s="3827">
        <v>2005</v>
      </c>
      <c r="H61" s="1462">
        <v>4</v>
      </c>
      <c r="I61" s="1462">
        <v>3.29</v>
      </c>
      <c r="J61" s="1462">
        <v>1.44</v>
      </c>
      <c r="K61" s="1462">
        <v>0.66</v>
      </c>
      <c r="L61" s="1463">
        <v>7.78</v>
      </c>
      <c r="N61" s="1504">
        <f t="shared" ref="N61:O64" si="136">I61/SUM(I$61:I$64)*(B$61/B$65-1)</f>
        <v>9.9404603216919935E-2</v>
      </c>
      <c r="O61" s="1505">
        <f t="shared" si="136"/>
        <v>4.7636550760861554E-2</v>
      </c>
      <c r="P61" s="1505">
        <f t="shared" ref="P61:Q64" si="137">K61/SUM(K$61:K$64)*(E$61/E$65-1)</f>
        <v>8.3756345177664976E-2</v>
      </c>
      <c r="Q61" s="1505">
        <f t="shared" si="137"/>
        <v>5.2148766661559584E-2</v>
      </c>
      <c r="R61" s="1454"/>
      <c r="S61" s="1455"/>
      <c r="T61" s="1456"/>
      <c r="U61" s="1456"/>
      <c r="V61" s="1456"/>
      <c r="X61" s="1506"/>
      <c r="Y61" s="1506"/>
      <c r="Z61" s="1506"/>
    </row>
    <row r="62" spans="1:26">
      <c r="A62" s="1441" t="s">
        <v>1185</v>
      </c>
      <c r="B62" s="1457">
        <f t="shared" ref="B62:C64" si="138">B63+(B$61-B$65)*I62/SUM(I$61:I$64)</f>
        <v>125.9720430107527</v>
      </c>
      <c r="C62" s="1457">
        <f t="shared" si="138"/>
        <v>125.1883408071749</v>
      </c>
      <c r="D62" s="1457">
        <f t="shared" si="108"/>
        <v>125.1883408071749</v>
      </c>
      <c r="E62" s="1457">
        <f t="shared" ref="E62:F64" si="139">E63+(E$61-E$65)*K62/SUM(K$61:K$64)</f>
        <v>144.61421319796952</v>
      </c>
      <c r="F62" s="1457">
        <f t="shared" si="139"/>
        <v>108.42008196721311</v>
      </c>
      <c r="G62" s="3828">
        <v>2005</v>
      </c>
      <c r="H62" s="1467">
        <v>3</v>
      </c>
      <c r="I62" s="1467">
        <v>0.46</v>
      </c>
      <c r="J62" s="1467">
        <v>0.32</v>
      </c>
      <c r="K62" s="1467">
        <v>0.42</v>
      </c>
      <c r="L62" s="1468">
        <v>0.64</v>
      </c>
      <c r="N62" s="1504">
        <f t="shared" si="136"/>
        <v>1.3898515951301874E-2</v>
      </c>
      <c r="O62" s="1505">
        <f t="shared" si="136"/>
        <v>1.0585900169080346E-2</v>
      </c>
      <c r="P62" s="1505">
        <f t="shared" si="137"/>
        <v>5.3299492385786795E-2</v>
      </c>
      <c r="Q62" s="1505">
        <f t="shared" si="137"/>
        <v>4.2898728359123568E-3</v>
      </c>
      <c r="R62" s="1454"/>
      <c r="S62" s="1452"/>
      <c r="T62" s="1453"/>
      <c r="U62" s="1453"/>
      <c r="V62" s="1453"/>
      <c r="X62" s="1506"/>
      <c r="Y62" s="1506"/>
      <c r="Z62" s="1506"/>
    </row>
    <row r="63" spans="1:26">
      <c r="A63" s="1441" t="s">
        <v>1186</v>
      </c>
      <c r="B63" s="1457">
        <f t="shared" si="138"/>
        <v>124.29032258064517</v>
      </c>
      <c r="C63" s="1457">
        <f t="shared" si="138"/>
        <v>123.8968609865471</v>
      </c>
      <c r="D63" s="1457">
        <f t="shared" si="108"/>
        <v>123.8968609865471</v>
      </c>
      <c r="E63" s="1457">
        <f t="shared" si="139"/>
        <v>138.00507614213197</v>
      </c>
      <c r="F63" s="1457">
        <f t="shared" si="139"/>
        <v>107.96106557377048</v>
      </c>
      <c r="G63" s="3828">
        <v>2005</v>
      </c>
      <c r="H63" s="1445">
        <v>2</v>
      </c>
      <c r="I63" s="1445">
        <v>0.47</v>
      </c>
      <c r="J63" s="1445">
        <v>0.1</v>
      </c>
      <c r="K63" s="1445">
        <v>0.52</v>
      </c>
      <c r="L63" s="1459">
        <v>0.79</v>
      </c>
      <c r="N63" s="1504">
        <f t="shared" si="136"/>
        <v>1.420065760241713E-2</v>
      </c>
      <c r="O63" s="1505">
        <f t="shared" si="136"/>
        <v>3.3080938028376083E-3</v>
      </c>
      <c r="P63" s="1505">
        <f t="shared" si="137"/>
        <v>6.598984771573603E-2</v>
      </c>
      <c r="Q63" s="1505">
        <f t="shared" si="137"/>
        <v>5.2953117818293153E-3</v>
      </c>
      <c r="R63" s="1454"/>
      <c r="S63" s="1452"/>
      <c r="T63" s="1453"/>
      <c r="U63" s="1453"/>
      <c r="V63" s="1453"/>
      <c r="X63" s="1506"/>
      <c r="Y63" s="1506"/>
      <c r="Z63" s="1506"/>
    </row>
    <row r="64" spans="1:26">
      <c r="A64" s="1441" t="s">
        <v>1187</v>
      </c>
      <c r="B64" s="1457">
        <f t="shared" si="138"/>
        <v>122.57204301075269</v>
      </c>
      <c r="C64" s="1457">
        <f t="shared" si="138"/>
        <v>123.4932735426009</v>
      </c>
      <c r="D64" s="1457">
        <f t="shared" si="108"/>
        <v>123.4932735426009</v>
      </c>
      <c r="E64" s="1457">
        <f t="shared" si="139"/>
        <v>129.82233502538071</v>
      </c>
      <c r="F64" s="1457">
        <f t="shared" si="139"/>
        <v>107.39446721311475</v>
      </c>
      <c r="G64" s="3829">
        <v>2005</v>
      </c>
      <c r="H64" s="1444">
        <v>1</v>
      </c>
      <c r="I64" s="1444">
        <v>0.43</v>
      </c>
      <c r="J64" s="1444">
        <v>0.37</v>
      </c>
      <c r="K64" s="1444">
        <v>0.37</v>
      </c>
      <c r="L64" s="1458">
        <v>0.55000000000000004</v>
      </c>
      <c r="N64" s="1507">
        <f t="shared" si="136"/>
        <v>1.2992090997956099E-2</v>
      </c>
      <c r="O64" s="1508">
        <f t="shared" si="136"/>
        <v>1.2239947070499151E-2</v>
      </c>
      <c r="P64" s="1508">
        <f t="shared" si="137"/>
        <v>4.6954314720812178E-2</v>
      </c>
      <c r="Q64" s="1508">
        <f t="shared" si="137"/>
        <v>3.6866094683621815E-3</v>
      </c>
      <c r="R64" s="1454"/>
      <c r="S64" s="1460">
        <f>B64/B65-1</f>
        <v>1.2992090997956174E-2</v>
      </c>
      <c r="T64" s="1461">
        <f>C64/C65-1</f>
        <v>1.2239947070499246E-2</v>
      </c>
      <c r="U64" s="1461">
        <f>E64/E65-1</f>
        <v>4.695431472081224E-2</v>
      </c>
      <c r="V64" s="1461">
        <f>F64/F65-1</f>
        <v>3.6866094683620787E-3</v>
      </c>
      <c r="X64" s="1506"/>
      <c r="Y64" s="1506"/>
      <c r="Z64" s="1506"/>
    </row>
    <row r="65" spans="1:26" ht="13.8" thickBot="1">
      <c r="A65" s="1441" t="s">
        <v>1188</v>
      </c>
      <c r="B65" s="1491">
        <v>121</v>
      </c>
      <c r="C65" s="1491">
        <v>122</v>
      </c>
      <c r="D65" s="1491">
        <f t="shared" si="108"/>
        <v>122</v>
      </c>
      <c r="E65" s="1491">
        <v>124</v>
      </c>
      <c r="F65" s="1492">
        <v>107</v>
      </c>
      <c r="G65" s="3827">
        <v>2004</v>
      </c>
      <c r="H65" s="1462">
        <v>4</v>
      </c>
      <c r="I65" s="1462">
        <v>0.33</v>
      </c>
      <c r="J65" s="1462">
        <v>0.5</v>
      </c>
      <c r="K65" s="1462">
        <v>0.5</v>
      </c>
      <c r="L65" s="1463">
        <v>0</v>
      </c>
      <c r="N65" s="1504">
        <f t="shared" ref="N65:O68" si="140">I65/SUM(I$65:I$68)*(B$65/B$69-1)</f>
        <v>1.3391770148526898E-2</v>
      </c>
      <c r="O65" s="1505">
        <f t="shared" si="140"/>
        <v>1.063264221158958E-2</v>
      </c>
      <c r="P65" s="1505">
        <f t="shared" ref="P65:Q68" si="141">K65/SUM(K$65:K$68)*(E$65/E$69-1)</f>
        <v>2.2244466688911134E-2</v>
      </c>
      <c r="Q65" s="1505">
        <f t="shared" si="141"/>
        <v>0</v>
      </c>
      <c r="R65" s="1454"/>
      <c r="S65" s="1455"/>
      <c r="T65" s="1456"/>
      <c r="U65" s="1456"/>
      <c r="V65" s="1456"/>
      <c r="X65" s="1506"/>
      <c r="Y65" s="1506"/>
      <c r="Z65" s="1506"/>
    </row>
    <row r="66" spans="1:26">
      <c r="A66" s="1441" t="s">
        <v>1189</v>
      </c>
      <c r="B66" s="1457">
        <f t="shared" ref="B66:C68" si="142">B67+(B$65-B$69)*I66/SUM(I$65:I$68)</f>
        <v>119.51351351351352</v>
      </c>
      <c r="C66" s="1457">
        <f t="shared" si="142"/>
        <v>120.7878787878788</v>
      </c>
      <c r="D66" s="1457">
        <f t="shared" si="108"/>
        <v>120.7878787878788</v>
      </c>
      <c r="E66" s="1457">
        <f t="shared" ref="E66:F68" si="143">E67+(E$65-E$69)*K66/SUM(K$65:K$68)</f>
        <v>121.5975975975976</v>
      </c>
      <c r="F66" s="1457">
        <f t="shared" si="143"/>
        <v>107</v>
      </c>
      <c r="G66" s="3828">
        <v>2004</v>
      </c>
      <c r="H66" s="1467">
        <v>3</v>
      </c>
      <c r="I66" s="1467">
        <v>0.56000000000000005</v>
      </c>
      <c r="J66" s="1467">
        <v>0.8</v>
      </c>
      <c r="K66" s="1467">
        <v>0.83</v>
      </c>
      <c r="L66" s="1468">
        <v>0.06</v>
      </c>
      <c r="N66" s="1504">
        <f t="shared" si="140"/>
        <v>2.2725428130833527E-2</v>
      </c>
      <c r="O66" s="1505">
        <f t="shared" si="140"/>
        <v>1.7012227538543329E-2</v>
      </c>
      <c r="P66" s="1505">
        <f t="shared" si="141"/>
        <v>3.6925814703592477E-2</v>
      </c>
      <c r="Q66" s="1505">
        <f t="shared" si="141"/>
        <v>2.8846153846153744E-2</v>
      </c>
      <c r="R66" s="1454"/>
      <c r="S66" s="1452"/>
      <c r="T66" s="1453"/>
      <c r="U66" s="1453"/>
      <c r="V66" s="1453"/>
      <c r="X66" s="1506"/>
      <c r="Y66" s="1506"/>
      <c r="Z66" s="1506"/>
    </row>
    <row r="67" spans="1:26">
      <c r="A67" s="1441" t="s">
        <v>1190</v>
      </c>
      <c r="B67" s="1457">
        <f t="shared" si="142"/>
        <v>116.99099099099099</v>
      </c>
      <c r="C67" s="1457">
        <f t="shared" si="142"/>
        <v>118.84848484848486</v>
      </c>
      <c r="D67" s="1457">
        <f t="shared" si="108"/>
        <v>118.84848484848486</v>
      </c>
      <c r="E67" s="1457">
        <f t="shared" si="143"/>
        <v>117.60960960960961</v>
      </c>
      <c r="F67" s="1457">
        <f t="shared" si="143"/>
        <v>104</v>
      </c>
      <c r="G67" s="3828">
        <v>2004</v>
      </c>
      <c r="H67" s="1445">
        <v>2</v>
      </c>
      <c r="I67" s="1445">
        <v>1</v>
      </c>
      <c r="J67" s="1445">
        <v>1.5</v>
      </c>
      <c r="K67" s="1445">
        <v>1.5</v>
      </c>
      <c r="L67" s="1459">
        <v>0</v>
      </c>
      <c r="N67" s="1504">
        <f t="shared" si="140"/>
        <v>4.0581121662202721E-2</v>
      </c>
      <c r="O67" s="1505">
        <f t="shared" si="140"/>
        <v>3.1897926634768738E-2</v>
      </c>
      <c r="P67" s="1505">
        <f t="shared" si="141"/>
        <v>6.6733400066733395E-2</v>
      </c>
      <c r="Q67" s="1505">
        <f t="shared" si="141"/>
        <v>0</v>
      </c>
      <c r="R67" s="1454"/>
      <c r="S67" s="1452"/>
      <c r="T67" s="1453"/>
      <c r="U67" s="1453"/>
      <c r="V67" s="1453"/>
      <c r="X67" s="1506"/>
      <c r="Y67" s="1506"/>
      <c r="Z67" s="1506"/>
    </row>
    <row r="68" spans="1:26" s="1497" customFormat="1" ht="13.8" thickBot="1">
      <c r="A68" s="1441" t="s">
        <v>1191</v>
      </c>
      <c r="B68" s="1494">
        <f t="shared" si="142"/>
        <v>112.48648648648648</v>
      </c>
      <c r="C68" s="1494">
        <f t="shared" si="142"/>
        <v>115.21212121212122</v>
      </c>
      <c r="D68" s="1494">
        <f t="shared" si="108"/>
        <v>115.21212121212122</v>
      </c>
      <c r="E68" s="1494">
        <f t="shared" si="143"/>
        <v>110.4024024024024</v>
      </c>
      <c r="F68" s="1494">
        <f t="shared" si="143"/>
        <v>104</v>
      </c>
      <c r="G68" s="3829">
        <v>2004</v>
      </c>
      <c r="H68" s="1495">
        <v>1</v>
      </c>
      <c r="I68" s="1495">
        <v>0.33</v>
      </c>
      <c r="J68" s="1495">
        <v>0.5</v>
      </c>
      <c r="K68" s="1495">
        <v>0.5</v>
      </c>
      <c r="L68" s="1496">
        <v>0</v>
      </c>
      <c r="N68" s="1509">
        <f t="shared" si="140"/>
        <v>1.3391770148526898E-2</v>
      </c>
      <c r="O68" s="1510">
        <f t="shared" si="140"/>
        <v>1.063264221158958E-2</v>
      </c>
      <c r="P68" s="1510">
        <f t="shared" si="141"/>
        <v>2.2244466688911134E-2</v>
      </c>
      <c r="Q68" s="1510">
        <f t="shared" si="141"/>
        <v>0</v>
      </c>
      <c r="R68" s="1500"/>
      <c r="S68" s="1498">
        <f>B68/B69-1</f>
        <v>1.3391770148526883E-2</v>
      </c>
      <c r="T68" s="1499">
        <f>C68/C69-1</f>
        <v>1.063264221158966E-2</v>
      </c>
      <c r="U68" s="1499">
        <f>E68/E69-1</f>
        <v>2.2244466688911224E-2</v>
      </c>
      <c r="V68" s="1499">
        <f>F68/F69-1</f>
        <v>0</v>
      </c>
      <c r="X68" s="1511"/>
      <c r="Y68" s="1511"/>
      <c r="Z68" s="1511"/>
    </row>
    <row r="69" spans="1:26" ht="13.8" thickBot="1">
      <c r="A69" s="1441" t="s">
        <v>1192</v>
      </c>
      <c r="B69" s="1512">
        <v>111</v>
      </c>
      <c r="C69" s="1512">
        <v>114</v>
      </c>
      <c r="D69" s="1512">
        <f t="shared" si="108"/>
        <v>114</v>
      </c>
      <c r="E69" s="1512">
        <v>108</v>
      </c>
      <c r="F69" s="1513">
        <v>104</v>
      </c>
      <c r="G69" s="3827">
        <v>2003</v>
      </c>
      <c r="H69" s="1502">
        <v>4</v>
      </c>
      <c r="I69" s="1514"/>
      <c r="J69" s="1514"/>
      <c r="K69" s="1514"/>
      <c r="L69" s="1514"/>
      <c r="N69" s="1515"/>
      <c r="O69" s="1514"/>
      <c r="P69" s="1514"/>
      <c r="Q69" s="1514"/>
      <c r="S69" s="1515"/>
      <c r="T69" s="1514"/>
      <c r="U69" s="1514"/>
      <c r="V69" s="1514"/>
      <c r="X69" s="1506"/>
      <c r="Y69" s="1506"/>
      <c r="Z69" s="1506"/>
    </row>
    <row r="70" spans="1:26">
      <c r="A70" s="1441" t="s">
        <v>1193</v>
      </c>
      <c r="B70" s="1516">
        <f t="shared" ref="B70:C72" si="144">B71+(B$69-B$73)/4</f>
        <v>109.75</v>
      </c>
      <c r="C70" s="1516">
        <f t="shared" si="144"/>
        <v>112.25</v>
      </c>
      <c r="D70" s="1516">
        <f t="shared" si="108"/>
        <v>112.25</v>
      </c>
      <c r="E70" s="1516">
        <f t="shared" ref="E70:F72" si="145">E71+(E$69-E$73)/4</f>
        <v>107.25</v>
      </c>
      <c r="F70" s="1516">
        <f t="shared" si="145"/>
        <v>103.5</v>
      </c>
      <c r="G70" s="3828">
        <v>2003</v>
      </c>
      <c r="H70" s="1467">
        <v>3</v>
      </c>
      <c r="I70" s="1514"/>
      <c r="J70" s="1514"/>
      <c r="K70" s="1514"/>
      <c r="L70" s="1514"/>
      <c r="X70" s="1506"/>
      <c r="Y70" s="1506"/>
      <c r="Z70" s="1506"/>
    </row>
    <row r="71" spans="1:26">
      <c r="A71" s="1441" t="s">
        <v>1194</v>
      </c>
      <c r="B71" s="1516">
        <f t="shared" si="144"/>
        <v>108.5</v>
      </c>
      <c r="C71" s="1516">
        <f t="shared" si="144"/>
        <v>110.5</v>
      </c>
      <c r="D71" s="1516">
        <f t="shared" si="108"/>
        <v>110.5</v>
      </c>
      <c r="E71" s="1516">
        <f t="shared" si="145"/>
        <v>106.5</v>
      </c>
      <c r="F71" s="1516">
        <f t="shared" si="145"/>
        <v>103</v>
      </c>
      <c r="G71" s="3828">
        <v>2003</v>
      </c>
      <c r="H71" s="1445">
        <v>2</v>
      </c>
      <c r="I71" s="1514"/>
      <c r="J71" s="1514"/>
      <c r="K71" s="1514"/>
      <c r="L71" s="1514"/>
      <c r="X71" s="1506"/>
      <c r="Y71" s="1506"/>
      <c r="Z71" s="1506"/>
    </row>
    <row r="72" spans="1:26" ht="13.8" thickBot="1">
      <c r="A72" s="1441" t="s">
        <v>1195</v>
      </c>
      <c r="B72" s="1516">
        <f t="shared" si="144"/>
        <v>107.25</v>
      </c>
      <c r="C72" s="1516">
        <f t="shared" si="144"/>
        <v>108.75</v>
      </c>
      <c r="D72" s="1516">
        <f t="shared" si="108"/>
        <v>108.75</v>
      </c>
      <c r="E72" s="1516">
        <f t="shared" si="145"/>
        <v>105.75</v>
      </c>
      <c r="F72" s="1516">
        <f t="shared" si="145"/>
        <v>102.5</v>
      </c>
      <c r="G72" s="3829">
        <v>2003</v>
      </c>
      <c r="H72" s="1517">
        <v>1</v>
      </c>
      <c r="I72" s="1514"/>
      <c r="J72" s="1514"/>
      <c r="K72" s="1514"/>
      <c r="L72" s="1514"/>
      <c r="S72" s="1452"/>
      <c r="T72" s="1453"/>
      <c r="U72" s="1453"/>
      <c r="X72" s="1506"/>
      <c r="Y72" s="1506"/>
      <c r="Z72" s="1506"/>
    </row>
    <row r="73" spans="1:26" ht="13.8" thickBot="1">
      <c r="A73" s="1441" t="s">
        <v>1196</v>
      </c>
      <c r="B73" s="1518">
        <v>106</v>
      </c>
      <c r="C73" s="1518">
        <v>107</v>
      </c>
      <c r="D73" s="1518">
        <f t="shared" si="108"/>
        <v>107</v>
      </c>
      <c r="E73" s="1518">
        <v>105</v>
      </c>
      <c r="F73" s="1519">
        <v>102</v>
      </c>
      <c r="G73" s="3827">
        <v>2002</v>
      </c>
      <c r="H73" s="1462">
        <v>4</v>
      </c>
      <c r="I73" s="1514"/>
      <c r="J73" s="1514"/>
      <c r="K73" s="1514"/>
      <c r="L73" s="1514"/>
      <c r="N73" s="1515"/>
      <c r="O73" s="1514"/>
      <c r="P73" s="1514"/>
      <c r="Q73" s="1514"/>
      <c r="S73" s="1515"/>
      <c r="T73" s="1514"/>
      <c r="U73" s="1514"/>
      <c r="V73" s="1514"/>
      <c r="X73" s="1506"/>
      <c r="Y73" s="1506"/>
      <c r="Z73" s="1506"/>
    </row>
    <row r="74" spans="1:26">
      <c r="A74" s="1441" t="s">
        <v>1197</v>
      </c>
      <c r="B74" s="1516">
        <f t="shared" ref="B74:C76" si="146">B75+(B$73-B$77)/4</f>
        <v>105</v>
      </c>
      <c r="C74" s="1516">
        <f t="shared" si="146"/>
        <v>106</v>
      </c>
      <c r="D74" s="1516">
        <f t="shared" si="108"/>
        <v>106</v>
      </c>
      <c r="E74" s="1516">
        <f t="shared" ref="E74:F76" si="147">E75+(E$73-E$77)/4</f>
        <v>104.5</v>
      </c>
      <c r="F74" s="1516">
        <f t="shared" si="147"/>
        <v>101.5</v>
      </c>
      <c r="G74" s="3828">
        <v>2002</v>
      </c>
      <c r="H74" s="1467">
        <v>3</v>
      </c>
      <c r="I74" s="1514"/>
      <c r="J74" s="1514"/>
      <c r="K74" s="1514"/>
      <c r="L74" s="1514"/>
      <c r="X74" s="1506"/>
      <c r="Y74" s="1506"/>
      <c r="Z74" s="1506"/>
    </row>
    <row r="75" spans="1:26">
      <c r="A75" s="1441" t="s">
        <v>1198</v>
      </c>
      <c r="B75" s="1516">
        <f t="shared" si="146"/>
        <v>104</v>
      </c>
      <c r="C75" s="1516">
        <f t="shared" si="146"/>
        <v>105</v>
      </c>
      <c r="D75" s="1516">
        <f t="shared" si="108"/>
        <v>105</v>
      </c>
      <c r="E75" s="1516">
        <f t="shared" si="147"/>
        <v>104</v>
      </c>
      <c r="F75" s="1516">
        <f t="shared" si="147"/>
        <v>101</v>
      </c>
      <c r="G75" s="3828">
        <v>2002</v>
      </c>
      <c r="H75" s="1445">
        <v>2</v>
      </c>
      <c r="I75" s="1514"/>
      <c r="J75" s="1514"/>
      <c r="K75" s="1514"/>
      <c r="L75" s="1514"/>
      <c r="X75" s="1506"/>
      <c r="Y75" s="1506"/>
      <c r="Z75" s="1506"/>
    </row>
    <row r="76" spans="1:26" s="1478" customFormat="1" ht="13.8" thickBot="1">
      <c r="A76" s="1474" t="s">
        <v>1199</v>
      </c>
      <c r="B76" s="1520">
        <f t="shared" si="146"/>
        <v>103</v>
      </c>
      <c r="C76" s="1520">
        <f t="shared" si="146"/>
        <v>104</v>
      </c>
      <c r="D76" s="1520">
        <f t="shared" si="108"/>
        <v>104</v>
      </c>
      <c r="E76" s="1520">
        <f t="shared" si="147"/>
        <v>103.5</v>
      </c>
      <c r="F76" s="1520">
        <f t="shared" si="147"/>
        <v>100.5</v>
      </c>
      <c r="G76" s="3829">
        <v>2002</v>
      </c>
      <c r="H76" s="1521">
        <v>1</v>
      </c>
      <c r="I76" s="1522"/>
      <c r="J76" s="1522"/>
      <c r="K76" s="1522"/>
      <c r="L76" s="1522"/>
      <c r="N76" s="1523"/>
      <c r="S76" s="1523"/>
      <c r="X76" s="1524"/>
      <c r="Y76" s="1524"/>
      <c r="Z76" s="1524"/>
    </row>
    <row r="77" spans="1:26" ht="13.8" thickBot="1">
      <c r="B77" s="1525">
        <v>102</v>
      </c>
      <c r="C77" s="1526">
        <v>103</v>
      </c>
      <c r="D77" s="1526">
        <f t="shared" si="108"/>
        <v>103</v>
      </c>
      <c r="E77" s="1526">
        <v>103</v>
      </c>
      <c r="F77" s="1527">
        <v>100</v>
      </c>
      <c r="I77" s="1514"/>
      <c r="J77" s="1514"/>
      <c r="K77" s="1514"/>
      <c r="L77" s="1514"/>
      <c r="N77" s="1515"/>
      <c r="O77" s="1514"/>
      <c r="P77" s="1514"/>
      <c r="Q77" s="1514"/>
      <c r="S77" s="1515"/>
      <c r="T77" s="1514"/>
      <c r="U77" s="1514"/>
      <c r="V77" s="1514"/>
      <c r="X77" s="1456"/>
      <c r="Y77" s="1456"/>
      <c r="Z77" s="1456"/>
    </row>
    <row r="79" spans="1:26" s="1529" customFormat="1">
      <c r="A79" s="1528" t="s">
        <v>1200</v>
      </c>
      <c r="G79" s="1530"/>
      <c r="N79" s="1530"/>
      <c r="S79" s="1530"/>
    </row>
    <row r="80" spans="1:26" s="1529" customFormat="1">
      <c r="A80" s="1529" t="s">
        <v>1201</v>
      </c>
      <c r="G80" s="1530"/>
      <c r="N80" s="1530"/>
      <c r="S80" s="1530"/>
    </row>
    <row r="81" spans="1:22" s="1529" customFormat="1">
      <c r="A81" s="1529" t="s">
        <v>1202</v>
      </c>
      <c r="G81" s="1530"/>
      <c r="I81" s="1531"/>
      <c r="J81" s="1531"/>
      <c r="K81" s="1531"/>
      <c r="L81" s="1531"/>
      <c r="N81" s="1532"/>
      <c r="O81" s="1531"/>
      <c r="P81" s="1531"/>
      <c r="Q81" s="1531"/>
      <c r="S81" s="1532"/>
      <c r="T81" s="1531"/>
      <c r="U81" s="1531"/>
      <c r="V81" s="1531"/>
    </row>
    <row r="82" spans="1:22" s="1529" customFormat="1">
      <c r="A82" s="1529" t="s">
        <v>1203</v>
      </c>
      <c r="G82" s="1530"/>
      <c r="N82" s="1530"/>
      <c r="S82" s="1530"/>
    </row>
    <row r="89" spans="1:22" ht="13.8" thickBot="1"/>
    <row r="90" spans="1:22">
      <c r="G90" s="1451"/>
      <c r="S90" s="1533" t="s">
        <v>1204</v>
      </c>
      <c r="T90" s="1534" t="s">
        <v>1205</v>
      </c>
      <c r="U90" s="1534" t="s">
        <v>1206</v>
      </c>
      <c r="V90" s="1534" t="s">
        <v>1207</v>
      </c>
    </row>
    <row r="91" spans="1:22">
      <c r="G91" s="1451"/>
      <c r="N91" s="1455"/>
      <c r="O91" s="1456"/>
      <c r="P91" s="1456"/>
      <c r="Q91" s="1456"/>
      <c r="S91" s="1535">
        <v>2006</v>
      </c>
      <c r="T91" s="1536">
        <v>15.1</v>
      </c>
      <c r="U91" s="1536">
        <v>7.43</v>
      </c>
      <c r="V91" s="1536">
        <v>26.26</v>
      </c>
    </row>
    <row r="92" spans="1:22">
      <c r="G92" s="1451"/>
      <c r="N92" s="1455"/>
      <c r="O92" s="1456"/>
      <c r="P92" s="1456"/>
      <c r="Q92" s="1456"/>
      <c r="S92" s="1537">
        <v>2005</v>
      </c>
      <c r="T92" s="1538">
        <v>13.9</v>
      </c>
      <c r="U92" s="1538">
        <v>7.49</v>
      </c>
      <c r="V92" s="1538">
        <v>24.92</v>
      </c>
    </row>
    <row r="93" spans="1:22">
      <c r="G93" s="1451"/>
      <c r="N93" s="1455"/>
      <c r="O93" s="1456"/>
      <c r="P93" s="1456"/>
      <c r="Q93" s="1456"/>
      <c r="S93" s="1535">
        <v>2004</v>
      </c>
      <c r="T93" s="1536">
        <v>9.48</v>
      </c>
      <c r="U93" s="1536">
        <v>7.2</v>
      </c>
      <c r="V93" s="1536">
        <v>14.68</v>
      </c>
    </row>
    <row r="94" spans="1:22">
      <c r="G94" s="1451"/>
      <c r="N94" s="1455"/>
      <c r="O94" s="1456"/>
      <c r="P94" s="1456"/>
      <c r="Q94" s="1456"/>
      <c r="S94" s="1537">
        <v>2003</v>
      </c>
      <c r="T94" s="1538">
        <v>4.5</v>
      </c>
      <c r="U94" s="1538">
        <v>6.12</v>
      </c>
      <c r="V94" s="1538">
        <v>2.34</v>
      </c>
    </row>
    <row r="95" spans="1:22" ht="13.8" thickBot="1">
      <c r="G95" s="1451"/>
      <c r="N95" s="1455"/>
      <c r="O95" s="1456"/>
      <c r="P95" s="1456"/>
      <c r="Q95" s="1456"/>
      <c r="S95" s="1539">
        <v>2002</v>
      </c>
      <c r="T95" s="1540">
        <v>3.59</v>
      </c>
      <c r="U95" s="1540">
        <v>4.54</v>
      </c>
      <c r="V95" s="1540">
        <v>2.5499999999999998</v>
      </c>
    </row>
    <row r="96" spans="1:22">
      <c r="G96" s="1451"/>
      <c r="N96" s="1455"/>
      <c r="O96" s="1456"/>
      <c r="P96" s="1456"/>
      <c r="Q96" s="1456"/>
    </row>
    <row r="97" spans="7:19">
      <c r="G97" s="1451"/>
      <c r="N97" s="1455"/>
      <c r="O97" s="1456"/>
      <c r="P97" s="1456"/>
      <c r="Q97" s="1456"/>
    </row>
    <row r="98" spans="7:19">
      <c r="G98" s="1451"/>
      <c r="N98" s="1455"/>
      <c r="O98" s="1456"/>
      <c r="P98" s="1456"/>
      <c r="Q98" s="1456"/>
    </row>
    <row r="99" spans="7:19">
      <c r="G99" s="1451"/>
      <c r="N99" s="1455"/>
      <c r="O99" s="1456"/>
      <c r="P99" s="1456"/>
      <c r="Q99" s="1456"/>
    </row>
    <row r="100" spans="7:19">
      <c r="G100" s="1451"/>
      <c r="N100" s="1455"/>
      <c r="O100" s="1456"/>
      <c r="P100" s="1456"/>
      <c r="Q100" s="1456"/>
    </row>
    <row r="101" spans="7:19">
      <c r="G101" s="1451"/>
      <c r="N101" s="1455"/>
      <c r="O101" s="1456"/>
      <c r="P101" s="1456"/>
      <c r="Q101" s="1456"/>
    </row>
    <row r="102" spans="7:19">
      <c r="G102" s="1451"/>
      <c r="N102" s="1455"/>
      <c r="O102" s="1456"/>
      <c r="P102" s="1456"/>
      <c r="Q102" s="1456"/>
    </row>
    <row r="103" spans="7:19">
      <c r="G103" s="1451"/>
      <c r="N103" s="1455"/>
      <c r="O103" s="1456"/>
      <c r="P103" s="1456"/>
      <c r="Q103" s="1456"/>
    </row>
    <row r="104" spans="7:19">
      <c r="G104" s="1451"/>
      <c r="N104" s="1455"/>
      <c r="O104" s="1456"/>
      <c r="P104" s="1456"/>
      <c r="Q104" s="1456"/>
    </row>
    <row r="105" spans="7:19">
      <c r="G105" s="1451"/>
      <c r="N105" s="1455"/>
      <c r="O105" s="1456"/>
      <c r="P105" s="1456"/>
      <c r="Q105" s="1456"/>
    </row>
    <row r="106" spans="7:19">
      <c r="G106" s="1451"/>
      <c r="N106" s="1455"/>
      <c r="O106" s="1456"/>
      <c r="P106" s="1456"/>
      <c r="Q106" s="1456"/>
      <c r="S106" s="1451"/>
    </row>
    <row r="107" spans="7:19">
      <c r="G107" s="1451"/>
      <c r="N107" s="1455"/>
      <c r="O107" s="1456"/>
      <c r="P107" s="1456"/>
      <c r="Q107" s="1456"/>
      <c r="S107" s="1451"/>
    </row>
    <row r="108" spans="7:19">
      <c r="G108" s="1451"/>
      <c r="N108" s="1455"/>
      <c r="O108" s="1456"/>
      <c r="P108" s="1456"/>
      <c r="Q108" s="1456"/>
      <c r="S108" s="1451"/>
    </row>
    <row r="109" spans="7:19">
      <c r="G109" s="1451"/>
      <c r="N109" s="1455"/>
      <c r="O109" s="1456"/>
      <c r="P109" s="1456"/>
      <c r="Q109" s="1456"/>
      <c r="S109" s="1451"/>
    </row>
    <row r="110" spans="7:19">
      <c r="G110" s="1451"/>
      <c r="N110" s="1455"/>
      <c r="O110" s="1456"/>
      <c r="P110" s="1456"/>
      <c r="Q110" s="1456"/>
      <c r="S110" s="1451"/>
    </row>
    <row r="111" spans="7:19">
      <c r="G111" s="1451"/>
      <c r="N111" s="1455"/>
      <c r="O111" s="1456"/>
      <c r="P111" s="1456"/>
      <c r="Q111" s="1456"/>
      <c r="S111" s="145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166717</v>
      </c>
      <c r="C2" s="2" t="s">
        <v>133</v>
      </c>
      <c r="D2" s="243"/>
      <c r="E2" s="243"/>
      <c r="F2" s="243"/>
      <c r="G2" s="243"/>
    </row>
    <row r="3" spans="1:7" s="244" customFormat="1" ht="18" customHeight="1" thickBot="1">
      <c r="A3" s="247" t="s">
        <v>85</v>
      </c>
      <c r="B3" s="248">
        <f ca="1">ROUND(B2*10000/'数据-汇总表'!E3,0)</f>
        <v>10016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8" t="s">
        <v>791</v>
      </c>
      <c r="B6" s="259" t="s">
        <v>91</v>
      </c>
      <c r="C6" s="260">
        <v>20000</v>
      </c>
      <c r="D6" s="261"/>
      <c r="E6" s="262"/>
      <c r="F6" s="262"/>
      <c r="G6" s="263"/>
    </row>
    <row r="7" spans="1:7" s="258" customFormat="1" ht="13.5" customHeight="1">
      <c r="A7" s="938" t="s">
        <v>792</v>
      </c>
      <c r="B7" s="259" t="s">
        <v>57</v>
      </c>
      <c r="C7" s="264">
        <f>ROUND(C6*F7,0)</f>
        <v>610</v>
      </c>
      <c r="D7" s="264"/>
      <c r="E7" s="262"/>
      <c r="F7" s="265">
        <f>'数据-取费表'!B48+'数据-取费表'!B49</f>
        <v>3.0499999999999999E-2</v>
      </c>
      <c r="G7" s="263"/>
    </row>
    <row r="8" spans="1:7" s="267" customFormat="1">
      <c r="A8" s="938" t="s">
        <v>793</v>
      </c>
      <c r="B8" s="259" t="s">
        <v>92</v>
      </c>
      <c r="C8" s="264" t="str">
        <f>IF(G8="已包含在土地购买价格中","0",'数据-取费表'!B29)</f>
        <v>0</v>
      </c>
      <c r="D8" s="266"/>
      <c r="E8" s="264"/>
      <c r="F8" s="265"/>
      <c r="G8" s="1" t="s">
        <v>1138</v>
      </c>
    </row>
    <row r="9" spans="1:7" s="258" customFormat="1" ht="13.5" customHeight="1">
      <c r="A9" s="939" t="s">
        <v>800</v>
      </c>
      <c r="B9" s="268" t="s">
        <v>93</v>
      </c>
      <c r="C9" s="269">
        <f>ROUND(D9*E9/10000,0)</f>
        <v>0</v>
      </c>
      <c r="D9" s="1021">
        <f>'数据-汇总表'!E5</f>
        <v>0</v>
      </c>
      <c r="E9" s="269">
        <f>'数据-取费表'!B27</f>
        <v>220</v>
      </c>
      <c r="F9" s="265"/>
      <c r="G9" s="270"/>
    </row>
    <row r="10" spans="1:7" s="258" customFormat="1" ht="13.5" customHeight="1">
      <c r="A10" s="939" t="s">
        <v>801</v>
      </c>
      <c r="B10" s="268" t="s">
        <v>94</v>
      </c>
      <c r="C10" s="269">
        <f>ROUND(D10*E10/10000,0)</f>
        <v>3662</v>
      </c>
      <c r="D10" s="1021">
        <f>'数据-汇总表'!E6</f>
        <v>166451.09</v>
      </c>
      <c r="E10" s="269">
        <f>'数据-取费表'!B28</f>
        <v>220</v>
      </c>
      <c r="F10" s="265"/>
      <c r="G10" s="270"/>
    </row>
    <row r="11" spans="1:7" s="258" customFormat="1" ht="13.5" hidden="1" customHeight="1">
      <c r="A11" s="271" t="s">
        <v>7</v>
      </c>
      <c r="B11" s="259" t="s">
        <v>95</v>
      </c>
      <c r="C11" s="255"/>
      <c r="D11" s="1023"/>
      <c r="E11" s="262"/>
      <c r="F11" s="262"/>
      <c r="G11" s="263"/>
    </row>
    <row r="12" spans="1:7" s="258" customFormat="1" ht="13.5" hidden="1" customHeight="1">
      <c r="A12" s="271" t="s">
        <v>8</v>
      </c>
      <c r="B12" s="259" t="s">
        <v>96</v>
      </c>
      <c r="C12" s="255">
        <v>0</v>
      </c>
      <c r="D12" s="1023"/>
      <c r="E12" s="272"/>
      <c r="F12" s="265">
        <v>3.0499999999999999E-2</v>
      </c>
      <c r="G12" s="263"/>
    </row>
    <row r="13" spans="1:7" s="258" customFormat="1" ht="13.5" hidden="1" customHeight="1">
      <c r="A13" s="271" t="s">
        <v>9</v>
      </c>
      <c r="B13" s="259" t="s">
        <v>97</v>
      </c>
      <c r="C13" s="255"/>
      <c r="D13" s="1023"/>
      <c r="E13" s="262"/>
      <c r="F13" s="262"/>
      <c r="G13" s="263"/>
    </row>
    <row r="14" spans="1:7" s="258" customFormat="1" ht="13.5" hidden="1" customHeight="1">
      <c r="A14" s="271" t="s">
        <v>10</v>
      </c>
      <c r="B14" s="259" t="s">
        <v>92</v>
      </c>
      <c r="C14" s="255"/>
      <c r="D14" s="1023"/>
      <c r="E14" s="262"/>
      <c r="F14" s="262"/>
      <c r="G14" s="263" t="s">
        <v>98</v>
      </c>
    </row>
    <row r="15" spans="1:7" s="258" customFormat="1" ht="13.5" hidden="1" customHeight="1">
      <c r="A15" s="271" t="s">
        <v>11</v>
      </c>
      <c r="B15" s="259" t="s">
        <v>99</v>
      </c>
      <c r="C15" s="264"/>
      <c r="D15" s="1023"/>
      <c r="E15" s="262"/>
      <c r="F15" s="262"/>
      <c r="G15" s="263" t="s">
        <v>100</v>
      </c>
    </row>
    <row r="16" spans="1:7" s="258" customFormat="1" ht="13.5" hidden="1" customHeight="1">
      <c r="A16" s="271" t="s">
        <v>12</v>
      </c>
      <c r="B16" s="259" t="s">
        <v>92</v>
      </c>
      <c r="C16" s="264"/>
      <c r="D16" s="1023"/>
      <c r="E16" s="262"/>
      <c r="F16" s="262"/>
      <c r="G16" s="263"/>
    </row>
    <row r="17" spans="1:7" s="258" customFormat="1" ht="13.5" hidden="1" customHeight="1">
      <c r="A17" s="271" t="s">
        <v>13</v>
      </c>
      <c r="B17" s="259" t="s">
        <v>101</v>
      </c>
      <c r="C17" s="273"/>
      <c r="D17" s="1024"/>
      <c r="E17" s="273"/>
      <c r="F17" s="273"/>
      <c r="G17" s="263" t="s">
        <v>100</v>
      </c>
    </row>
    <row r="18" spans="1:7" s="258" customFormat="1" ht="13.5" hidden="1" customHeight="1">
      <c r="A18" s="271" t="s">
        <v>14</v>
      </c>
      <c r="B18" s="259" t="s">
        <v>102</v>
      </c>
      <c r="C18" s="264">
        <v>0</v>
      </c>
      <c r="D18" s="1023"/>
      <c r="E18" s="262"/>
      <c r="F18" s="265">
        <v>3.0499999999999999E-2</v>
      </c>
      <c r="G18" s="263" t="s">
        <v>103</v>
      </c>
    </row>
    <row r="19" spans="1:7" s="267" customFormat="1" ht="13.5" customHeight="1">
      <c r="A19" s="937" t="s">
        <v>1052</v>
      </c>
      <c r="B19" s="254" t="s">
        <v>111</v>
      </c>
      <c r="C19" s="255">
        <f>IF(G19="已包含在土地取得成本中","0",ROUND(D19*E19/10000,0))</f>
        <v>3329</v>
      </c>
      <c r="D19" s="1025">
        <f>'数据-汇总表'!E3</f>
        <v>166451.09</v>
      </c>
      <c r="E19" s="255">
        <f>'数据-取费表'!B31</f>
        <v>200</v>
      </c>
      <c r="F19" s="275"/>
      <c r="G19" s="1" t="s">
        <v>1071</v>
      </c>
    </row>
    <row r="20" spans="1:7" s="258" customFormat="1" ht="13.5" customHeight="1">
      <c r="A20" s="937" t="s">
        <v>1054</v>
      </c>
      <c r="B20" s="254" t="s">
        <v>104</v>
      </c>
      <c r="C20" s="276">
        <f>ROUND((C5+C19)*F20,0)</f>
        <v>479</v>
      </c>
      <c r="D20" s="276"/>
      <c r="E20" s="276"/>
      <c r="F20" s="277">
        <f>'数据-取费表'!B37</f>
        <v>0.02</v>
      </c>
      <c r="G20" s="1270" t="s">
        <v>1065</v>
      </c>
    </row>
    <row r="21" spans="1:7" s="258" customFormat="1" ht="13.5" customHeight="1">
      <c r="A21" s="937" t="s">
        <v>1056</v>
      </c>
      <c r="B21" s="254" t="s">
        <v>105</v>
      </c>
      <c r="C21" s="279">
        <f>F21</f>
        <v>0.02</v>
      </c>
      <c r="D21" s="280" t="s">
        <v>126</v>
      </c>
      <c r="E21" s="276"/>
      <c r="F21" s="277">
        <f>'数据-取费表'!B38</f>
        <v>0.02</v>
      </c>
      <c r="G21" s="278" t="s">
        <v>106</v>
      </c>
    </row>
    <row r="22" spans="1:7" s="258" customFormat="1" ht="13.5" customHeight="1">
      <c r="A22" s="937" t="s">
        <v>786</v>
      </c>
      <c r="B22" s="254" t="s">
        <v>107</v>
      </c>
      <c r="C22" s="1335">
        <f ca="1">ROUND(SUM(C23:C25),0)</f>
        <v>3611</v>
      </c>
      <c r="D22" s="279">
        <f ca="1">C26</f>
        <v>1.4E-3</v>
      </c>
      <c r="E22" s="280" t="s">
        <v>126</v>
      </c>
      <c r="F22" s="281">
        <f ca="1">'数据-取费表'!B40</f>
        <v>4.7500000000000001E-2</v>
      </c>
      <c r="G22" s="1270" t="str">
        <f>IF('数据-取费表'!B22&lt;=1,"单利计息","复利计息")</f>
        <v>复利计息</v>
      </c>
    </row>
    <row r="23" spans="1:7" s="258" customFormat="1" ht="13.5" customHeight="1">
      <c r="A23" s="940" t="s">
        <v>794</v>
      </c>
      <c r="B23" s="259" t="s">
        <v>1058</v>
      </c>
      <c r="C23" s="1336">
        <f ca="1">ROUND(IF('数据-取费表'!B22&lt;=1,C5*F22*'数据-取费表'!B23,C5*(POWER((1+F22),'数据-取费表'!B23)-1)),0)</f>
        <v>3079</v>
      </c>
      <c r="D23" s="282"/>
      <c r="E23" s="282"/>
      <c r="F23" s="283"/>
      <c r="G23" s="284" t="s">
        <v>108</v>
      </c>
    </row>
    <row r="24" spans="1:7" s="258" customFormat="1" ht="13.5" customHeight="1">
      <c r="A24" s="940" t="s">
        <v>792</v>
      </c>
      <c r="B24" s="259" t="s">
        <v>1053</v>
      </c>
      <c r="C24" s="1336">
        <f ca="1">ROUND(IF('数据-取费表'!B22&lt;=1,C19*F22*('数据-取费表'!B19/2+'数据-取费表'!B21),C19*(POWER((1+F22),('数据-取费表'!B19/2+'数据-取费表'!B21))-1)),0)</f>
        <v>497</v>
      </c>
      <c r="D24" s="282"/>
      <c r="E24" s="282"/>
      <c r="F24" s="283"/>
      <c r="G24" s="284" t="s">
        <v>109</v>
      </c>
    </row>
    <row r="25" spans="1:7" s="258" customFormat="1" ht="24">
      <c r="A25" s="940" t="s">
        <v>793</v>
      </c>
      <c r="B25" s="259" t="s">
        <v>1055</v>
      </c>
      <c r="C25" s="1336">
        <f ca="1">ROUND(IF('数据-取费表'!B22&lt;=1,C20*F22*'数据-取费表'!B23/2,C20*(POWER((1+F22),'数据-取费表'!B23/2)-1)),0)</f>
        <v>35</v>
      </c>
      <c r="D25" s="282"/>
      <c r="E25" s="285"/>
      <c r="F25" s="283"/>
      <c r="G25" s="286" t="s">
        <v>110</v>
      </c>
    </row>
    <row r="26" spans="1:7" s="258" customFormat="1">
      <c r="A26" s="940" t="s">
        <v>795</v>
      </c>
      <c r="B26" s="259" t="s">
        <v>1057</v>
      </c>
      <c r="C26" s="282">
        <f ca="1">ROUND(IF('数据-取费表'!B22&lt;=1,F21*F22*'数据-取费表'!B23/2,F21*(POWER((1+F22),'数据-取费表'!B23/2)-1)),4)</f>
        <v>1.4E-3</v>
      </c>
      <c r="D26" s="282"/>
      <c r="E26" s="285"/>
      <c r="F26" s="283"/>
      <c r="G26" s="287"/>
    </row>
    <row r="27" spans="1:7" s="258" customFormat="1" ht="26.4">
      <c r="A27" s="937" t="s">
        <v>787</v>
      </c>
      <c r="B27" s="288" t="s">
        <v>112</v>
      </c>
      <c r="C27" s="289">
        <f>C28</f>
        <v>3907</v>
      </c>
      <c r="D27" s="279">
        <f>C29</f>
        <v>3.2000000000000002E-3</v>
      </c>
      <c r="E27" s="280" t="s">
        <v>126</v>
      </c>
      <c r="F27" s="290">
        <f>'数据-取费表'!Q16</f>
        <v>0.16</v>
      </c>
      <c r="G27" s="291" t="s">
        <v>1066</v>
      </c>
    </row>
    <row r="28" spans="1:7" s="258" customFormat="1" ht="13.5" customHeight="1">
      <c r="A28" s="940" t="s">
        <v>794</v>
      </c>
      <c r="B28" s="292" t="s">
        <v>1059</v>
      </c>
      <c r="C28" s="293">
        <f>ROUND((C5+C19+C20)*F27*'数据-取费表'!B21/'数据-取费表'!B20,0)</f>
        <v>3907</v>
      </c>
      <c r="D28" s="279"/>
      <c r="E28" s="280"/>
      <c r="F28" s="290"/>
      <c r="G28" s="291"/>
    </row>
    <row r="29" spans="1:7" s="258" customFormat="1" ht="13.5" customHeight="1">
      <c r="A29" s="940" t="s">
        <v>792</v>
      </c>
      <c r="B29" s="292" t="s">
        <v>1060</v>
      </c>
      <c r="C29" s="282">
        <f>ROUND(C21*F27*'数据-取费表'!B21/'数据-取费表'!B20,4)</f>
        <v>3.2000000000000002E-3</v>
      </c>
      <c r="D29" s="279"/>
      <c r="E29" s="280"/>
      <c r="F29" s="290"/>
      <c r="G29" s="291"/>
    </row>
    <row r="30" spans="1:7" s="258" customFormat="1" ht="13.5" customHeight="1">
      <c r="A30" s="93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34635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102010</v>
      </c>
      <c r="D33" s="276"/>
      <c r="E33" s="256"/>
      <c r="F33" s="285"/>
      <c r="G33" s="278"/>
    </row>
    <row r="34" spans="1:7" s="302" customFormat="1" ht="13.5" customHeight="1">
      <c r="A34" s="940" t="s">
        <v>794</v>
      </c>
      <c r="B34" s="259" t="s">
        <v>59</v>
      </c>
      <c r="C34" s="264">
        <f>IF(F34=100%,'数据-取费表'!M16-SUMIF('数据-取费表'!C:C,"公共配套",'数据-取费表'!M:M),'数据-取费表'!O16-SUMIF('数据-取费表'!C:C,"公共配套",'数据-取费表'!O:O))</f>
        <v>92658</v>
      </c>
      <c r="D34" s="261"/>
      <c r="E34" s="264"/>
      <c r="F34" s="301">
        <f>IF('数据-取费表'!B24=0,1,'数据-取费表'!N16)</f>
        <v>1</v>
      </c>
      <c r="G34" s="263" t="s">
        <v>116</v>
      </c>
    </row>
    <row r="35" spans="1:7" ht="13.5" customHeight="1">
      <c r="A35" s="940" t="s">
        <v>796</v>
      </c>
      <c r="B35" s="259" t="s">
        <v>60</v>
      </c>
      <c r="C35" s="264">
        <f>ROUND(C34*F35,0)</f>
        <v>4633</v>
      </c>
      <c r="D35" s="264"/>
      <c r="E35" s="264"/>
      <c r="F35" s="303">
        <f>'数据-取费表'!B33</f>
        <v>0.05</v>
      </c>
      <c r="G35" s="263" t="s">
        <v>117</v>
      </c>
    </row>
    <row r="36" spans="1:7" ht="24">
      <c r="A36" s="94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0" t="s">
        <v>798</v>
      </c>
      <c r="B37" s="259" t="s">
        <v>118</v>
      </c>
      <c r="C37" s="293">
        <f>ROUND(E37*D37*F34/10000,0)</f>
        <v>3329</v>
      </c>
      <c r="D37" s="261">
        <f>'数据-汇总表'!E3</f>
        <v>166451.09</v>
      </c>
      <c r="E37" s="293">
        <f>'数据-取费表'!B35</f>
        <v>200</v>
      </c>
      <c r="F37" s="303"/>
      <c r="G37" s="305" t="s">
        <v>119</v>
      </c>
    </row>
    <row r="38" spans="1:7" ht="13.5" customHeight="1">
      <c r="A38" s="940" t="s">
        <v>799</v>
      </c>
      <c r="B38" s="259" t="s">
        <v>63</v>
      </c>
      <c r="C38" s="264">
        <f>ROUND(C34*F38,0)</f>
        <v>1390</v>
      </c>
      <c r="D38" s="264"/>
      <c r="E38" s="264"/>
      <c r="F38" s="303">
        <f>'数据-取费表'!B36</f>
        <v>1.4999999999999999E-2</v>
      </c>
      <c r="G38" s="263" t="s">
        <v>117</v>
      </c>
    </row>
    <row r="39" spans="1:7" s="258" customFormat="1" ht="13.5" customHeight="1">
      <c r="A39" s="937" t="s">
        <v>783</v>
      </c>
      <c r="B39" s="254" t="s">
        <v>104</v>
      </c>
      <c r="C39" s="276">
        <f>ROUND(C33*F20,0)</f>
        <v>2040</v>
      </c>
      <c r="D39" s="276"/>
      <c r="E39" s="276"/>
      <c r="F39" s="277"/>
      <c r="G39" s="1270" t="s">
        <v>1068</v>
      </c>
    </row>
    <row r="40" spans="1:7" s="258" customFormat="1" ht="13.5" customHeight="1">
      <c r="A40" s="937" t="s">
        <v>784</v>
      </c>
      <c r="B40" s="254" t="s">
        <v>105</v>
      </c>
      <c r="C40" s="306">
        <f>F21</f>
        <v>0.02</v>
      </c>
      <c r="D40" s="280" t="s">
        <v>129</v>
      </c>
      <c r="E40" s="276"/>
      <c r="F40" s="277"/>
      <c r="G40" s="278" t="s">
        <v>120</v>
      </c>
    </row>
    <row r="41" spans="1:7" s="258" customFormat="1" ht="13.5" customHeight="1">
      <c r="A41" s="937" t="s">
        <v>785</v>
      </c>
      <c r="B41" s="254" t="s">
        <v>107</v>
      </c>
      <c r="C41" s="276">
        <f ca="1">ROUND(SUM(C42:C43),0)</f>
        <v>7501</v>
      </c>
      <c r="D41" s="279">
        <f ca="1">C44</f>
        <v>1.4E-3</v>
      </c>
      <c r="E41" s="280" t="s">
        <v>129</v>
      </c>
      <c r="F41" s="281"/>
      <c r="G41" s="1270" t="str">
        <f>IF('数据-取费表'!B22&lt;=1,"单利计息","复利计息")</f>
        <v>复利计息</v>
      </c>
    </row>
    <row r="42" spans="1:7" ht="13.5" customHeight="1">
      <c r="A42" s="940" t="s">
        <v>794</v>
      </c>
      <c r="B42" s="259" t="s">
        <v>1058</v>
      </c>
      <c r="C42" s="282">
        <f ca="1">ROUND(IF('数据-取费表'!B22&lt;=1,C33*F22*'数据-取费表'!B21/2,C33*(POWER((1+F22),'数据-取费表'!B21/2)-1)),0)</f>
        <v>7354</v>
      </c>
      <c r="D42" s="282"/>
      <c r="E42" s="282"/>
      <c r="F42" s="283"/>
      <c r="G42" s="3639" t="s">
        <v>121</v>
      </c>
    </row>
    <row r="43" spans="1:7" ht="13.5" customHeight="1">
      <c r="A43" s="940" t="s">
        <v>792</v>
      </c>
      <c r="B43" s="259" t="s">
        <v>1061</v>
      </c>
      <c r="C43" s="282">
        <f ca="1">ROUND(IF('数据-取费表'!B22&lt;=1,C39*F22*'数据-取费表'!B21/2,C39*(POWER((1+F22),'数据-取费表'!B21/2)-1)),0)</f>
        <v>147</v>
      </c>
      <c r="D43" s="282"/>
      <c r="E43" s="282"/>
      <c r="F43" s="283"/>
      <c r="G43" s="3640"/>
    </row>
    <row r="44" spans="1:7" ht="13.5" customHeight="1">
      <c r="A44" s="940" t="s">
        <v>793</v>
      </c>
      <c r="B44" s="259" t="s">
        <v>1063</v>
      </c>
      <c r="C44" s="282">
        <f ca="1">ROUND(IF('数据-取费表'!B22&lt;=1,C40*F22*'数据-取费表'!B21/2,C40*(POWER((1+F22),'数据-取费表'!B21/2)-1)),4)</f>
        <v>1.4E-3</v>
      </c>
      <c r="D44" s="282"/>
      <c r="E44" s="282"/>
      <c r="F44" s="283"/>
      <c r="G44" s="3641"/>
    </row>
    <row r="45" spans="1:7" s="258" customFormat="1" ht="13.5" customHeight="1">
      <c r="A45" s="937" t="s">
        <v>786</v>
      </c>
      <c r="B45" s="288" t="s">
        <v>112</v>
      </c>
      <c r="C45" s="289">
        <f>C46</f>
        <v>16648</v>
      </c>
      <c r="D45" s="279">
        <f>C47</f>
        <v>3.2000000000000002E-3</v>
      </c>
      <c r="E45" s="280" t="s">
        <v>129</v>
      </c>
      <c r="F45" s="290"/>
      <c r="G45" s="291" t="s">
        <v>1069</v>
      </c>
    </row>
    <row r="46" spans="1:7" s="258" customFormat="1" ht="13.5" customHeight="1">
      <c r="A46" s="940" t="s">
        <v>794</v>
      </c>
      <c r="B46" s="292" t="s">
        <v>1062</v>
      </c>
      <c r="C46" s="293">
        <f>ROUND((C33+C39)*F27,0)</f>
        <v>16648</v>
      </c>
      <c r="D46" s="307"/>
      <c r="E46" s="280"/>
      <c r="F46" s="290"/>
      <c r="G46" s="291"/>
    </row>
    <row r="47" spans="1:7" s="258" customFormat="1" ht="13.5" customHeight="1">
      <c r="A47" s="940" t="s">
        <v>792</v>
      </c>
      <c r="B47" s="292" t="s">
        <v>1064</v>
      </c>
      <c r="C47" s="282">
        <f>ROUND(C40*F27,4)</f>
        <v>3.2000000000000002E-3</v>
      </c>
      <c r="D47" s="307"/>
      <c r="E47" s="280"/>
      <c r="F47" s="290"/>
      <c r="G47" s="291"/>
    </row>
    <row r="48" spans="1:7" s="258" customFormat="1" ht="13.5" customHeight="1">
      <c r="A48" s="937" t="s">
        <v>787</v>
      </c>
      <c r="B48" s="254" t="s">
        <v>122</v>
      </c>
      <c r="C48" s="306">
        <f>F30</f>
        <v>5.6000000000000001E-2</v>
      </c>
      <c r="D48" s="280" t="s">
        <v>130</v>
      </c>
      <c r="E48" s="276"/>
      <c r="F48" s="281"/>
      <c r="G48" s="278" t="s">
        <v>123</v>
      </c>
    </row>
    <row r="49" spans="1:7" ht="16.5" customHeight="1">
      <c r="A49" s="937" t="s">
        <v>788</v>
      </c>
      <c r="B49" s="254" t="s">
        <v>131</v>
      </c>
      <c r="C49" s="276">
        <f ca="1">ROUND((C33+C39+C41+C45)/(1-C40-D41-D45-C48/(1+'数据-取费表'!B42)),0)</f>
        <v>139034</v>
      </c>
      <c r="D49" s="276"/>
      <c r="E49" s="276"/>
      <c r="F49" s="308"/>
      <c r="G49" s="278" t="s">
        <v>1070</v>
      </c>
    </row>
    <row r="50" spans="1:7" s="302" customFormat="1" ht="24">
      <c r="A50" s="937" t="s">
        <v>789</v>
      </c>
      <c r="B50" s="254" t="s">
        <v>124</v>
      </c>
      <c r="C50" s="276"/>
      <c r="D50" s="276"/>
      <c r="E50" s="276"/>
      <c r="F50" s="308">
        <f>IF('数据-取费表'!B24=0,'数据-取费表'!N16,1)</f>
        <v>0.95</v>
      </c>
      <c r="G50" s="291" t="s">
        <v>125</v>
      </c>
    </row>
    <row r="51" spans="1:7" ht="16.5" customHeight="1">
      <c r="A51" s="937" t="s">
        <v>790</v>
      </c>
      <c r="B51" s="254" t="s">
        <v>132</v>
      </c>
      <c r="C51" s="276">
        <f ca="1">ROUND(C49*F50,0)</f>
        <v>132082</v>
      </c>
      <c r="D51" s="276"/>
      <c r="E51" s="276"/>
      <c r="F51" s="308"/>
      <c r="G51" s="278" t="s">
        <v>64</v>
      </c>
    </row>
    <row r="52" spans="1:7" s="252" customFormat="1" ht="16.8" thickBot="1">
      <c r="A52" s="309" t="s">
        <v>65</v>
      </c>
      <c r="B52" s="310"/>
      <c r="C52" s="311">
        <f ca="1">C31+C51</f>
        <v>166717</v>
      </c>
      <c r="D52" s="310"/>
      <c r="E52" s="310"/>
      <c r="F52" s="310"/>
      <c r="G52" s="312"/>
    </row>
    <row r="55" spans="1:7" ht="15">
      <c r="B55" s="314" t="s">
        <v>66</v>
      </c>
      <c r="C55" s="315"/>
    </row>
    <row r="56" spans="1:7">
      <c r="B56" s="317" t="s">
        <v>67</v>
      </c>
      <c r="C56" s="318">
        <f ca="1">ROUND(C51/C52,3)</f>
        <v>0.79200000000000004</v>
      </c>
    </row>
    <row r="57" spans="1:7">
      <c r="B57" s="317" t="s">
        <v>68</v>
      </c>
      <c r="C57" s="319">
        <f ca="1">1-C56</f>
        <v>0.20799999999999996</v>
      </c>
    </row>
  </sheetData>
  <mergeCells count="1">
    <mergeCell ref="G42:G44"/>
  </mergeCells>
  <phoneticPr fontId="19" type="noConversion"/>
  <dataValidations count="2">
    <dataValidation type="list" allowBlank="1" showInputMessage="1" showErrorMessage="1" sqref="G19" xr:uid="{00000000-0002-0000-3800-000000000000}">
      <formula1>"已包含在土地取得成本中,未包含在土地取得成本中"</formula1>
    </dataValidation>
    <dataValidation type="list" allowBlank="1" showInputMessage="1" showErrorMessage="1" sqref="G8" xr:uid="{00000000-0002-0000-3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S344"/>
  <sheetViews>
    <sheetView workbookViewId="0">
      <selection activeCell="G224" sqref="G224"/>
    </sheetView>
  </sheetViews>
  <sheetFormatPr defaultColWidth="9" defaultRowHeight="14.4"/>
  <cols>
    <col min="1" max="1" width="12.6640625" style="844" customWidth="1"/>
    <col min="2" max="5" width="10.21875" style="802" customWidth="1"/>
    <col min="6" max="6" width="9" style="802"/>
    <col min="7" max="8" width="9" style="817"/>
    <col min="9" max="16384" width="9" style="802"/>
  </cols>
  <sheetData>
    <row r="1" spans="1:19">
      <c r="A1" s="3838" t="s">
        <v>156</v>
      </c>
      <c r="B1" s="3838"/>
      <c r="C1" s="3838"/>
      <c r="D1" s="3838"/>
      <c r="E1" s="3838"/>
      <c r="F1" s="3838"/>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5" thickBot="1">
      <c r="A2" s="3839" t="s">
        <v>169</v>
      </c>
      <c r="B2" s="3839"/>
      <c r="C2" s="3839"/>
      <c r="D2" s="3839"/>
      <c r="E2" s="3839"/>
      <c r="F2" s="3839"/>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840"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841"/>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1050</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1050</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344"/>
  <sheetViews>
    <sheetView workbookViewId="0">
      <selection activeCell="F6" sqref="F6"/>
    </sheetView>
  </sheetViews>
  <sheetFormatPr defaultRowHeight="14.4"/>
  <cols>
    <col min="1" max="1" width="12.6640625" style="844" customWidth="1"/>
    <col min="2" max="2" width="10.21875" style="802" customWidth="1"/>
  </cols>
  <sheetData>
    <row r="1" spans="1:6">
      <c r="A1" s="3838" t="s">
        <v>868</v>
      </c>
      <c r="B1" s="3838"/>
    </row>
    <row r="2" spans="1:6" ht="15" thickBot="1">
      <c r="A2" s="1046"/>
      <c r="B2" s="1046"/>
    </row>
    <row r="3" spans="1:6" ht="15" thickBot="1">
      <c r="A3" s="1046"/>
      <c r="B3" s="1046"/>
      <c r="C3" s="1050" t="s">
        <v>871</v>
      </c>
      <c r="D3" s="1050" t="s">
        <v>872</v>
      </c>
      <c r="E3" s="1050" t="s">
        <v>873</v>
      </c>
      <c r="F3" s="1050" t="s">
        <v>874</v>
      </c>
    </row>
    <row r="4" spans="1:6" ht="15" thickBot="1">
      <c r="A4" s="1048" t="s">
        <v>869</v>
      </c>
      <c r="B4" s="1049" t="s">
        <v>870</v>
      </c>
      <c r="C4" s="1050"/>
      <c r="D4" s="1050"/>
      <c r="E4" s="1050"/>
      <c r="F4" s="1050"/>
    </row>
    <row r="5" spans="1:6" ht="15" thickBot="1">
      <c r="A5" s="829" t="s">
        <v>875</v>
      </c>
      <c r="B5" s="830" t="s">
        <v>876</v>
      </c>
      <c r="C5" s="1051">
        <v>8.8999999999999996E-2</v>
      </c>
      <c r="D5" s="1051">
        <v>7.3999999999999996E-2</v>
      </c>
      <c r="E5" s="1051">
        <v>7.4999999999999997E-2</v>
      </c>
      <c r="F5" s="1052">
        <v>0.1</v>
      </c>
    </row>
    <row r="6" spans="1:6" ht="15" thickBot="1">
      <c r="A6" s="829" t="s">
        <v>212</v>
      </c>
      <c r="B6" s="823" t="s">
        <v>877</v>
      </c>
      <c r="C6" s="1053">
        <v>0.1</v>
      </c>
      <c r="D6" s="1053">
        <v>9.0999999999999998E-2</v>
      </c>
      <c r="E6" s="1053">
        <v>9.0999999999999998E-2</v>
      </c>
      <c r="F6" s="1054">
        <v>0.1</v>
      </c>
    </row>
    <row r="7" spans="1:6" ht="15" thickBot="1">
      <c r="A7" s="829" t="s">
        <v>212</v>
      </c>
      <c r="B7" s="833" t="s">
        <v>201</v>
      </c>
      <c r="C7" s="1053">
        <v>8.5999999999999993E-2</v>
      </c>
      <c r="D7" s="1053">
        <v>9.6000000000000002E-2</v>
      </c>
      <c r="E7" s="1053">
        <v>7.5999999999999998E-2</v>
      </c>
      <c r="F7" s="1054">
        <v>0.1</v>
      </c>
    </row>
    <row r="8" spans="1:6" ht="15" thickBot="1">
      <c r="A8" s="829" t="s">
        <v>212</v>
      </c>
      <c r="B8" s="823" t="s">
        <v>213</v>
      </c>
      <c r="C8" s="1053">
        <v>9.9000000000000005E-2</v>
      </c>
      <c r="D8" s="1053">
        <v>9.8000000000000004E-2</v>
      </c>
      <c r="E8" s="1053">
        <v>9.8000000000000004E-2</v>
      </c>
      <c r="F8" s="1054">
        <v>0.1</v>
      </c>
    </row>
    <row r="9" spans="1:6" ht="15" thickBot="1">
      <c r="A9" s="839" t="s">
        <v>212</v>
      </c>
      <c r="B9" s="834" t="s">
        <v>225</v>
      </c>
      <c r="C9" s="1055">
        <v>0.05</v>
      </c>
      <c r="D9" s="1063"/>
      <c r="E9" s="1063"/>
      <c r="F9" s="1064"/>
    </row>
    <row r="10" spans="1:6" ht="15" thickBot="1">
      <c r="A10" s="829" t="s">
        <v>269</v>
      </c>
      <c r="B10" s="830" t="s">
        <v>878</v>
      </c>
      <c r="C10" s="1051">
        <v>8.8999999999999996E-2</v>
      </c>
      <c r="D10" s="1051">
        <v>7.2999999999999995E-2</v>
      </c>
      <c r="E10" s="1051">
        <v>8.2000000000000003E-2</v>
      </c>
      <c r="F10" s="1052">
        <v>0.1</v>
      </c>
    </row>
    <row r="11" spans="1:6" ht="15" thickBot="1">
      <c r="A11" s="829" t="s">
        <v>269</v>
      </c>
      <c r="B11" s="833" t="s">
        <v>188</v>
      </c>
      <c r="C11" s="1053">
        <v>8.8999999999999996E-2</v>
      </c>
      <c r="D11" s="1053">
        <v>7.2999999999999995E-2</v>
      </c>
      <c r="E11" s="1053">
        <v>8.2000000000000003E-2</v>
      </c>
      <c r="F11" s="1054">
        <v>0.1</v>
      </c>
    </row>
    <row r="12" spans="1:6" ht="15" thickBot="1">
      <c r="A12" s="829" t="s">
        <v>269</v>
      </c>
      <c r="B12" s="833" t="s">
        <v>138</v>
      </c>
      <c r="C12" s="1053">
        <v>6.0999999999999999E-2</v>
      </c>
      <c r="D12" s="1053">
        <v>7.0999999999999994E-2</v>
      </c>
      <c r="E12" s="1053">
        <v>9.6000000000000002E-2</v>
      </c>
      <c r="F12" s="1054">
        <v>0.1</v>
      </c>
    </row>
    <row r="13" spans="1:6" ht="15" thickBot="1">
      <c r="A13" s="829" t="s">
        <v>269</v>
      </c>
      <c r="B13" s="833" t="s">
        <v>214</v>
      </c>
      <c r="C13" s="1053">
        <v>6.9000000000000006E-2</v>
      </c>
      <c r="D13" s="1053">
        <v>6.5000000000000002E-2</v>
      </c>
      <c r="E13" s="1053">
        <v>6.6000000000000003E-2</v>
      </c>
      <c r="F13" s="1054">
        <v>0.1</v>
      </c>
    </row>
    <row r="14" spans="1:6" ht="15" thickBot="1">
      <c r="A14" s="829" t="s">
        <v>269</v>
      </c>
      <c r="B14" s="833" t="s">
        <v>226</v>
      </c>
      <c r="C14" s="1053">
        <v>0.1</v>
      </c>
      <c r="D14" s="1053">
        <v>6.5000000000000002E-2</v>
      </c>
      <c r="E14" s="1053">
        <v>7.0000000000000007E-2</v>
      </c>
      <c r="F14" s="1054">
        <v>0.1</v>
      </c>
    </row>
    <row r="15" spans="1:6" ht="15" thickBot="1">
      <c r="A15" s="829" t="s">
        <v>269</v>
      </c>
      <c r="B15" s="833" t="s">
        <v>237</v>
      </c>
      <c r="C15" s="1053">
        <v>9.8000000000000004E-2</v>
      </c>
      <c r="D15" s="1053">
        <v>8.8999999999999996E-2</v>
      </c>
      <c r="E15" s="1053">
        <v>8.8999999999999996E-2</v>
      </c>
      <c r="F15" s="1054">
        <v>0.1</v>
      </c>
    </row>
    <row r="16" spans="1:6" ht="15" thickBot="1">
      <c r="A16" s="829" t="s">
        <v>269</v>
      </c>
      <c r="B16" s="833" t="s">
        <v>248</v>
      </c>
      <c r="C16" s="1053">
        <v>7.0000000000000007E-2</v>
      </c>
      <c r="D16" s="1053">
        <v>9.2999999999999999E-2</v>
      </c>
      <c r="E16" s="1053">
        <v>9.6000000000000002E-2</v>
      </c>
      <c r="F16" s="1054">
        <v>0.1</v>
      </c>
    </row>
    <row r="17" spans="1:6" ht="15" thickBot="1">
      <c r="A17" s="829" t="s">
        <v>269</v>
      </c>
      <c r="B17" s="833" t="s">
        <v>259</v>
      </c>
      <c r="C17" s="1053">
        <v>9.5000000000000001E-2</v>
      </c>
      <c r="D17" s="1053">
        <v>0.1</v>
      </c>
      <c r="E17" s="1053">
        <v>0.1</v>
      </c>
      <c r="F17" s="1065"/>
    </row>
    <row r="18" spans="1:6" ht="15" thickBot="1">
      <c r="A18" s="829" t="s">
        <v>269</v>
      </c>
      <c r="B18" s="833" t="s">
        <v>271</v>
      </c>
      <c r="C18" s="1053">
        <v>7.3999999999999996E-2</v>
      </c>
      <c r="D18" s="1053">
        <v>9.9000000000000005E-2</v>
      </c>
      <c r="E18" s="1053">
        <v>0.1</v>
      </c>
      <c r="F18" s="1065"/>
    </row>
    <row r="19" spans="1:6" ht="15" thickBot="1">
      <c r="A19" s="829" t="s">
        <v>269</v>
      </c>
      <c r="B19" s="833" t="s">
        <v>281</v>
      </c>
      <c r="C19" s="1053">
        <v>9.9000000000000005E-2</v>
      </c>
      <c r="D19" s="1053">
        <v>7.5999999999999998E-2</v>
      </c>
      <c r="E19" s="1053">
        <v>8.6999999999999994E-2</v>
      </c>
      <c r="F19" s="1065"/>
    </row>
    <row r="20" spans="1:6" ht="15" thickBot="1">
      <c r="A20" s="829" t="s">
        <v>269</v>
      </c>
      <c r="B20" s="833" t="s">
        <v>291</v>
      </c>
      <c r="C20" s="1053">
        <v>9.8000000000000004E-2</v>
      </c>
      <c r="D20" s="1053">
        <v>8.5000000000000006E-2</v>
      </c>
      <c r="E20" s="1053">
        <v>8.2000000000000003E-2</v>
      </c>
      <c r="F20" s="1065"/>
    </row>
    <row r="21" spans="1:6" ht="15" thickBot="1">
      <c r="A21" s="829" t="s">
        <v>269</v>
      </c>
      <c r="B21" s="833" t="s">
        <v>301</v>
      </c>
      <c r="C21" s="1053">
        <v>6.6000000000000003E-2</v>
      </c>
      <c r="D21" s="1053">
        <v>6.4000000000000001E-2</v>
      </c>
      <c r="E21" s="1053">
        <v>6.5000000000000002E-2</v>
      </c>
      <c r="F21" s="1065"/>
    </row>
    <row r="22" spans="1:6" ht="15" thickBot="1">
      <c r="A22" s="829" t="s">
        <v>269</v>
      </c>
      <c r="B22" s="833" t="s">
        <v>879</v>
      </c>
      <c r="C22" s="1053">
        <v>0.08</v>
      </c>
      <c r="D22" s="1053">
        <v>9.8000000000000004E-2</v>
      </c>
      <c r="E22" s="1053">
        <v>9.8000000000000004E-2</v>
      </c>
      <c r="F22" s="1065"/>
    </row>
    <row r="23" spans="1:6" ht="15" thickBot="1">
      <c r="A23" s="829" t="s">
        <v>269</v>
      </c>
      <c r="B23" s="833" t="s">
        <v>322</v>
      </c>
      <c r="C23" s="1053">
        <v>9.9000000000000005E-2</v>
      </c>
      <c r="D23" s="1053">
        <v>9.8000000000000004E-2</v>
      </c>
      <c r="E23" s="1053">
        <v>9.0999999999999998E-2</v>
      </c>
      <c r="F23" s="1065"/>
    </row>
    <row r="24" spans="1:6" ht="15" thickBot="1">
      <c r="A24" s="829" t="s">
        <v>269</v>
      </c>
      <c r="B24" s="833" t="s">
        <v>333</v>
      </c>
      <c r="C24" s="1053">
        <v>8.8999999999999996E-2</v>
      </c>
      <c r="D24" s="1053">
        <v>9.7000000000000003E-2</v>
      </c>
      <c r="E24" s="1053">
        <v>7.0000000000000007E-2</v>
      </c>
      <c r="F24" s="1065"/>
    </row>
    <row r="25" spans="1:6" ht="15" thickBot="1">
      <c r="A25" s="829" t="s">
        <v>269</v>
      </c>
      <c r="B25" s="833" t="s">
        <v>343</v>
      </c>
      <c r="C25" s="1053">
        <v>8.8999999999999996E-2</v>
      </c>
      <c r="D25" s="1053">
        <v>0.1</v>
      </c>
      <c r="E25" s="1053">
        <v>8.1000000000000003E-2</v>
      </c>
      <c r="F25" s="1065"/>
    </row>
    <row r="26" spans="1:6" ht="15" thickBot="1">
      <c r="A26" s="829" t="s">
        <v>269</v>
      </c>
      <c r="B26" s="833" t="s">
        <v>353</v>
      </c>
      <c r="C26" s="1066"/>
      <c r="D26" s="1053">
        <v>9.6000000000000002E-2</v>
      </c>
      <c r="E26" s="1053">
        <v>9.2999999999999999E-2</v>
      </c>
      <c r="F26" s="1065"/>
    </row>
    <row r="27" spans="1:6" ht="15" thickBot="1">
      <c r="A27" s="829" t="s">
        <v>269</v>
      </c>
      <c r="B27" s="833" t="s">
        <v>363</v>
      </c>
      <c r="C27" s="1066"/>
      <c r="D27" s="1053">
        <v>7.5999999999999998E-2</v>
      </c>
      <c r="E27" s="1053">
        <v>9.1999999999999998E-2</v>
      </c>
      <c r="F27" s="1065"/>
    </row>
    <row r="28" spans="1:6" ht="15" thickBot="1">
      <c r="A28" s="839" t="s">
        <v>269</v>
      </c>
      <c r="B28" s="834" t="s">
        <v>373</v>
      </c>
      <c r="C28" s="1063"/>
      <c r="D28" s="1055">
        <v>7.5999999999999998E-2</v>
      </c>
      <c r="E28" s="1055">
        <v>9.1999999999999998E-2</v>
      </c>
      <c r="F28" s="1064"/>
    </row>
    <row r="29" spans="1:6" ht="15" thickBot="1">
      <c r="A29" s="829" t="s">
        <v>442</v>
      </c>
      <c r="B29" s="830" t="s">
        <v>880</v>
      </c>
      <c r="C29" s="1051">
        <v>6.4000000000000001E-2</v>
      </c>
      <c r="D29" s="1051">
        <v>6.5000000000000002E-2</v>
      </c>
      <c r="E29" s="1051">
        <v>6.9000000000000006E-2</v>
      </c>
      <c r="F29" s="1052">
        <v>0.1</v>
      </c>
    </row>
    <row r="30" spans="1:6" ht="15" thickBot="1">
      <c r="A30" s="829" t="s">
        <v>442</v>
      </c>
      <c r="B30" s="833" t="s">
        <v>189</v>
      </c>
      <c r="C30" s="1053">
        <v>6.4000000000000001E-2</v>
      </c>
      <c r="D30" s="1053">
        <v>9.9000000000000005E-2</v>
      </c>
      <c r="E30" s="1053">
        <v>0.1</v>
      </c>
      <c r="F30" s="1054">
        <v>0.1</v>
      </c>
    </row>
    <row r="31" spans="1:6" ht="15" thickBot="1">
      <c r="A31" s="829" t="s">
        <v>442</v>
      </c>
      <c r="B31" s="833" t="s">
        <v>202</v>
      </c>
      <c r="C31" s="1053">
        <v>0.1</v>
      </c>
      <c r="D31" s="1053">
        <v>9.5000000000000001E-2</v>
      </c>
      <c r="E31" s="1053">
        <v>8.8999999999999996E-2</v>
      </c>
      <c r="F31" s="1054">
        <v>0.1</v>
      </c>
    </row>
    <row r="32" spans="1:6" ht="15" thickBot="1">
      <c r="A32" s="829" t="s">
        <v>442</v>
      </c>
      <c r="B32" s="833" t="s">
        <v>215</v>
      </c>
      <c r="C32" s="1053">
        <v>0.05</v>
      </c>
      <c r="D32" s="1053">
        <v>0.05</v>
      </c>
      <c r="E32" s="1053">
        <v>8.7999999999999995E-2</v>
      </c>
      <c r="F32" s="1054">
        <v>0.1</v>
      </c>
    </row>
    <row r="33" spans="1:6" ht="15" thickBot="1">
      <c r="A33" s="829" t="s">
        <v>442</v>
      </c>
      <c r="B33" s="833" t="s">
        <v>227</v>
      </c>
      <c r="C33" s="1053">
        <v>7.4999999999999997E-2</v>
      </c>
      <c r="D33" s="1053">
        <v>9.4E-2</v>
      </c>
      <c r="E33" s="1053">
        <v>9.7000000000000003E-2</v>
      </c>
      <c r="F33" s="1054">
        <v>0.1</v>
      </c>
    </row>
    <row r="34" spans="1:6" ht="15" thickBot="1">
      <c r="A34" s="829" t="s">
        <v>442</v>
      </c>
      <c r="B34" s="833" t="s">
        <v>238</v>
      </c>
      <c r="C34" s="1053">
        <v>9.8000000000000004E-2</v>
      </c>
      <c r="D34" s="1053">
        <v>8.5999999999999993E-2</v>
      </c>
      <c r="E34" s="1053">
        <v>9.7000000000000003E-2</v>
      </c>
      <c r="F34" s="1054">
        <v>0.1</v>
      </c>
    </row>
    <row r="35" spans="1:6" ht="15" thickBot="1">
      <c r="A35" s="829" t="s">
        <v>442</v>
      </c>
      <c r="B35" s="833" t="s">
        <v>249</v>
      </c>
      <c r="C35" s="1053">
        <v>5.8999999999999997E-2</v>
      </c>
      <c r="D35" s="1053">
        <v>6.5000000000000002E-2</v>
      </c>
      <c r="E35" s="1053">
        <v>7.0000000000000007E-2</v>
      </c>
      <c r="F35" s="1054">
        <v>0.1</v>
      </c>
    </row>
    <row r="36" spans="1:6" ht="15" thickBot="1">
      <c r="A36" s="829" t="s">
        <v>442</v>
      </c>
      <c r="B36" s="833" t="s">
        <v>260</v>
      </c>
      <c r="C36" s="1053">
        <v>6.3E-2</v>
      </c>
      <c r="D36" s="1053">
        <v>0.1</v>
      </c>
      <c r="E36" s="1053">
        <v>0.1</v>
      </c>
      <c r="F36" s="1054">
        <v>0.1</v>
      </c>
    </row>
    <row r="37" spans="1:6" ht="15" thickBot="1">
      <c r="A37" s="829" t="s">
        <v>442</v>
      </c>
      <c r="B37" s="833" t="s">
        <v>272</v>
      </c>
      <c r="C37" s="1053">
        <v>7.3999999999999996E-2</v>
      </c>
      <c r="D37" s="1053">
        <v>0.1</v>
      </c>
      <c r="E37" s="1053">
        <v>0.1</v>
      </c>
      <c r="F37" s="1054">
        <v>0.1</v>
      </c>
    </row>
    <row r="38" spans="1:6" ht="15" thickBot="1">
      <c r="A38" s="829" t="s">
        <v>442</v>
      </c>
      <c r="B38" s="833" t="s">
        <v>282</v>
      </c>
      <c r="C38" s="1053">
        <v>0.1</v>
      </c>
      <c r="D38" s="1053">
        <v>9.6000000000000002E-2</v>
      </c>
      <c r="E38" s="1053">
        <v>9.6000000000000002E-2</v>
      </c>
      <c r="F38" s="1065"/>
    </row>
    <row r="39" spans="1:6" ht="15" thickBot="1">
      <c r="A39" s="829" t="s">
        <v>442</v>
      </c>
      <c r="B39" s="833" t="s">
        <v>292</v>
      </c>
      <c r="C39" s="1053">
        <v>0.1</v>
      </c>
      <c r="D39" s="1053">
        <v>9.6000000000000002E-2</v>
      </c>
      <c r="E39" s="1053">
        <v>9.6000000000000002E-2</v>
      </c>
      <c r="F39" s="1065"/>
    </row>
    <row r="40" spans="1:6" ht="15" thickBot="1">
      <c r="A40" s="829" t="s">
        <v>442</v>
      </c>
      <c r="B40" s="833" t="s">
        <v>302</v>
      </c>
      <c r="C40" s="1053">
        <v>9.6000000000000002E-2</v>
      </c>
      <c r="D40" s="1053">
        <v>0.1</v>
      </c>
      <c r="E40" s="1053">
        <v>9.9000000000000005E-2</v>
      </c>
      <c r="F40" s="1065"/>
    </row>
    <row r="41" spans="1:6" ht="15" thickBot="1">
      <c r="A41" s="829" t="s">
        <v>442</v>
      </c>
      <c r="B41" s="833" t="s">
        <v>312</v>
      </c>
      <c r="C41" s="1053">
        <v>9.6000000000000002E-2</v>
      </c>
      <c r="D41" s="1053">
        <v>9.8000000000000004E-2</v>
      </c>
      <c r="E41" s="1053">
        <v>9.8000000000000004E-2</v>
      </c>
      <c r="F41" s="1065"/>
    </row>
    <row r="42" spans="1:6" ht="15" thickBot="1">
      <c r="A42" s="829" t="s">
        <v>442</v>
      </c>
      <c r="B42" s="833" t="s">
        <v>323</v>
      </c>
      <c r="C42" s="1053">
        <v>0.1</v>
      </c>
      <c r="D42" s="1053">
        <v>8.7999999999999995E-2</v>
      </c>
      <c r="E42" s="1053">
        <v>0.1</v>
      </c>
      <c r="F42" s="1065"/>
    </row>
    <row r="43" spans="1:6" ht="15" thickBot="1">
      <c r="A43" s="829" t="s">
        <v>442</v>
      </c>
      <c r="B43" s="833" t="s">
        <v>334</v>
      </c>
      <c r="C43" s="1053">
        <v>9.8000000000000004E-2</v>
      </c>
      <c r="D43" s="1053">
        <v>9.7000000000000003E-2</v>
      </c>
      <c r="E43" s="1053">
        <v>9.6000000000000002E-2</v>
      </c>
      <c r="F43" s="1065"/>
    </row>
    <row r="44" spans="1:6" ht="15" thickBot="1">
      <c r="A44" s="829" t="s">
        <v>442</v>
      </c>
      <c r="B44" s="833" t="s">
        <v>344</v>
      </c>
      <c r="C44" s="1053">
        <v>8.5999999999999993E-2</v>
      </c>
      <c r="D44" s="1053">
        <v>7.9000000000000001E-2</v>
      </c>
      <c r="E44" s="1053">
        <v>7.0999999999999994E-2</v>
      </c>
      <c r="F44" s="1065"/>
    </row>
    <row r="45" spans="1:6" ht="15" thickBot="1">
      <c r="A45" s="829" t="s">
        <v>442</v>
      </c>
      <c r="B45" s="833" t="s">
        <v>354</v>
      </c>
      <c r="C45" s="1053">
        <v>9.8000000000000004E-2</v>
      </c>
      <c r="D45" s="1053">
        <v>9.6000000000000002E-2</v>
      </c>
      <c r="E45" s="1053">
        <v>9.6000000000000002E-2</v>
      </c>
      <c r="F45" s="1065"/>
    </row>
    <row r="46" spans="1:6" ht="15" thickBot="1">
      <c r="A46" s="829" t="s">
        <v>442</v>
      </c>
      <c r="B46" s="833" t="s">
        <v>364</v>
      </c>
      <c r="C46" s="1053">
        <v>8.5999999999999993E-2</v>
      </c>
      <c r="D46" s="1053">
        <v>9.8000000000000004E-2</v>
      </c>
      <c r="E46" s="1053">
        <v>8.7999999999999995E-2</v>
      </c>
      <c r="F46" s="1065"/>
    </row>
    <row r="47" spans="1:6" ht="15" thickBot="1">
      <c r="A47" s="829" t="s">
        <v>442</v>
      </c>
      <c r="B47" s="833" t="s">
        <v>374</v>
      </c>
      <c r="C47" s="1053">
        <v>9.6000000000000002E-2</v>
      </c>
      <c r="D47" s="1066"/>
      <c r="E47" s="1053">
        <v>6.9000000000000006E-2</v>
      </c>
      <c r="F47" s="1065"/>
    </row>
    <row r="48" spans="1:6" ht="15" thickBot="1">
      <c r="A48" s="839" t="s">
        <v>442</v>
      </c>
      <c r="B48" s="834" t="s">
        <v>383</v>
      </c>
      <c r="C48" s="1055">
        <v>9.8000000000000004E-2</v>
      </c>
      <c r="D48" s="1063"/>
      <c r="E48" s="1055">
        <v>9.5000000000000001E-2</v>
      </c>
      <c r="F48" s="1064"/>
    </row>
    <row r="49" spans="1:6" ht="15" thickBot="1">
      <c r="A49" s="829" t="s">
        <v>137</v>
      </c>
      <c r="B49" s="830" t="s">
        <v>881</v>
      </c>
      <c r="C49" s="1051">
        <v>9.7000000000000003E-2</v>
      </c>
      <c r="D49" s="1051">
        <v>9.5000000000000001E-2</v>
      </c>
      <c r="E49" s="1051">
        <v>9.7000000000000003E-2</v>
      </c>
      <c r="F49" s="1052">
        <v>0.1</v>
      </c>
    </row>
    <row r="50" spans="1:6" ht="15" thickBot="1">
      <c r="A50" s="829" t="s">
        <v>137</v>
      </c>
      <c r="B50" s="823" t="s">
        <v>190</v>
      </c>
      <c r="C50" s="1053">
        <v>7.4999999999999997E-2</v>
      </c>
      <c r="D50" s="1053">
        <v>9.5000000000000001E-2</v>
      </c>
      <c r="E50" s="1053">
        <v>0.1</v>
      </c>
      <c r="F50" s="1054">
        <v>0.1</v>
      </c>
    </row>
    <row r="51" spans="1:6" ht="15" thickBot="1">
      <c r="A51" s="829" t="s">
        <v>137</v>
      </c>
      <c r="B51" s="823" t="s">
        <v>203</v>
      </c>
      <c r="C51" s="1053">
        <v>9.8000000000000004E-2</v>
      </c>
      <c r="D51" s="1053">
        <v>8.8999999999999996E-2</v>
      </c>
      <c r="E51" s="1053">
        <v>0.1</v>
      </c>
      <c r="F51" s="1054">
        <v>0.1</v>
      </c>
    </row>
    <row r="52" spans="1:6" ht="15" thickBot="1">
      <c r="A52" s="829" t="s">
        <v>137</v>
      </c>
      <c r="B52" s="823" t="s">
        <v>216</v>
      </c>
      <c r="C52" s="1053">
        <v>9.8000000000000004E-2</v>
      </c>
      <c r="D52" s="1053">
        <v>9.7000000000000003E-2</v>
      </c>
      <c r="E52" s="1053">
        <v>8.1000000000000003E-2</v>
      </c>
      <c r="F52" s="1054">
        <v>0.1</v>
      </c>
    </row>
    <row r="53" spans="1:6" ht="15" thickBot="1">
      <c r="A53" s="829" t="s">
        <v>137</v>
      </c>
      <c r="B53" s="823" t="s">
        <v>228</v>
      </c>
      <c r="C53" s="1053">
        <v>9.7000000000000003E-2</v>
      </c>
      <c r="D53" s="1053">
        <v>7.5999999999999998E-2</v>
      </c>
      <c r="E53" s="1053">
        <v>7.0999999999999994E-2</v>
      </c>
      <c r="F53" s="1054">
        <v>0.1</v>
      </c>
    </row>
    <row r="54" spans="1:6" ht="15" thickBot="1">
      <c r="A54" s="829" t="s">
        <v>137</v>
      </c>
      <c r="B54" s="823" t="s">
        <v>239</v>
      </c>
      <c r="C54" s="1053">
        <v>7.5999999999999998E-2</v>
      </c>
      <c r="D54" s="1053">
        <v>0.1</v>
      </c>
      <c r="E54" s="1053">
        <v>9.9000000000000005E-2</v>
      </c>
      <c r="F54" s="1054">
        <v>0.1</v>
      </c>
    </row>
    <row r="55" spans="1:6" ht="15" thickBot="1">
      <c r="A55" s="829" t="s">
        <v>137</v>
      </c>
      <c r="B55" s="823" t="s">
        <v>250</v>
      </c>
      <c r="C55" s="1053">
        <v>0.1</v>
      </c>
      <c r="D55" s="1053">
        <v>0.1</v>
      </c>
      <c r="E55" s="1053">
        <v>9.6000000000000002E-2</v>
      </c>
      <c r="F55" s="1054">
        <v>0.1</v>
      </c>
    </row>
    <row r="56" spans="1:6" ht="15" thickBot="1">
      <c r="A56" s="829" t="s">
        <v>137</v>
      </c>
      <c r="B56" s="823" t="s">
        <v>261</v>
      </c>
      <c r="C56" s="1053">
        <v>0.1</v>
      </c>
      <c r="D56" s="1053">
        <v>9.6000000000000002E-2</v>
      </c>
      <c r="E56" s="1053">
        <v>5.1999999999999998E-2</v>
      </c>
      <c r="F56" s="1054">
        <v>0.1</v>
      </c>
    </row>
    <row r="57" spans="1:6" ht="15" thickBot="1">
      <c r="A57" s="829" t="s">
        <v>137</v>
      </c>
      <c r="B57" s="823" t="s">
        <v>273</v>
      </c>
      <c r="C57" s="1053">
        <v>9.7000000000000003E-2</v>
      </c>
      <c r="D57" s="1053">
        <v>9.6000000000000002E-2</v>
      </c>
      <c r="E57" s="1053">
        <v>9.6000000000000002E-2</v>
      </c>
      <c r="F57" s="1054">
        <v>0.1</v>
      </c>
    </row>
    <row r="58" spans="1:6" ht="15" thickBot="1">
      <c r="A58" s="829" t="s">
        <v>137</v>
      </c>
      <c r="B58" s="823" t="s">
        <v>283</v>
      </c>
      <c r="C58" s="1053">
        <v>9.6000000000000002E-2</v>
      </c>
      <c r="D58" s="1053">
        <v>9.9000000000000005E-2</v>
      </c>
      <c r="E58" s="1053">
        <v>9.6000000000000002E-2</v>
      </c>
      <c r="F58" s="1054">
        <v>0.1</v>
      </c>
    </row>
    <row r="59" spans="1:6" ht="15" thickBot="1">
      <c r="A59" s="829" t="s">
        <v>137</v>
      </c>
      <c r="B59" s="823" t="s">
        <v>293</v>
      </c>
      <c r="C59" s="1053">
        <v>7.1999999999999995E-2</v>
      </c>
      <c r="D59" s="1053">
        <v>9.6000000000000002E-2</v>
      </c>
      <c r="E59" s="1053">
        <v>7.0999999999999994E-2</v>
      </c>
      <c r="F59" s="1054">
        <v>0.1</v>
      </c>
    </row>
    <row r="60" spans="1:6" ht="15" thickBot="1">
      <c r="A60" s="829" t="s">
        <v>137</v>
      </c>
      <c r="B60" s="823" t="s">
        <v>303</v>
      </c>
      <c r="C60" s="1053">
        <v>9.6000000000000002E-2</v>
      </c>
      <c r="D60" s="1053">
        <v>8.8999999999999996E-2</v>
      </c>
      <c r="E60" s="1053">
        <v>9.6000000000000002E-2</v>
      </c>
      <c r="F60" s="1054">
        <v>0.1</v>
      </c>
    </row>
    <row r="61" spans="1:6" ht="15" thickBot="1">
      <c r="A61" s="829" t="s">
        <v>137</v>
      </c>
      <c r="B61" s="823" t="s">
        <v>313</v>
      </c>
      <c r="C61" s="1053">
        <v>8.8999999999999996E-2</v>
      </c>
      <c r="D61" s="1053">
        <v>9.8000000000000004E-2</v>
      </c>
      <c r="E61" s="1053">
        <v>8.7999999999999995E-2</v>
      </c>
      <c r="F61" s="1065"/>
    </row>
    <row r="62" spans="1:6" ht="15" thickBot="1">
      <c r="A62" s="829" t="s">
        <v>137</v>
      </c>
      <c r="B62" s="823" t="s">
        <v>324</v>
      </c>
      <c r="C62" s="1053">
        <v>9.8000000000000004E-2</v>
      </c>
      <c r="D62" s="1053">
        <v>9.2999999999999999E-2</v>
      </c>
      <c r="E62" s="1053">
        <v>9.7000000000000003E-2</v>
      </c>
      <c r="F62" s="1065"/>
    </row>
    <row r="63" spans="1:6" ht="15" thickBot="1">
      <c r="A63" s="829" t="s">
        <v>137</v>
      </c>
      <c r="B63" s="823" t="s">
        <v>335</v>
      </c>
      <c r="C63" s="1053">
        <v>9.6000000000000002E-2</v>
      </c>
      <c r="D63" s="1053">
        <v>9.8000000000000004E-2</v>
      </c>
      <c r="E63" s="1053">
        <v>0.09</v>
      </c>
      <c r="F63" s="1065"/>
    </row>
    <row r="64" spans="1:6" ht="15" thickBot="1">
      <c r="A64" s="829" t="s">
        <v>137</v>
      </c>
      <c r="B64" s="823" t="s">
        <v>345</v>
      </c>
      <c r="C64" s="1053">
        <v>9.9000000000000005E-2</v>
      </c>
      <c r="D64" s="1053">
        <v>9.7000000000000003E-2</v>
      </c>
      <c r="E64" s="1053">
        <v>9.9000000000000005E-2</v>
      </c>
      <c r="F64" s="1065"/>
    </row>
    <row r="65" spans="1:6" ht="15" thickBot="1">
      <c r="A65" s="829" t="s">
        <v>137</v>
      </c>
      <c r="B65" s="823" t="s">
        <v>355</v>
      </c>
      <c r="C65" s="1053">
        <v>9.8000000000000004E-2</v>
      </c>
      <c r="D65" s="1053">
        <v>9.6000000000000002E-2</v>
      </c>
      <c r="E65" s="1053">
        <v>9.6000000000000002E-2</v>
      </c>
      <c r="F65" s="1065"/>
    </row>
    <row r="66" spans="1:6" ht="15" thickBot="1">
      <c r="A66" s="829" t="s">
        <v>137</v>
      </c>
      <c r="B66" s="823" t="s">
        <v>365</v>
      </c>
      <c r="C66" s="1053">
        <v>9.6000000000000002E-2</v>
      </c>
      <c r="D66" s="1053">
        <v>9.1999999999999998E-2</v>
      </c>
      <c r="E66" s="1053">
        <v>9.6000000000000002E-2</v>
      </c>
      <c r="F66" s="1065"/>
    </row>
    <row r="67" spans="1:6" ht="15" thickBot="1">
      <c r="A67" s="829" t="s">
        <v>137</v>
      </c>
      <c r="B67" s="823" t="s">
        <v>375</v>
      </c>
      <c r="C67" s="1053">
        <v>9.4E-2</v>
      </c>
      <c r="D67" s="1053">
        <v>0.1</v>
      </c>
      <c r="E67" s="1053">
        <v>8.7999999999999995E-2</v>
      </c>
      <c r="F67" s="1065"/>
    </row>
    <row r="68" spans="1:6" ht="15" thickBot="1">
      <c r="A68" s="829" t="s">
        <v>137</v>
      </c>
      <c r="B68" s="823" t="s">
        <v>384</v>
      </c>
      <c r="C68" s="1053">
        <v>0.1</v>
      </c>
      <c r="D68" s="1053">
        <v>8.7999999999999995E-2</v>
      </c>
      <c r="E68" s="1053">
        <v>9.7000000000000003E-2</v>
      </c>
      <c r="F68" s="1065"/>
    </row>
    <row r="69" spans="1:6" ht="15" thickBot="1">
      <c r="A69" s="829" t="s">
        <v>137</v>
      </c>
      <c r="B69" s="823" t="s">
        <v>393</v>
      </c>
      <c r="C69" s="1053">
        <v>6.4000000000000001E-2</v>
      </c>
      <c r="D69" s="1053">
        <v>0.1</v>
      </c>
      <c r="E69" s="1053">
        <v>0.1</v>
      </c>
      <c r="F69" s="1065"/>
    </row>
    <row r="70" spans="1:6" ht="15" thickBot="1">
      <c r="A70" s="829" t="s">
        <v>137</v>
      </c>
      <c r="B70" s="823" t="s">
        <v>401</v>
      </c>
      <c r="C70" s="1053">
        <v>9.0999999999999998E-2</v>
      </c>
      <c r="D70" s="1066"/>
      <c r="E70" s="1066"/>
      <c r="F70" s="1065"/>
    </row>
    <row r="71" spans="1:6" ht="15" thickBot="1">
      <c r="A71" s="829" t="s">
        <v>137</v>
      </c>
      <c r="B71" s="823" t="s">
        <v>408</v>
      </c>
      <c r="C71" s="1053">
        <v>0.1</v>
      </c>
      <c r="D71" s="1066"/>
      <c r="E71" s="1066"/>
      <c r="F71" s="1065"/>
    </row>
    <row r="72" spans="1:6" ht="24.6" thickBot="1">
      <c r="A72" s="829" t="s">
        <v>137</v>
      </c>
      <c r="B72" s="823" t="s">
        <v>882</v>
      </c>
      <c r="C72" s="1066"/>
      <c r="D72" s="1066"/>
      <c r="E72" s="1066"/>
      <c r="F72" s="1054">
        <v>0.05</v>
      </c>
    </row>
    <row r="73" spans="1:6" ht="24.6" thickBot="1">
      <c r="A73" s="829" t="s">
        <v>137</v>
      </c>
      <c r="B73" s="823" t="s">
        <v>883</v>
      </c>
      <c r="C73" s="1066"/>
      <c r="D73" s="1066"/>
      <c r="E73" s="1066"/>
      <c r="F73" s="1054">
        <v>0.05</v>
      </c>
    </row>
    <row r="74" spans="1:6" ht="24.6" thickBot="1">
      <c r="A74" s="829" t="s">
        <v>137</v>
      </c>
      <c r="B74" s="823" t="s">
        <v>884</v>
      </c>
      <c r="C74" s="1066"/>
      <c r="D74" s="1066"/>
      <c r="E74" s="1066"/>
      <c r="F74" s="1054">
        <v>0.05</v>
      </c>
    </row>
    <row r="75" spans="1:6" ht="24.6" thickBot="1">
      <c r="A75" s="839" t="s">
        <v>137</v>
      </c>
      <c r="B75" s="835" t="s">
        <v>885</v>
      </c>
      <c r="C75" s="1063"/>
      <c r="D75" s="1063"/>
      <c r="E75" s="1063"/>
      <c r="F75" s="1056">
        <v>0.05</v>
      </c>
    </row>
    <row r="76" spans="1:6" ht="15" thickBot="1">
      <c r="A76" s="829" t="s">
        <v>523</v>
      </c>
      <c r="B76" s="830" t="s">
        <v>886</v>
      </c>
      <c r="C76" s="1051">
        <v>0.1</v>
      </c>
      <c r="D76" s="1051">
        <v>0.1</v>
      </c>
      <c r="E76" s="1051">
        <v>0.1</v>
      </c>
      <c r="F76" s="1052">
        <v>0.1</v>
      </c>
    </row>
    <row r="77" spans="1:6" ht="15" thickBot="1">
      <c r="A77" s="829" t="s">
        <v>523</v>
      </c>
      <c r="B77" s="823" t="s">
        <v>191</v>
      </c>
      <c r="C77" s="1053">
        <v>8.7999999999999995E-2</v>
      </c>
      <c r="D77" s="1053">
        <v>8.6999999999999994E-2</v>
      </c>
      <c r="E77" s="1053">
        <v>7.9000000000000001E-2</v>
      </c>
      <c r="F77" s="1054">
        <v>0.1</v>
      </c>
    </row>
    <row r="78" spans="1:6" ht="15" thickBot="1">
      <c r="A78" s="829" t="s">
        <v>523</v>
      </c>
      <c r="B78" s="823" t="s">
        <v>204</v>
      </c>
      <c r="C78" s="1053">
        <v>8.6999999999999994E-2</v>
      </c>
      <c r="D78" s="1053">
        <v>8.4000000000000005E-2</v>
      </c>
      <c r="E78" s="1053">
        <v>9.6000000000000002E-2</v>
      </c>
      <c r="F78" s="1054">
        <v>0.1</v>
      </c>
    </row>
    <row r="79" spans="1:6" ht="15" thickBot="1">
      <c r="A79" s="829" t="s">
        <v>523</v>
      </c>
      <c r="B79" s="823" t="s">
        <v>217</v>
      </c>
      <c r="C79" s="1053">
        <v>9.8000000000000004E-2</v>
      </c>
      <c r="D79" s="1053">
        <v>9.8000000000000004E-2</v>
      </c>
      <c r="E79" s="1053">
        <v>9.0999999999999998E-2</v>
      </c>
      <c r="F79" s="1054">
        <v>0.1</v>
      </c>
    </row>
    <row r="80" spans="1:6" ht="15" thickBot="1">
      <c r="A80" s="829" t="s">
        <v>523</v>
      </c>
      <c r="B80" s="823" t="s">
        <v>229</v>
      </c>
      <c r="C80" s="1053">
        <v>9.6000000000000002E-2</v>
      </c>
      <c r="D80" s="1053">
        <v>9.6000000000000002E-2</v>
      </c>
      <c r="E80" s="1053">
        <v>0.1</v>
      </c>
      <c r="F80" s="1054">
        <v>0.1</v>
      </c>
    </row>
    <row r="81" spans="1:6" ht="15" thickBot="1">
      <c r="A81" s="829" t="s">
        <v>523</v>
      </c>
      <c r="B81" s="823" t="s">
        <v>240</v>
      </c>
      <c r="C81" s="1053">
        <v>9.9000000000000005E-2</v>
      </c>
      <c r="D81" s="1053">
        <v>9.9000000000000005E-2</v>
      </c>
      <c r="E81" s="1053">
        <v>9.8000000000000004E-2</v>
      </c>
      <c r="F81" s="1054">
        <v>0.1</v>
      </c>
    </row>
    <row r="82" spans="1:6" ht="15" thickBot="1">
      <c r="A82" s="829" t="s">
        <v>523</v>
      </c>
      <c r="B82" s="823" t="s">
        <v>251</v>
      </c>
      <c r="C82" s="1053">
        <v>9.9000000000000005E-2</v>
      </c>
      <c r="D82" s="1053">
        <v>9.9000000000000005E-2</v>
      </c>
      <c r="E82" s="1053">
        <v>9.7000000000000003E-2</v>
      </c>
      <c r="F82" s="1054">
        <v>0.1</v>
      </c>
    </row>
    <row r="83" spans="1:6" ht="15" thickBot="1">
      <c r="A83" s="829" t="s">
        <v>523</v>
      </c>
      <c r="B83" s="823" t="s">
        <v>262</v>
      </c>
      <c r="C83" s="1053">
        <v>9.8000000000000004E-2</v>
      </c>
      <c r="D83" s="1053">
        <v>9.8000000000000004E-2</v>
      </c>
      <c r="E83" s="1053">
        <v>9.8000000000000004E-2</v>
      </c>
      <c r="F83" s="1054">
        <v>0.1</v>
      </c>
    </row>
    <row r="84" spans="1:6" ht="15" thickBot="1">
      <c r="A84" s="829" t="s">
        <v>523</v>
      </c>
      <c r="B84" s="823" t="s">
        <v>274</v>
      </c>
      <c r="C84" s="1053">
        <v>9.9000000000000005E-2</v>
      </c>
      <c r="D84" s="1053">
        <v>9.9000000000000005E-2</v>
      </c>
      <c r="E84" s="1053">
        <v>9.9000000000000005E-2</v>
      </c>
      <c r="F84" s="1054">
        <v>0.1</v>
      </c>
    </row>
    <row r="85" spans="1:6" ht="15" thickBot="1">
      <c r="A85" s="829" t="s">
        <v>523</v>
      </c>
      <c r="B85" s="823" t="s">
        <v>284</v>
      </c>
      <c r="C85" s="1053">
        <v>9.9000000000000005E-2</v>
      </c>
      <c r="D85" s="1053">
        <v>9.9000000000000005E-2</v>
      </c>
      <c r="E85" s="1053">
        <v>9.9000000000000005E-2</v>
      </c>
      <c r="F85" s="1054">
        <v>0.1</v>
      </c>
    </row>
    <row r="86" spans="1:6" ht="15" thickBot="1">
      <c r="A86" s="829" t="s">
        <v>523</v>
      </c>
      <c r="B86" s="823" t="s">
        <v>294</v>
      </c>
      <c r="C86" s="1053">
        <v>0.1</v>
      </c>
      <c r="D86" s="1053">
        <v>0.1</v>
      </c>
      <c r="E86" s="1053">
        <v>7.6999999999999999E-2</v>
      </c>
      <c r="F86" s="1054">
        <v>0.1</v>
      </c>
    </row>
    <row r="87" spans="1:6" ht="15" thickBot="1">
      <c r="A87" s="829" t="s">
        <v>523</v>
      </c>
      <c r="B87" s="823" t="s">
        <v>304</v>
      </c>
      <c r="C87" s="1053">
        <v>0.1</v>
      </c>
      <c r="D87" s="1053">
        <v>0.1</v>
      </c>
      <c r="E87" s="1053">
        <v>9.8000000000000004E-2</v>
      </c>
      <c r="F87" s="1065"/>
    </row>
    <row r="88" spans="1:6" ht="15" thickBot="1">
      <c r="A88" s="829" t="s">
        <v>523</v>
      </c>
      <c r="B88" s="823" t="s">
        <v>314</v>
      </c>
      <c r="C88" s="1053">
        <v>9.1999999999999998E-2</v>
      </c>
      <c r="D88" s="1053">
        <v>8.5000000000000006E-2</v>
      </c>
      <c r="E88" s="1053">
        <v>9.6000000000000002E-2</v>
      </c>
      <c r="F88" s="1065"/>
    </row>
    <row r="89" spans="1:6" ht="15" thickBot="1">
      <c r="A89" s="829" t="s">
        <v>523</v>
      </c>
      <c r="B89" s="823" t="s">
        <v>325</v>
      </c>
      <c r="C89" s="1053">
        <v>0.1</v>
      </c>
      <c r="D89" s="1053">
        <v>0.1</v>
      </c>
      <c r="E89" s="1053">
        <v>9.7000000000000003E-2</v>
      </c>
      <c r="F89" s="1065"/>
    </row>
    <row r="90" spans="1:6" ht="15" thickBot="1">
      <c r="A90" s="829" t="s">
        <v>523</v>
      </c>
      <c r="B90" s="823" t="s">
        <v>336</v>
      </c>
      <c r="C90" s="1053">
        <v>9.8000000000000004E-2</v>
      </c>
      <c r="D90" s="1053">
        <v>9.8000000000000004E-2</v>
      </c>
      <c r="E90" s="1053">
        <v>8.7999999999999995E-2</v>
      </c>
      <c r="F90" s="1065"/>
    </row>
    <row r="91" spans="1:6" ht="15" thickBot="1">
      <c r="A91" s="829" t="s">
        <v>523</v>
      </c>
      <c r="B91" s="823" t="s">
        <v>346</v>
      </c>
      <c r="C91" s="1053">
        <v>9.9000000000000005E-2</v>
      </c>
      <c r="D91" s="1053">
        <v>9.9000000000000005E-2</v>
      </c>
      <c r="E91" s="1053">
        <v>9.0999999999999998E-2</v>
      </c>
      <c r="F91" s="1065"/>
    </row>
    <row r="92" spans="1:6" ht="15" thickBot="1">
      <c r="A92" s="829" t="s">
        <v>523</v>
      </c>
      <c r="B92" s="823" t="s">
        <v>356</v>
      </c>
      <c r="C92" s="1053">
        <v>9.6000000000000002E-2</v>
      </c>
      <c r="D92" s="1053">
        <v>9.6000000000000002E-2</v>
      </c>
      <c r="E92" s="1053">
        <v>7.2999999999999995E-2</v>
      </c>
      <c r="F92" s="1065"/>
    </row>
    <row r="93" spans="1:6" ht="15" thickBot="1">
      <c r="A93" s="829" t="s">
        <v>523</v>
      </c>
      <c r="B93" s="823" t="s">
        <v>366</v>
      </c>
      <c r="C93" s="1053">
        <v>9.6000000000000002E-2</v>
      </c>
      <c r="D93" s="1053">
        <v>9.6000000000000002E-2</v>
      </c>
      <c r="E93" s="1053">
        <v>9.9000000000000005E-2</v>
      </c>
      <c r="F93" s="1065"/>
    </row>
    <row r="94" spans="1:6" ht="15" thickBot="1">
      <c r="A94" s="829" t="s">
        <v>523</v>
      </c>
      <c r="B94" s="823" t="s">
        <v>376</v>
      </c>
      <c r="C94" s="1053">
        <v>7.5999999999999998E-2</v>
      </c>
      <c r="D94" s="1053">
        <v>7.3999999999999996E-2</v>
      </c>
      <c r="E94" s="1053">
        <v>9.7000000000000003E-2</v>
      </c>
      <c r="F94" s="1065"/>
    </row>
    <row r="95" spans="1:6" ht="15" thickBot="1">
      <c r="A95" s="829" t="s">
        <v>523</v>
      </c>
      <c r="B95" s="823" t="s">
        <v>385</v>
      </c>
      <c r="C95" s="1053">
        <v>9.9000000000000005E-2</v>
      </c>
      <c r="D95" s="1053">
        <v>9.4E-2</v>
      </c>
      <c r="E95" s="1053">
        <v>9.6000000000000002E-2</v>
      </c>
      <c r="F95" s="1065"/>
    </row>
    <row r="96" spans="1:6" ht="15" thickBot="1">
      <c r="A96" s="829" t="s">
        <v>523</v>
      </c>
      <c r="B96" s="823" t="s">
        <v>394</v>
      </c>
      <c r="C96" s="1053">
        <v>9.9000000000000005E-2</v>
      </c>
      <c r="D96" s="1053">
        <v>9.9000000000000005E-2</v>
      </c>
      <c r="E96" s="1053">
        <v>9.9000000000000005E-2</v>
      </c>
      <c r="F96" s="1065"/>
    </row>
    <row r="97" spans="1:6" ht="15" thickBot="1">
      <c r="A97" s="829" t="s">
        <v>523</v>
      </c>
      <c r="B97" s="823" t="s">
        <v>402</v>
      </c>
      <c r="C97" s="1053">
        <v>9.8000000000000004E-2</v>
      </c>
      <c r="D97" s="1053">
        <v>9.8000000000000004E-2</v>
      </c>
      <c r="E97" s="1053">
        <v>9.7000000000000003E-2</v>
      </c>
      <c r="F97" s="1065"/>
    </row>
    <row r="98" spans="1:6" ht="15" thickBot="1">
      <c r="A98" s="829" t="s">
        <v>523</v>
      </c>
      <c r="B98" s="823" t="s">
        <v>409</v>
      </c>
      <c r="C98" s="1053">
        <v>0.1</v>
      </c>
      <c r="D98" s="1053">
        <v>0.1</v>
      </c>
      <c r="E98" s="1053">
        <v>9.7000000000000003E-2</v>
      </c>
      <c r="F98" s="1065"/>
    </row>
    <row r="99" spans="1:6" ht="15" thickBot="1">
      <c r="A99" s="829" t="s">
        <v>523</v>
      </c>
      <c r="B99" s="823" t="s">
        <v>416</v>
      </c>
      <c r="C99" s="1053">
        <v>0.1</v>
      </c>
      <c r="D99" s="1053">
        <v>0.1</v>
      </c>
      <c r="E99" s="1066"/>
      <c r="F99" s="1065"/>
    </row>
    <row r="100" spans="1:6" ht="15" thickBot="1">
      <c r="A100" s="829" t="s">
        <v>523</v>
      </c>
      <c r="B100" s="823" t="s">
        <v>423</v>
      </c>
      <c r="C100" s="1053">
        <v>0.09</v>
      </c>
      <c r="D100" s="1053">
        <v>8.8999999999999996E-2</v>
      </c>
      <c r="E100" s="1066"/>
      <c r="F100" s="1065"/>
    </row>
    <row r="101" spans="1:6" ht="15" thickBot="1">
      <c r="A101" s="829" t="s">
        <v>523</v>
      </c>
      <c r="B101" s="823" t="s">
        <v>430</v>
      </c>
      <c r="C101" s="1053">
        <v>9.8000000000000004E-2</v>
      </c>
      <c r="D101" s="1053">
        <v>9.7000000000000003E-2</v>
      </c>
      <c r="E101" s="1066"/>
      <c r="F101" s="1065"/>
    </row>
    <row r="102" spans="1:6" ht="24.6" thickBot="1">
      <c r="A102" s="829" t="s">
        <v>523</v>
      </c>
      <c r="B102" s="823" t="s">
        <v>887</v>
      </c>
      <c r="C102" s="1066"/>
      <c r="D102" s="1066"/>
      <c r="E102" s="1066"/>
      <c r="F102" s="1054">
        <v>0.05</v>
      </c>
    </row>
    <row r="103" spans="1:6" ht="24.6" thickBot="1">
      <c r="A103" s="829" t="s">
        <v>523</v>
      </c>
      <c r="B103" s="823" t="s">
        <v>888</v>
      </c>
      <c r="C103" s="1066"/>
      <c r="D103" s="1066"/>
      <c r="E103" s="1066"/>
      <c r="F103" s="1054">
        <v>0.05</v>
      </c>
    </row>
    <row r="104" spans="1:6" ht="15" thickBot="1">
      <c r="A104" s="829" t="s">
        <v>523</v>
      </c>
      <c r="B104" s="823" t="s">
        <v>889</v>
      </c>
      <c r="C104" s="1066"/>
      <c r="D104" s="1066"/>
      <c r="E104" s="1066"/>
      <c r="F104" s="1054">
        <v>0.05</v>
      </c>
    </row>
    <row r="105" spans="1:6" ht="24.6" thickBot="1">
      <c r="A105" s="829" t="s">
        <v>523</v>
      </c>
      <c r="B105" s="823" t="s">
        <v>890</v>
      </c>
      <c r="C105" s="1066"/>
      <c r="D105" s="1066"/>
      <c r="E105" s="1066"/>
      <c r="F105" s="1054">
        <v>0.05</v>
      </c>
    </row>
    <row r="106" spans="1:6" ht="24.6" thickBot="1">
      <c r="A106" s="829" t="s">
        <v>523</v>
      </c>
      <c r="B106" s="823" t="s">
        <v>891</v>
      </c>
      <c r="C106" s="1066"/>
      <c r="D106" s="1066"/>
      <c r="E106" s="1066"/>
      <c r="F106" s="1054">
        <v>0.05</v>
      </c>
    </row>
    <row r="107" spans="1:6" ht="24.6" thickBot="1">
      <c r="A107" s="829" t="s">
        <v>523</v>
      </c>
      <c r="B107" s="823" t="s">
        <v>892</v>
      </c>
      <c r="C107" s="1066"/>
      <c r="D107" s="1066"/>
      <c r="E107" s="1066"/>
      <c r="F107" s="1054">
        <v>0.05</v>
      </c>
    </row>
    <row r="108" spans="1:6" ht="24.6" thickBot="1">
      <c r="A108" s="829" t="s">
        <v>523</v>
      </c>
      <c r="B108" s="823" t="s">
        <v>893</v>
      </c>
      <c r="C108" s="1066"/>
      <c r="D108" s="1066"/>
      <c r="E108" s="1066"/>
      <c r="F108" s="1054">
        <v>0.05</v>
      </c>
    </row>
    <row r="109" spans="1:6" ht="24.6" thickBot="1">
      <c r="A109" s="839" t="s">
        <v>523</v>
      </c>
      <c r="B109" s="835" t="s">
        <v>894</v>
      </c>
      <c r="C109" s="1063"/>
      <c r="D109" s="1063"/>
      <c r="E109" s="1063"/>
      <c r="F109" s="1056">
        <v>0.05</v>
      </c>
    </row>
    <row r="110" spans="1:6" ht="15" thickBot="1">
      <c r="A110" s="829" t="s">
        <v>56</v>
      </c>
      <c r="B110" s="830" t="s">
        <v>895</v>
      </c>
      <c r="C110" s="1051">
        <v>0.129</v>
      </c>
      <c r="D110" s="1051">
        <v>0.129</v>
      </c>
      <c r="E110" s="1051">
        <v>0.126</v>
      </c>
      <c r="F110" s="1052">
        <v>0.13</v>
      </c>
    </row>
    <row r="111" spans="1:6" ht="15" thickBot="1">
      <c r="A111" s="829" t="s">
        <v>56</v>
      </c>
      <c r="B111" s="823" t="s">
        <v>192</v>
      </c>
      <c r="C111" s="1053">
        <v>0.11</v>
      </c>
      <c r="D111" s="1053">
        <v>0.11</v>
      </c>
      <c r="E111" s="1053">
        <v>9.9000000000000005E-2</v>
      </c>
      <c r="F111" s="1054">
        <v>0.128</v>
      </c>
    </row>
    <row r="112" spans="1:6" ht="15" thickBot="1">
      <c r="A112" s="829" t="s">
        <v>56</v>
      </c>
      <c r="B112" s="823" t="s">
        <v>205</v>
      </c>
      <c r="C112" s="1053">
        <v>0.125</v>
      </c>
      <c r="D112" s="1053">
        <v>0.125</v>
      </c>
      <c r="E112" s="1053">
        <v>0.12</v>
      </c>
      <c r="F112" s="1054">
        <v>0.125</v>
      </c>
    </row>
    <row r="113" spans="1:6" ht="15" thickBot="1">
      <c r="A113" s="829" t="s">
        <v>56</v>
      </c>
      <c r="B113" s="823" t="s">
        <v>218</v>
      </c>
      <c r="C113" s="1053">
        <v>0.13</v>
      </c>
      <c r="D113" s="1053">
        <v>0.13</v>
      </c>
      <c r="E113" s="1053">
        <v>0.13</v>
      </c>
      <c r="F113" s="1054">
        <v>0.13</v>
      </c>
    </row>
    <row r="114" spans="1:6" ht="15" thickBot="1">
      <c r="A114" s="829" t="s">
        <v>56</v>
      </c>
      <c r="B114" s="823" t="s">
        <v>230</v>
      </c>
      <c r="C114" s="1053">
        <v>0.123</v>
      </c>
      <c r="D114" s="1053">
        <v>0.123</v>
      </c>
      <c r="E114" s="1053">
        <v>0.12</v>
      </c>
      <c r="F114" s="1054">
        <v>0.13</v>
      </c>
    </row>
    <row r="115" spans="1:6" ht="15" thickBot="1">
      <c r="A115" s="829" t="s">
        <v>56</v>
      </c>
      <c r="B115" s="823" t="s">
        <v>241</v>
      </c>
      <c r="C115" s="1053">
        <v>0.125</v>
      </c>
      <c r="D115" s="1053">
        <v>0.125</v>
      </c>
      <c r="E115" s="1053">
        <v>0.11700000000000001</v>
      </c>
      <c r="F115" s="1054">
        <v>0.13</v>
      </c>
    </row>
    <row r="116" spans="1:6" ht="15" thickBot="1">
      <c r="A116" s="829" t="s">
        <v>56</v>
      </c>
      <c r="B116" s="823" t="s">
        <v>252</v>
      </c>
      <c r="C116" s="1053">
        <v>0.11700000000000001</v>
      </c>
      <c r="D116" s="1053">
        <v>0.11700000000000001</v>
      </c>
      <c r="E116" s="1053">
        <v>8.7999999999999995E-2</v>
      </c>
      <c r="F116" s="1054">
        <v>0.13</v>
      </c>
    </row>
    <row r="117" spans="1:6" ht="15" thickBot="1">
      <c r="A117" s="829" t="s">
        <v>56</v>
      </c>
      <c r="B117" s="823" t="s">
        <v>263</v>
      </c>
      <c r="C117" s="1053">
        <v>0.13</v>
      </c>
      <c r="D117" s="1053">
        <v>0.13</v>
      </c>
      <c r="E117" s="1053">
        <v>0.129</v>
      </c>
      <c r="F117" s="1054">
        <v>0.13</v>
      </c>
    </row>
    <row r="118" spans="1:6" ht="15" thickBot="1">
      <c r="A118" s="829" t="s">
        <v>56</v>
      </c>
      <c r="B118" s="823" t="s">
        <v>275</v>
      </c>
      <c r="C118" s="1053">
        <v>0.123</v>
      </c>
      <c r="D118" s="1053">
        <v>0.123</v>
      </c>
      <c r="E118" s="1053">
        <v>0.11600000000000001</v>
      </c>
      <c r="F118" s="1054">
        <v>0.13</v>
      </c>
    </row>
    <row r="119" spans="1:6" ht="15" thickBot="1">
      <c r="A119" s="829" t="s">
        <v>56</v>
      </c>
      <c r="B119" s="823" t="s">
        <v>285</v>
      </c>
      <c r="C119" s="1053">
        <v>0.127</v>
      </c>
      <c r="D119" s="1053">
        <v>0.127</v>
      </c>
      <c r="E119" s="1053">
        <v>0.124</v>
      </c>
      <c r="F119" s="1054">
        <v>0.13</v>
      </c>
    </row>
    <row r="120" spans="1:6" ht="15" thickBot="1">
      <c r="A120" s="829" t="s">
        <v>56</v>
      </c>
      <c r="B120" s="823" t="s">
        <v>295</v>
      </c>
      <c r="C120" s="1053">
        <v>0.125</v>
      </c>
      <c r="D120" s="1053">
        <v>0.125</v>
      </c>
      <c r="E120" s="1053">
        <v>0.122</v>
      </c>
      <c r="F120" s="1054">
        <v>0.13</v>
      </c>
    </row>
    <row r="121" spans="1:6" ht="15" thickBot="1">
      <c r="A121" s="829" t="s">
        <v>56</v>
      </c>
      <c r="B121" s="823" t="s">
        <v>305</v>
      </c>
      <c r="C121" s="1053">
        <v>0.13</v>
      </c>
      <c r="D121" s="1053">
        <v>0.13</v>
      </c>
      <c r="E121" s="1053">
        <v>0.13</v>
      </c>
      <c r="F121" s="1054">
        <v>0.13</v>
      </c>
    </row>
    <row r="122" spans="1:6" ht="15" thickBot="1">
      <c r="A122" s="829" t="s">
        <v>56</v>
      </c>
      <c r="B122" s="823" t="s">
        <v>315</v>
      </c>
      <c r="C122" s="1053">
        <v>0.13</v>
      </c>
      <c r="D122" s="1053">
        <v>0.13</v>
      </c>
      <c r="E122" s="1053">
        <v>0.125</v>
      </c>
      <c r="F122" s="1054">
        <v>0.13</v>
      </c>
    </row>
    <row r="123" spans="1:6" ht="15" thickBot="1">
      <c r="A123" s="829" t="s">
        <v>56</v>
      </c>
      <c r="B123" s="823" t="s">
        <v>326</v>
      </c>
      <c r="C123" s="1053">
        <v>0.129</v>
      </c>
      <c r="D123" s="1053">
        <v>0.129</v>
      </c>
      <c r="E123" s="1053">
        <v>0.123</v>
      </c>
      <c r="F123" s="1054">
        <v>0.13</v>
      </c>
    </row>
    <row r="124" spans="1:6" ht="15" thickBot="1">
      <c r="A124" s="829" t="s">
        <v>56</v>
      </c>
      <c r="B124" s="823" t="s">
        <v>337</v>
      </c>
      <c r="C124" s="1053">
        <v>0.10199999999999999</v>
      </c>
      <c r="D124" s="1053">
        <v>0.10100000000000001</v>
      </c>
      <c r="E124" s="1053">
        <v>0.08</v>
      </c>
      <c r="F124" s="1065"/>
    </row>
    <row r="125" spans="1:6" ht="15" thickBot="1">
      <c r="A125" s="829" t="s">
        <v>56</v>
      </c>
      <c r="B125" s="823" t="s">
        <v>347</v>
      </c>
      <c r="C125" s="1053">
        <v>0.13</v>
      </c>
      <c r="D125" s="1053">
        <v>0.13</v>
      </c>
      <c r="E125" s="1053">
        <v>0.129</v>
      </c>
      <c r="F125" s="1065"/>
    </row>
    <row r="126" spans="1:6" ht="15" thickBot="1">
      <c r="A126" s="829" t="s">
        <v>56</v>
      </c>
      <c r="B126" s="823" t="s">
        <v>357</v>
      </c>
      <c r="C126" s="1053">
        <v>0.13</v>
      </c>
      <c r="D126" s="1053">
        <v>0.13</v>
      </c>
      <c r="E126" s="1053">
        <v>0.126</v>
      </c>
      <c r="F126" s="1065"/>
    </row>
    <row r="127" spans="1:6" ht="15" thickBot="1">
      <c r="A127" s="829" t="s">
        <v>56</v>
      </c>
      <c r="B127" s="823" t="s">
        <v>367</v>
      </c>
      <c r="C127" s="1053">
        <v>0.125</v>
      </c>
      <c r="D127" s="1053">
        <v>0.125</v>
      </c>
      <c r="E127" s="1053">
        <v>0.121</v>
      </c>
      <c r="F127" s="1065"/>
    </row>
    <row r="128" spans="1:6" ht="15" thickBot="1">
      <c r="A128" s="829" t="s">
        <v>56</v>
      </c>
      <c r="B128" s="823" t="s">
        <v>377</v>
      </c>
      <c r="C128" s="1053">
        <v>0.12</v>
      </c>
      <c r="D128" s="1053">
        <v>0.12</v>
      </c>
      <c r="E128" s="1053">
        <v>0.105</v>
      </c>
      <c r="F128" s="1065"/>
    </row>
    <row r="129" spans="1:6" ht="15" thickBot="1">
      <c r="A129" s="829" t="s">
        <v>56</v>
      </c>
      <c r="B129" s="823" t="s">
        <v>386</v>
      </c>
      <c r="C129" s="1053">
        <v>0.13</v>
      </c>
      <c r="D129" s="1053">
        <v>0.13</v>
      </c>
      <c r="E129" s="1053">
        <v>0.126</v>
      </c>
      <c r="F129" s="1065"/>
    </row>
    <row r="130" spans="1:6" ht="15" thickBot="1">
      <c r="A130" s="829" t="s">
        <v>56</v>
      </c>
      <c r="B130" s="823" t="s">
        <v>395</v>
      </c>
      <c r="C130" s="1053">
        <v>0.125</v>
      </c>
      <c r="D130" s="1053">
        <v>0.125</v>
      </c>
      <c r="E130" s="1053">
        <v>0.122</v>
      </c>
      <c r="F130" s="1065"/>
    </row>
    <row r="131" spans="1:6" ht="15" thickBot="1">
      <c r="A131" s="829" t="s">
        <v>56</v>
      </c>
      <c r="B131" s="823" t="s">
        <v>403</v>
      </c>
      <c r="C131" s="1053">
        <v>0.127</v>
      </c>
      <c r="D131" s="1053">
        <v>0.126</v>
      </c>
      <c r="E131" s="1053">
        <v>0.123</v>
      </c>
      <c r="F131" s="1065"/>
    </row>
    <row r="132" spans="1:6" ht="15" thickBot="1">
      <c r="A132" s="829" t="s">
        <v>56</v>
      </c>
      <c r="B132" s="823" t="s">
        <v>410</v>
      </c>
      <c r="C132" s="1053">
        <v>9.0999999999999998E-2</v>
      </c>
      <c r="D132" s="1053">
        <v>0.121</v>
      </c>
      <c r="E132" s="1053">
        <v>9.9000000000000005E-2</v>
      </c>
      <c r="F132" s="1065"/>
    </row>
    <row r="133" spans="1:6" ht="15" thickBot="1">
      <c r="A133" s="829" t="s">
        <v>56</v>
      </c>
      <c r="B133" s="823" t="s">
        <v>417</v>
      </c>
      <c r="C133" s="1053">
        <v>0.13</v>
      </c>
      <c r="D133" s="1053">
        <v>0.13</v>
      </c>
      <c r="E133" s="1053">
        <v>0.129</v>
      </c>
      <c r="F133" s="1065"/>
    </row>
    <row r="134" spans="1:6" ht="15" thickBot="1">
      <c r="A134" s="829" t="s">
        <v>56</v>
      </c>
      <c r="B134" s="823" t="s">
        <v>896</v>
      </c>
      <c r="C134" s="1053">
        <v>6.8000000000000005E-2</v>
      </c>
      <c r="D134" s="1053">
        <v>6.5000000000000002E-2</v>
      </c>
      <c r="E134" s="1053">
        <v>6.5000000000000002E-2</v>
      </c>
      <c r="F134" s="1054">
        <v>0.13</v>
      </c>
    </row>
    <row r="135" spans="1:6" ht="15" thickBot="1">
      <c r="A135" s="829" t="s">
        <v>56</v>
      </c>
      <c r="B135" s="823" t="s">
        <v>431</v>
      </c>
      <c r="C135" s="1053">
        <v>0.123</v>
      </c>
      <c r="D135" s="1053">
        <v>0.123</v>
      </c>
      <c r="E135" s="1053">
        <v>0.11</v>
      </c>
      <c r="F135" s="1065"/>
    </row>
    <row r="136" spans="1:6" ht="15" thickBot="1">
      <c r="A136" s="829" t="s">
        <v>56</v>
      </c>
      <c r="B136" s="823" t="s">
        <v>438</v>
      </c>
      <c r="C136" s="1053">
        <v>0.13</v>
      </c>
      <c r="D136" s="1053">
        <v>0.13</v>
      </c>
      <c r="E136" s="1053">
        <v>0.125</v>
      </c>
      <c r="F136" s="1065"/>
    </row>
    <row r="137" spans="1:6" ht="15" thickBot="1">
      <c r="A137" s="829" t="s">
        <v>56</v>
      </c>
      <c r="B137" s="823" t="s">
        <v>445</v>
      </c>
      <c r="C137" s="1053">
        <v>0.121</v>
      </c>
      <c r="D137" s="1053">
        <v>0.122</v>
      </c>
      <c r="E137" s="1053">
        <v>0.115</v>
      </c>
      <c r="F137" s="1065"/>
    </row>
    <row r="138" spans="1:6" ht="15" thickBot="1">
      <c r="A138" s="829" t="s">
        <v>56</v>
      </c>
      <c r="B138" s="823" t="s">
        <v>897</v>
      </c>
      <c r="C138" s="1053">
        <v>0.105</v>
      </c>
      <c r="D138" s="1053">
        <v>0.125</v>
      </c>
      <c r="E138" s="1053">
        <v>0.112</v>
      </c>
      <c r="F138" s="1065"/>
    </row>
    <row r="139" spans="1:6" ht="15" thickBot="1">
      <c r="A139" s="829" t="s">
        <v>56</v>
      </c>
      <c r="B139" s="823" t="s">
        <v>898</v>
      </c>
      <c r="C139" s="1053">
        <v>0.127</v>
      </c>
      <c r="D139" s="1053">
        <v>0.127</v>
      </c>
      <c r="E139" s="1053">
        <v>0.122</v>
      </c>
      <c r="F139" s="1054">
        <v>0.13</v>
      </c>
    </row>
    <row r="140" spans="1:6" ht="15" thickBot="1">
      <c r="A140" s="829" t="s">
        <v>56</v>
      </c>
      <c r="B140" s="823" t="s">
        <v>899</v>
      </c>
      <c r="C140" s="1053">
        <v>0.125</v>
      </c>
      <c r="D140" s="1053">
        <v>0.125</v>
      </c>
      <c r="E140" s="1053">
        <v>0.11899999999999999</v>
      </c>
      <c r="F140" s="1054">
        <v>0.13</v>
      </c>
    </row>
    <row r="141" spans="1:6" ht="15" thickBot="1">
      <c r="A141" s="829" t="s">
        <v>56</v>
      </c>
      <c r="B141" s="823" t="s">
        <v>464</v>
      </c>
      <c r="C141" s="1053">
        <v>0.125</v>
      </c>
      <c r="D141" s="1053">
        <v>0.125</v>
      </c>
      <c r="E141" s="1053">
        <v>0.11700000000000001</v>
      </c>
      <c r="F141" s="1065"/>
    </row>
    <row r="142" spans="1:6" ht="15" thickBot="1">
      <c r="A142" s="829" t="s">
        <v>56</v>
      </c>
      <c r="B142" s="823" t="s">
        <v>469</v>
      </c>
      <c r="C142" s="1053">
        <v>0.125</v>
      </c>
      <c r="D142" s="1053">
        <v>0.125</v>
      </c>
      <c r="E142" s="1053">
        <v>0.115</v>
      </c>
      <c r="F142" s="1065"/>
    </row>
    <row r="143" spans="1:6" ht="15" thickBot="1">
      <c r="A143" s="829" t="s">
        <v>56</v>
      </c>
      <c r="B143" s="823" t="s">
        <v>474</v>
      </c>
      <c r="C143" s="1053">
        <v>0.121</v>
      </c>
      <c r="D143" s="1053">
        <v>0.121</v>
      </c>
      <c r="E143" s="1053">
        <v>0.108</v>
      </c>
      <c r="F143" s="1065"/>
    </row>
    <row r="144" spans="1:6" ht="15" thickBot="1">
      <c r="A144" s="829" t="s">
        <v>56</v>
      </c>
      <c r="B144" s="1057" t="s">
        <v>900</v>
      </c>
      <c r="C144" s="1058">
        <v>0.126</v>
      </c>
      <c r="D144" s="1058">
        <v>0.126</v>
      </c>
      <c r="E144" s="1058">
        <v>0.121</v>
      </c>
      <c r="F144" s="1065"/>
    </row>
    <row r="145" spans="1:6" ht="15" thickBot="1">
      <c r="A145" s="839" t="s">
        <v>56</v>
      </c>
      <c r="B145" s="1059" t="s">
        <v>901</v>
      </c>
      <c r="C145" s="1067"/>
      <c r="D145" s="1067"/>
      <c r="E145" s="1067"/>
      <c r="F145" s="1060">
        <v>0.05</v>
      </c>
    </row>
    <row r="146" spans="1:6" ht="24.6" thickBot="1">
      <c r="A146" s="1061" t="s">
        <v>56</v>
      </c>
      <c r="B146" s="833" t="s">
        <v>902</v>
      </c>
      <c r="C146" s="1066"/>
      <c r="D146" s="1066"/>
      <c r="E146" s="1066"/>
      <c r="F146" s="1062">
        <v>0.05</v>
      </c>
    </row>
    <row r="147" spans="1:6" ht="24.6" thickBot="1">
      <c r="A147" s="829" t="s">
        <v>56</v>
      </c>
      <c r="B147" s="823" t="s">
        <v>903</v>
      </c>
      <c r="C147" s="1066"/>
      <c r="D147" s="1066"/>
      <c r="E147" s="1066"/>
      <c r="F147" s="1054">
        <v>0.05</v>
      </c>
    </row>
    <row r="148" spans="1:6" ht="24.6" thickBot="1">
      <c r="A148" s="829" t="s">
        <v>56</v>
      </c>
      <c r="B148" s="823" t="s">
        <v>904</v>
      </c>
      <c r="C148" s="1066"/>
      <c r="D148" s="1066"/>
      <c r="E148" s="1066"/>
      <c r="F148" s="1054">
        <v>0.05</v>
      </c>
    </row>
    <row r="149" spans="1:6" ht="24.6" thickBot="1">
      <c r="A149" s="829" t="s">
        <v>56</v>
      </c>
      <c r="B149" s="823" t="s">
        <v>905</v>
      </c>
      <c r="C149" s="1066"/>
      <c r="D149" s="1066"/>
      <c r="E149" s="1066"/>
      <c r="F149" s="1054">
        <v>0.05</v>
      </c>
    </row>
    <row r="150" spans="1:6" ht="24.6" thickBot="1">
      <c r="A150" s="829" t="s">
        <v>56</v>
      </c>
      <c r="B150" s="823" t="s">
        <v>906</v>
      </c>
      <c r="C150" s="1066"/>
      <c r="D150" s="1066"/>
      <c r="E150" s="1066"/>
      <c r="F150" s="1054">
        <v>0.05</v>
      </c>
    </row>
    <row r="151" spans="1:6" ht="24.6" thickBot="1">
      <c r="A151" s="829" t="s">
        <v>56</v>
      </c>
      <c r="B151" s="823" t="s">
        <v>907</v>
      </c>
      <c r="C151" s="1066"/>
      <c r="D151" s="1066"/>
      <c r="E151" s="1066"/>
      <c r="F151" s="1054">
        <v>0.05</v>
      </c>
    </row>
    <row r="152" spans="1:6" ht="24.6" thickBot="1">
      <c r="A152" s="829" t="s">
        <v>56</v>
      </c>
      <c r="B152" s="823" t="s">
        <v>507</v>
      </c>
      <c r="C152" s="1066"/>
      <c r="D152" s="1066"/>
      <c r="E152" s="1066"/>
      <c r="F152" s="1054">
        <v>0.05</v>
      </c>
    </row>
    <row r="153" spans="1:6" ht="15" thickBot="1">
      <c r="A153" s="829" t="s">
        <v>56</v>
      </c>
      <c r="B153" s="823" t="s">
        <v>908</v>
      </c>
      <c r="C153" s="1066"/>
      <c r="D153" s="1066"/>
      <c r="E153" s="1066"/>
      <c r="F153" s="1054">
        <v>0.05</v>
      </c>
    </row>
    <row r="154" spans="1:6" ht="15" thickBot="1">
      <c r="A154" s="829" t="s">
        <v>56</v>
      </c>
      <c r="B154" s="823" t="s">
        <v>909</v>
      </c>
      <c r="C154" s="1066"/>
      <c r="D154" s="1066"/>
      <c r="E154" s="1066"/>
      <c r="F154" s="1054">
        <v>0.05</v>
      </c>
    </row>
    <row r="155" spans="1:6" ht="24.6" thickBot="1">
      <c r="A155" s="829" t="s">
        <v>56</v>
      </c>
      <c r="B155" s="823" t="s">
        <v>910</v>
      </c>
      <c r="C155" s="1066"/>
      <c r="D155" s="1066"/>
      <c r="E155" s="1066"/>
      <c r="F155" s="1054">
        <v>0.05</v>
      </c>
    </row>
    <row r="156" spans="1:6" ht="24.6" thickBot="1">
      <c r="A156" s="829" t="s">
        <v>56</v>
      </c>
      <c r="B156" s="823" t="s">
        <v>911</v>
      </c>
      <c r="C156" s="1066"/>
      <c r="D156" s="1066"/>
      <c r="E156" s="1066"/>
      <c r="F156" s="1054">
        <v>0.05</v>
      </c>
    </row>
    <row r="157" spans="1:6" ht="24.6" thickBot="1">
      <c r="A157" s="839" t="s">
        <v>56</v>
      </c>
      <c r="B157" s="835" t="s">
        <v>912</v>
      </c>
      <c r="C157" s="1063"/>
      <c r="D157" s="1063"/>
      <c r="E157" s="1063"/>
      <c r="F157" s="1056">
        <v>0.05</v>
      </c>
    </row>
    <row r="158" spans="1:6" ht="15" thickBot="1">
      <c r="A158" s="829" t="s">
        <v>526</v>
      </c>
      <c r="B158" s="830" t="s">
        <v>913</v>
      </c>
      <c r="C158" s="1051">
        <v>0.13</v>
      </c>
      <c r="D158" s="1051">
        <v>0.13</v>
      </c>
      <c r="E158" s="1051">
        <v>0.13</v>
      </c>
      <c r="F158" s="1052">
        <v>0.13</v>
      </c>
    </row>
    <row r="159" spans="1:6" ht="15" thickBot="1">
      <c r="A159" s="829" t="s">
        <v>526</v>
      </c>
      <c r="B159" s="823" t="s">
        <v>193</v>
      </c>
      <c r="C159" s="1053">
        <v>0.13</v>
      </c>
      <c r="D159" s="1053">
        <v>0.13</v>
      </c>
      <c r="E159" s="1053">
        <v>0.13</v>
      </c>
      <c r="F159" s="1054">
        <v>0.13</v>
      </c>
    </row>
    <row r="160" spans="1:6" ht="15" thickBot="1">
      <c r="A160" s="829" t="s">
        <v>526</v>
      </c>
      <c r="B160" s="823" t="s">
        <v>206</v>
      </c>
      <c r="C160" s="1053">
        <v>0.13</v>
      </c>
      <c r="D160" s="1053">
        <v>0.13</v>
      </c>
      <c r="E160" s="1053">
        <v>0.129</v>
      </c>
      <c r="F160" s="1054">
        <v>0.13</v>
      </c>
    </row>
    <row r="161" spans="1:6" ht="15" thickBot="1">
      <c r="A161" s="829" t="s">
        <v>526</v>
      </c>
      <c r="B161" s="823" t="s">
        <v>219</v>
      </c>
      <c r="C161" s="1053">
        <v>0.128</v>
      </c>
      <c r="D161" s="1053">
        <v>0.128</v>
      </c>
      <c r="E161" s="1053">
        <v>0.125</v>
      </c>
      <c r="F161" s="1054">
        <v>0.13</v>
      </c>
    </row>
    <row r="162" spans="1:6" ht="15" thickBot="1">
      <c r="A162" s="829" t="s">
        <v>526</v>
      </c>
      <c r="B162" s="823" t="s">
        <v>231</v>
      </c>
      <c r="C162" s="1053">
        <v>0.122</v>
      </c>
      <c r="D162" s="1053">
        <v>0.122</v>
      </c>
      <c r="E162" s="1053">
        <v>0.126</v>
      </c>
      <c r="F162" s="1054">
        <v>0.122</v>
      </c>
    </row>
    <row r="163" spans="1:6" ht="15" thickBot="1">
      <c r="A163" s="829" t="s">
        <v>526</v>
      </c>
      <c r="B163" s="823" t="s">
        <v>242</v>
      </c>
      <c r="C163" s="1053">
        <v>0.13</v>
      </c>
      <c r="D163" s="1053">
        <v>0.13</v>
      </c>
      <c r="E163" s="1053">
        <v>0.125</v>
      </c>
      <c r="F163" s="1054">
        <v>0.13</v>
      </c>
    </row>
    <row r="164" spans="1:6" ht="15" thickBot="1">
      <c r="A164" s="829" t="s">
        <v>526</v>
      </c>
      <c r="B164" s="823" t="s">
        <v>253</v>
      </c>
      <c r="C164" s="1053">
        <v>0.13</v>
      </c>
      <c r="D164" s="1053">
        <v>0.13</v>
      </c>
      <c r="E164" s="1053">
        <v>0.13</v>
      </c>
      <c r="F164" s="1054">
        <v>0.13</v>
      </c>
    </row>
    <row r="165" spans="1:6" ht="15" thickBot="1">
      <c r="A165" s="829" t="s">
        <v>526</v>
      </c>
      <c r="B165" s="823" t="s">
        <v>264</v>
      </c>
      <c r="C165" s="1053">
        <v>0.13</v>
      </c>
      <c r="D165" s="1053">
        <v>0.13</v>
      </c>
      <c r="E165" s="1053">
        <v>0.124</v>
      </c>
      <c r="F165" s="1054">
        <v>0.13</v>
      </c>
    </row>
    <row r="166" spans="1:6" ht="15" thickBot="1">
      <c r="A166" s="829" t="s">
        <v>526</v>
      </c>
      <c r="B166" s="823" t="s">
        <v>276</v>
      </c>
      <c r="C166" s="1053">
        <v>0.13</v>
      </c>
      <c r="D166" s="1053">
        <v>0.13</v>
      </c>
      <c r="E166" s="1053">
        <v>0.13</v>
      </c>
      <c r="F166" s="1054">
        <v>0.13</v>
      </c>
    </row>
    <row r="167" spans="1:6" ht="15" thickBot="1">
      <c r="A167" s="829" t="s">
        <v>526</v>
      </c>
      <c r="B167" s="823" t="s">
        <v>286</v>
      </c>
      <c r="C167" s="1053">
        <v>0.125</v>
      </c>
      <c r="D167" s="1053">
        <v>0.125</v>
      </c>
      <c r="E167" s="1053">
        <v>0.121</v>
      </c>
      <c r="F167" s="1065"/>
    </row>
    <row r="168" spans="1:6" ht="15" thickBot="1">
      <c r="A168" s="829" t="s">
        <v>526</v>
      </c>
      <c r="B168" s="823" t="s">
        <v>296</v>
      </c>
      <c r="C168" s="1053">
        <v>0.13</v>
      </c>
      <c r="D168" s="1053">
        <v>0.13</v>
      </c>
      <c r="E168" s="1053">
        <v>0.126</v>
      </c>
      <c r="F168" s="1065"/>
    </row>
    <row r="169" spans="1:6" ht="15" thickBot="1">
      <c r="A169" s="829" t="s">
        <v>526</v>
      </c>
      <c r="B169" s="823" t="s">
        <v>306</v>
      </c>
      <c r="C169" s="1053">
        <v>0.128</v>
      </c>
      <c r="D169" s="1053">
        <v>0.129</v>
      </c>
      <c r="E169" s="1053">
        <v>0.13</v>
      </c>
      <c r="F169" s="1065"/>
    </row>
    <row r="170" spans="1:6" ht="15" thickBot="1">
      <c r="A170" s="829" t="s">
        <v>526</v>
      </c>
      <c r="B170" s="823" t="s">
        <v>316</v>
      </c>
      <c r="C170" s="1053">
        <v>0.14099999999999999</v>
      </c>
      <c r="D170" s="1053">
        <v>0.13</v>
      </c>
      <c r="E170" s="1053">
        <v>0.125</v>
      </c>
      <c r="F170" s="1065"/>
    </row>
    <row r="171" spans="1:6" ht="15" thickBot="1">
      <c r="A171" s="829" t="s">
        <v>526</v>
      </c>
      <c r="B171" s="823" t="s">
        <v>914</v>
      </c>
      <c r="C171" s="1053">
        <v>0.127</v>
      </c>
      <c r="D171" s="1053">
        <v>0.126</v>
      </c>
      <c r="E171" s="1053">
        <v>0.126</v>
      </c>
      <c r="F171" s="1054">
        <v>0.11799999999999999</v>
      </c>
    </row>
    <row r="172" spans="1:6" ht="15" thickBot="1">
      <c r="A172" s="829" t="s">
        <v>526</v>
      </c>
      <c r="B172" s="823" t="s">
        <v>915</v>
      </c>
      <c r="C172" s="1053">
        <v>0.13</v>
      </c>
      <c r="D172" s="1053">
        <v>0.13</v>
      </c>
      <c r="E172" s="1053">
        <v>0.13</v>
      </c>
      <c r="F172" s="1065"/>
    </row>
    <row r="173" spans="1:6" ht="15" thickBot="1">
      <c r="A173" s="829" t="s">
        <v>526</v>
      </c>
      <c r="B173" s="823" t="s">
        <v>348</v>
      </c>
      <c r="C173" s="1053">
        <v>0.13</v>
      </c>
      <c r="D173" s="1053">
        <v>0.13</v>
      </c>
      <c r="E173" s="1053">
        <v>0.13</v>
      </c>
      <c r="F173" s="1065"/>
    </row>
    <row r="174" spans="1:6" ht="15" thickBot="1">
      <c r="A174" s="829" t="s">
        <v>526</v>
      </c>
      <c r="B174" s="823" t="s">
        <v>916</v>
      </c>
      <c r="C174" s="1053">
        <v>0.13</v>
      </c>
      <c r="D174" s="1053">
        <v>0.13</v>
      </c>
      <c r="E174" s="1053">
        <v>0.13</v>
      </c>
      <c r="F174" s="1054">
        <v>0.13</v>
      </c>
    </row>
    <row r="175" spans="1:6" ht="15" thickBot="1">
      <c r="A175" s="829" t="s">
        <v>526</v>
      </c>
      <c r="B175" s="823" t="s">
        <v>917</v>
      </c>
      <c r="C175" s="1053">
        <v>0.13</v>
      </c>
      <c r="D175" s="1053">
        <v>0.13</v>
      </c>
      <c r="E175" s="1053">
        <v>0.13</v>
      </c>
      <c r="F175" s="1054">
        <v>0.13</v>
      </c>
    </row>
    <row r="176" spans="1:6" ht="15" thickBot="1">
      <c r="A176" s="829" t="s">
        <v>526</v>
      </c>
      <c r="B176" s="823" t="s">
        <v>378</v>
      </c>
      <c r="C176" s="1053">
        <v>0.13</v>
      </c>
      <c r="D176" s="1053">
        <v>0.13</v>
      </c>
      <c r="E176" s="1053">
        <v>0.13</v>
      </c>
      <c r="F176" s="1054">
        <v>0.13</v>
      </c>
    </row>
    <row r="177" spans="1:6" ht="15" thickBot="1">
      <c r="A177" s="829" t="s">
        <v>526</v>
      </c>
      <c r="B177" s="823" t="s">
        <v>918</v>
      </c>
      <c r="C177" s="1053">
        <v>0.13</v>
      </c>
      <c r="D177" s="1053">
        <v>0.13</v>
      </c>
      <c r="E177" s="1053">
        <v>0.13</v>
      </c>
      <c r="F177" s="1054">
        <v>0.13</v>
      </c>
    </row>
    <row r="178" spans="1:6" ht="15" thickBot="1">
      <c r="A178" s="829" t="s">
        <v>526</v>
      </c>
      <c r="B178" s="823" t="s">
        <v>396</v>
      </c>
      <c r="C178" s="1053">
        <v>0.13</v>
      </c>
      <c r="D178" s="1053">
        <v>0.13</v>
      </c>
      <c r="E178" s="1053">
        <v>0.13</v>
      </c>
      <c r="F178" s="1054">
        <v>0.127</v>
      </c>
    </row>
    <row r="179" spans="1:6" ht="15" thickBot="1">
      <c r="A179" s="829" t="s">
        <v>526</v>
      </c>
      <c r="B179" s="823" t="s">
        <v>404</v>
      </c>
      <c r="C179" s="1053">
        <v>0.13</v>
      </c>
      <c r="D179" s="1053">
        <v>0.13</v>
      </c>
      <c r="E179" s="1053">
        <v>0.13</v>
      </c>
      <c r="F179" s="1065"/>
    </row>
    <row r="180" spans="1:6" ht="15" thickBot="1">
      <c r="A180" s="829" t="s">
        <v>526</v>
      </c>
      <c r="B180" s="823" t="s">
        <v>919</v>
      </c>
      <c r="C180" s="1053">
        <v>0.13</v>
      </c>
      <c r="D180" s="1053">
        <v>0.13</v>
      </c>
      <c r="E180" s="1053">
        <v>0.125</v>
      </c>
      <c r="F180" s="1054">
        <v>0.13</v>
      </c>
    </row>
    <row r="181" spans="1:6" ht="15" thickBot="1">
      <c r="A181" s="829" t="s">
        <v>526</v>
      </c>
      <c r="B181" s="823" t="s">
        <v>418</v>
      </c>
      <c r="C181" s="1053">
        <v>0.122</v>
      </c>
      <c r="D181" s="1053">
        <v>0.123</v>
      </c>
      <c r="E181" s="1053">
        <v>0.126</v>
      </c>
      <c r="F181" s="1054">
        <v>0.121</v>
      </c>
    </row>
    <row r="182" spans="1:6" ht="15" thickBot="1">
      <c r="A182" s="829" t="s">
        <v>526</v>
      </c>
      <c r="B182" s="823" t="s">
        <v>425</v>
      </c>
      <c r="C182" s="1053">
        <v>0.125</v>
      </c>
      <c r="D182" s="1053">
        <v>0.125</v>
      </c>
      <c r="E182" s="1053">
        <v>0.11700000000000001</v>
      </c>
      <c r="F182" s="1054">
        <v>0.13</v>
      </c>
    </row>
    <row r="183" spans="1:6" ht="15" thickBot="1">
      <c r="A183" s="829" t="s">
        <v>526</v>
      </c>
      <c r="B183" s="823" t="s">
        <v>432</v>
      </c>
      <c r="C183" s="1053">
        <v>0.127</v>
      </c>
      <c r="D183" s="1053">
        <v>0.127</v>
      </c>
      <c r="E183" s="1053">
        <v>0.128</v>
      </c>
      <c r="F183" s="1065"/>
    </row>
    <row r="184" spans="1:6" ht="15" thickBot="1">
      <c r="A184" s="829" t="s">
        <v>526</v>
      </c>
      <c r="B184" s="823" t="s">
        <v>439</v>
      </c>
      <c r="C184" s="1053">
        <v>0.125</v>
      </c>
      <c r="D184" s="1053">
        <v>0.125</v>
      </c>
      <c r="E184" s="1053">
        <v>0.127</v>
      </c>
      <c r="F184" s="1065"/>
    </row>
    <row r="185" spans="1:6" ht="15" thickBot="1">
      <c r="A185" s="829" t="s">
        <v>526</v>
      </c>
      <c r="B185" s="823" t="s">
        <v>920</v>
      </c>
      <c r="C185" s="1053">
        <v>0.127</v>
      </c>
      <c r="D185" s="1053">
        <v>0.127</v>
      </c>
      <c r="E185" s="1053">
        <v>0.128</v>
      </c>
      <c r="F185" s="1054">
        <v>0.13</v>
      </c>
    </row>
    <row r="186" spans="1:6" ht="24.6" thickBot="1">
      <c r="A186" s="829" t="s">
        <v>526</v>
      </c>
      <c r="B186" s="823" t="s">
        <v>921</v>
      </c>
      <c r="C186" s="1066"/>
      <c r="D186" s="1066"/>
      <c r="E186" s="1066"/>
      <c r="F186" s="1054">
        <v>0.05</v>
      </c>
    </row>
    <row r="187" spans="1:6" ht="15" thickBot="1">
      <c r="A187" s="829" t="s">
        <v>526</v>
      </c>
      <c r="B187" s="823" t="s">
        <v>922</v>
      </c>
      <c r="C187" s="1066"/>
      <c r="D187" s="1066"/>
      <c r="E187" s="1066"/>
      <c r="F187" s="1054">
        <v>0.05</v>
      </c>
    </row>
    <row r="188" spans="1:6" ht="24.6" thickBot="1">
      <c r="A188" s="829" t="s">
        <v>526</v>
      </c>
      <c r="B188" s="823" t="s">
        <v>923</v>
      </c>
      <c r="C188" s="1066"/>
      <c r="D188" s="1066"/>
      <c r="E188" s="1066"/>
      <c r="F188" s="1054">
        <v>0.05</v>
      </c>
    </row>
    <row r="189" spans="1:6" ht="24.6" thickBot="1">
      <c r="A189" s="829" t="s">
        <v>526</v>
      </c>
      <c r="B189" s="823" t="s">
        <v>924</v>
      </c>
      <c r="C189" s="1066"/>
      <c r="D189" s="1066"/>
      <c r="E189" s="1066"/>
      <c r="F189" s="1054">
        <v>0.05</v>
      </c>
    </row>
    <row r="190" spans="1:6" ht="24.6" thickBot="1">
      <c r="A190" s="829" t="s">
        <v>526</v>
      </c>
      <c r="B190" s="823" t="s">
        <v>925</v>
      </c>
      <c r="C190" s="1066"/>
      <c r="D190" s="1066"/>
      <c r="E190" s="1066"/>
      <c r="F190" s="1054">
        <v>0.05</v>
      </c>
    </row>
    <row r="191" spans="1:6" ht="24.6" thickBot="1">
      <c r="A191" s="829" t="s">
        <v>526</v>
      </c>
      <c r="B191" s="823" t="s">
        <v>926</v>
      </c>
      <c r="C191" s="1066"/>
      <c r="D191" s="1066"/>
      <c r="E191" s="1066"/>
      <c r="F191" s="1054">
        <v>0.05</v>
      </c>
    </row>
    <row r="192" spans="1:6" ht="24.6" thickBot="1">
      <c r="A192" s="829" t="s">
        <v>526</v>
      </c>
      <c r="B192" s="823" t="s">
        <v>927</v>
      </c>
      <c r="C192" s="1066"/>
      <c r="D192" s="1066"/>
      <c r="E192" s="1066"/>
      <c r="F192" s="1054">
        <v>0.05</v>
      </c>
    </row>
    <row r="193" spans="1:6" ht="24.6" thickBot="1">
      <c r="A193" s="829" t="s">
        <v>526</v>
      </c>
      <c r="B193" s="823" t="s">
        <v>928</v>
      </c>
      <c r="C193" s="1066"/>
      <c r="D193" s="1066"/>
      <c r="E193" s="1066"/>
      <c r="F193" s="1054">
        <v>0.05</v>
      </c>
    </row>
    <row r="194" spans="1:6" ht="24.6" thickBot="1">
      <c r="A194" s="829" t="s">
        <v>526</v>
      </c>
      <c r="B194" s="823" t="s">
        <v>929</v>
      </c>
      <c r="C194" s="1066"/>
      <c r="D194" s="1066"/>
      <c r="E194" s="1066"/>
      <c r="F194" s="1054">
        <v>0.05</v>
      </c>
    </row>
    <row r="195" spans="1:6" ht="15" thickBot="1">
      <c r="A195" s="829" t="s">
        <v>526</v>
      </c>
      <c r="B195" s="823" t="s">
        <v>930</v>
      </c>
      <c r="C195" s="1066"/>
      <c r="D195" s="1066"/>
      <c r="E195" s="1066"/>
      <c r="F195" s="1054">
        <v>0.05</v>
      </c>
    </row>
    <row r="196" spans="1:6" ht="24.6" thickBot="1">
      <c r="A196" s="829" t="s">
        <v>526</v>
      </c>
      <c r="B196" s="823" t="s">
        <v>931</v>
      </c>
      <c r="C196" s="1066"/>
      <c r="D196" s="1066"/>
      <c r="E196" s="1066"/>
      <c r="F196" s="1054">
        <v>0.05</v>
      </c>
    </row>
    <row r="197" spans="1:6" ht="24.6" thickBot="1">
      <c r="A197" s="829" t="s">
        <v>526</v>
      </c>
      <c r="B197" s="823" t="s">
        <v>932</v>
      </c>
      <c r="C197" s="1066"/>
      <c r="D197" s="1066"/>
      <c r="E197" s="1066"/>
      <c r="F197" s="1054">
        <v>0.05</v>
      </c>
    </row>
    <row r="198" spans="1:6" ht="24.6" thickBot="1">
      <c r="A198" s="829" t="s">
        <v>526</v>
      </c>
      <c r="B198" s="823" t="s">
        <v>933</v>
      </c>
      <c r="C198" s="1066"/>
      <c r="D198" s="1066"/>
      <c r="E198" s="1066"/>
      <c r="F198" s="1054">
        <v>0.05</v>
      </c>
    </row>
    <row r="199" spans="1:6" ht="24.6" thickBot="1">
      <c r="A199" s="829" t="s">
        <v>526</v>
      </c>
      <c r="B199" s="823" t="s">
        <v>934</v>
      </c>
      <c r="C199" s="1066"/>
      <c r="D199" s="1066"/>
      <c r="E199" s="1066"/>
      <c r="F199" s="1054">
        <v>0.05</v>
      </c>
    </row>
    <row r="200" spans="1:6" ht="24.6" thickBot="1">
      <c r="A200" s="829" t="s">
        <v>526</v>
      </c>
      <c r="B200" s="823" t="s">
        <v>935</v>
      </c>
      <c r="C200" s="1066"/>
      <c r="D200" s="1066"/>
      <c r="E200" s="1066"/>
      <c r="F200" s="1054">
        <v>0.05</v>
      </c>
    </row>
    <row r="201" spans="1:6" ht="24.6" thickBot="1">
      <c r="A201" s="829" t="s">
        <v>526</v>
      </c>
      <c r="B201" s="823" t="s">
        <v>936</v>
      </c>
      <c r="C201" s="1066"/>
      <c r="D201" s="1066"/>
      <c r="E201" s="1066"/>
      <c r="F201" s="1054">
        <v>0.05</v>
      </c>
    </row>
    <row r="202" spans="1:6" ht="24.6" thickBot="1">
      <c r="A202" s="829" t="s">
        <v>526</v>
      </c>
      <c r="B202" s="823" t="s">
        <v>937</v>
      </c>
      <c r="C202" s="1066"/>
      <c r="D202" s="1066"/>
      <c r="E202" s="1066"/>
      <c r="F202" s="1054">
        <v>0.05</v>
      </c>
    </row>
    <row r="203" spans="1:6" ht="24.6" thickBot="1">
      <c r="A203" s="829" t="s">
        <v>526</v>
      </c>
      <c r="B203" s="823" t="s">
        <v>938</v>
      </c>
      <c r="C203" s="1066"/>
      <c r="D203" s="1066"/>
      <c r="E203" s="1066"/>
      <c r="F203" s="1054">
        <v>0.05</v>
      </c>
    </row>
    <row r="204" spans="1:6" ht="15" thickBot="1">
      <c r="A204" s="829" t="s">
        <v>526</v>
      </c>
      <c r="B204" s="823" t="s">
        <v>939</v>
      </c>
      <c r="C204" s="1066"/>
      <c r="D204" s="1066"/>
      <c r="E204" s="1066"/>
      <c r="F204" s="1054">
        <v>0.05</v>
      </c>
    </row>
    <row r="205" spans="1:6" ht="15" thickBot="1">
      <c r="A205" s="839" t="s">
        <v>526</v>
      </c>
      <c r="B205" s="835" t="s">
        <v>940</v>
      </c>
      <c r="C205" s="1063"/>
      <c r="D205" s="1063"/>
      <c r="E205" s="1063"/>
      <c r="F205" s="1056">
        <v>0.05</v>
      </c>
    </row>
    <row r="206" spans="1:6" ht="15" thickBot="1">
      <c r="A206" s="829" t="s">
        <v>528</v>
      </c>
      <c r="B206" s="830" t="s">
        <v>941</v>
      </c>
      <c r="C206" s="1051">
        <v>0.15</v>
      </c>
      <c r="D206" s="1051">
        <v>0.15</v>
      </c>
      <c r="E206" s="1051">
        <v>0.15</v>
      </c>
      <c r="F206" s="1052">
        <v>0.15</v>
      </c>
    </row>
    <row r="207" spans="1:6" ht="15" thickBot="1">
      <c r="A207" s="829" t="s">
        <v>528</v>
      </c>
      <c r="B207" s="823" t="s">
        <v>194</v>
      </c>
      <c r="C207" s="1053">
        <v>0.15</v>
      </c>
      <c r="D207" s="1053">
        <v>0.15</v>
      </c>
      <c r="E207" s="1053">
        <v>0.15</v>
      </c>
      <c r="F207" s="1054">
        <v>0.14399999999999999</v>
      </c>
    </row>
    <row r="208" spans="1:6" ht="15" thickBot="1">
      <c r="A208" s="829" t="s">
        <v>528</v>
      </c>
      <c r="B208" s="823" t="s">
        <v>207</v>
      </c>
      <c r="C208" s="1053">
        <v>0.15</v>
      </c>
      <c r="D208" s="1053">
        <v>0.15</v>
      </c>
      <c r="E208" s="1053">
        <v>0.15</v>
      </c>
      <c r="F208" s="1054">
        <v>0.15</v>
      </c>
    </row>
    <row r="209" spans="1:6" ht="15" thickBot="1">
      <c r="A209" s="829" t="s">
        <v>528</v>
      </c>
      <c r="B209" s="823" t="s">
        <v>220</v>
      </c>
      <c r="C209" s="1053">
        <v>0.13700000000000001</v>
      </c>
      <c r="D209" s="1053">
        <v>0.13700000000000001</v>
      </c>
      <c r="E209" s="1053">
        <v>0.14000000000000001</v>
      </c>
      <c r="F209" s="1054">
        <v>0.11700000000000001</v>
      </c>
    </row>
    <row r="210" spans="1:6" ht="15" thickBot="1">
      <c r="A210" s="829" t="s">
        <v>528</v>
      </c>
      <c r="B210" s="823" t="s">
        <v>942</v>
      </c>
      <c r="C210" s="1053">
        <v>0.15</v>
      </c>
      <c r="D210" s="1053">
        <v>0.15</v>
      </c>
      <c r="E210" s="1053">
        <v>0.15</v>
      </c>
      <c r="F210" s="1054">
        <v>0.13800000000000001</v>
      </c>
    </row>
    <row r="211" spans="1:6" ht="15" thickBot="1">
      <c r="A211" s="829" t="s">
        <v>528</v>
      </c>
      <c r="B211" s="823" t="s">
        <v>943</v>
      </c>
      <c r="C211" s="1053">
        <v>0.13700000000000001</v>
      </c>
      <c r="D211" s="1053">
        <v>0.13500000000000001</v>
      </c>
      <c r="E211" s="1053">
        <v>0.13600000000000001</v>
      </c>
      <c r="F211" s="1054">
        <v>0.1</v>
      </c>
    </row>
    <row r="212" spans="1:6" ht="15" thickBot="1">
      <c r="A212" s="829" t="s">
        <v>528</v>
      </c>
      <c r="B212" s="823" t="s">
        <v>944</v>
      </c>
      <c r="C212" s="1053">
        <v>0.15</v>
      </c>
      <c r="D212" s="1053">
        <v>0.15</v>
      </c>
      <c r="E212" s="1053">
        <v>0.14799999999999999</v>
      </c>
      <c r="F212" s="1054">
        <v>0.13600000000000001</v>
      </c>
    </row>
    <row r="213" spans="1:6" ht="15" thickBot="1">
      <c r="A213" s="829" t="s">
        <v>528</v>
      </c>
      <c r="B213" s="823" t="s">
        <v>265</v>
      </c>
      <c r="C213" s="1053">
        <v>0.15</v>
      </c>
      <c r="D213" s="1053">
        <v>0.15</v>
      </c>
      <c r="E213" s="1053">
        <v>0.15</v>
      </c>
      <c r="F213" s="1054">
        <v>0.13800000000000001</v>
      </c>
    </row>
    <row r="214" spans="1:6" ht="15" thickBot="1">
      <c r="A214" s="829" t="s">
        <v>528</v>
      </c>
      <c r="B214" s="823" t="s">
        <v>277</v>
      </c>
      <c r="C214" s="1053">
        <v>9.0999999999999998E-2</v>
      </c>
      <c r="D214" s="1053">
        <v>0.09</v>
      </c>
      <c r="E214" s="1053">
        <v>9.1999999999999998E-2</v>
      </c>
      <c r="F214" s="1065"/>
    </row>
    <row r="215" spans="1:6" ht="15" thickBot="1">
      <c r="A215" s="829" t="s">
        <v>528</v>
      </c>
      <c r="B215" s="823" t="s">
        <v>945</v>
      </c>
      <c r="C215" s="1053">
        <v>0.15</v>
      </c>
      <c r="D215" s="1053">
        <v>0.15</v>
      </c>
      <c r="E215" s="1053">
        <v>0.15</v>
      </c>
      <c r="F215" s="1054">
        <v>0.15</v>
      </c>
    </row>
    <row r="216" spans="1:6" ht="15" thickBot="1">
      <c r="A216" s="829" t="s">
        <v>528</v>
      </c>
      <c r="B216" s="823" t="s">
        <v>297</v>
      </c>
      <c r="C216" s="1053">
        <v>0.14699999999999999</v>
      </c>
      <c r="D216" s="1053">
        <v>0.14699999999999999</v>
      </c>
      <c r="E216" s="1053">
        <v>0.15</v>
      </c>
      <c r="F216" s="1054">
        <v>0.14000000000000001</v>
      </c>
    </row>
    <row r="217" spans="1:6" ht="15" thickBot="1">
      <c r="A217" s="829" t="s">
        <v>528</v>
      </c>
      <c r="B217" s="823" t="s">
        <v>307</v>
      </c>
      <c r="C217" s="1053">
        <v>0.15</v>
      </c>
      <c r="D217" s="1053">
        <v>0.15</v>
      </c>
      <c r="E217" s="1053">
        <v>0.15</v>
      </c>
      <c r="F217" s="1054">
        <v>0.15</v>
      </c>
    </row>
    <row r="218" spans="1:6" ht="15" thickBot="1">
      <c r="A218" s="829" t="s">
        <v>528</v>
      </c>
      <c r="B218" s="823" t="s">
        <v>946</v>
      </c>
      <c r="C218" s="1053">
        <v>0.15</v>
      </c>
      <c r="D218" s="1053">
        <v>0.15</v>
      </c>
      <c r="E218" s="1053">
        <v>0.15</v>
      </c>
      <c r="F218" s="1054">
        <v>0.15</v>
      </c>
    </row>
    <row r="219" spans="1:6" ht="15" thickBot="1">
      <c r="A219" s="829" t="s">
        <v>528</v>
      </c>
      <c r="B219" s="823" t="s">
        <v>328</v>
      </c>
      <c r="C219" s="1053">
        <v>0.15</v>
      </c>
      <c r="D219" s="1053">
        <v>0.15</v>
      </c>
      <c r="E219" s="1053">
        <v>0.15</v>
      </c>
      <c r="F219" s="1054">
        <v>0.14799999999999999</v>
      </c>
    </row>
    <row r="220" spans="1:6" ht="15" thickBot="1">
      <c r="A220" s="829" t="s">
        <v>528</v>
      </c>
      <c r="B220" s="823" t="s">
        <v>947</v>
      </c>
      <c r="C220" s="1053">
        <v>0.15</v>
      </c>
      <c r="D220" s="1053">
        <v>0.15</v>
      </c>
      <c r="E220" s="1053">
        <v>0.15</v>
      </c>
      <c r="F220" s="1054">
        <v>0.15</v>
      </c>
    </row>
    <row r="221" spans="1:6" ht="15" thickBot="1">
      <c r="A221" s="829" t="s">
        <v>528</v>
      </c>
      <c r="B221" s="823" t="s">
        <v>349</v>
      </c>
      <c r="C221" s="1053"/>
      <c r="D221" s="1066"/>
      <c r="E221" s="1066"/>
      <c r="F221" s="1054">
        <v>0.14799999999999999</v>
      </c>
    </row>
    <row r="222" spans="1:6" ht="15" thickBot="1">
      <c r="A222" s="829" t="s">
        <v>528</v>
      </c>
      <c r="B222" s="823" t="s">
        <v>359</v>
      </c>
      <c r="C222" s="1053"/>
      <c r="D222" s="1066"/>
      <c r="E222" s="1066"/>
      <c r="F222" s="1054">
        <v>0.1</v>
      </c>
    </row>
    <row r="223" spans="1:6" ht="15" thickBot="1">
      <c r="A223" s="829" t="s">
        <v>528</v>
      </c>
      <c r="B223" s="823" t="s">
        <v>369</v>
      </c>
      <c r="C223" s="1053"/>
      <c r="D223" s="1066"/>
      <c r="E223" s="1066"/>
      <c r="F223" s="1054">
        <v>0.15</v>
      </c>
    </row>
    <row r="224" spans="1:6" ht="15" thickBot="1">
      <c r="A224" s="829" t="s">
        <v>528</v>
      </c>
      <c r="B224" s="823" t="s">
        <v>379</v>
      </c>
      <c r="C224" s="1053"/>
      <c r="D224" s="1066"/>
      <c r="E224" s="1066"/>
      <c r="F224" s="1054">
        <v>0.15</v>
      </c>
    </row>
    <row r="225" spans="1:6" ht="15" thickBot="1">
      <c r="A225" s="829" t="s">
        <v>528</v>
      </c>
      <c r="B225" s="823" t="s">
        <v>948</v>
      </c>
      <c r="C225" s="1053">
        <v>0.15</v>
      </c>
      <c r="D225" s="1053">
        <v>0.15</v>
      </c>
      <c r="E225" s="1053">
        <v>0.15</v>
      </c>
      <c r="F225" s="1054">
        <v>0.15</v>
      </c>
    </row>
    <row r="226" spans="1:6" ht="15" thickBot="1">
      <c r="A226" s="829" t="s">
        <v>528</v>
      </c>
      <c r="B226" s="823" t="s">
        <v>397</v>
      </c>
      <c r="C226" s="1053">
        <v>0.15</v>
      </c>
      <c r="D226" s="1053">
        <v>0.15</v>
      </c>
      <c r="E226" s="1053">
        <v>0.15</v>
      </c>
      <c r="F226" s="1054">
        <v>0.14799999999999999</v>
      </c>
    </row>
    <row r="227" spans="1:6" ht="15" thickBot="1">
      <c r="A227" s="829" t="s">
        <v>528</v>
      </c>
      <c r="B227" s="823" t="s">
        <v>949</v>
      </c>
      <c r="C227" s="1053">
        <v>0.15</v>
      </c>
      <c r="D227" s="1053">
        <v>0.15</v>
      </c>
      <c r="E227" s="1053">
        <v>0.15</v>
      </c>
      <c r="F227" s="1054">
        <v>0.15</v>
      </c>
    </row>
    <row r="228" spans="1:6" ht="15" thickBot="1">
      <c r="A228" s="829" t="s">
        <v>528</v>
      </c>
      <c r="B228" s="823" t="s">
        <v>412</v>
      </c>
      <c r="C228" s="1053">
        <v>0.15</v>
      </c>
      <c r="D228" s="1053">
        <v>0.15</v>
      </c>
      <c r="E228" s="1053">
        <v>0.15</v>
      </c>
      <c r="F228" s="1054">
        <v>0.15</v>
      </c>
    </row>
    <row r="229" spans="1:6" ht="15" thickBot="1">
      <c r="A229" s="829" t="s">
        <v>528</v>
      </c>
      <c r="B229" s="823" t="s">
        <v>419</v>
      </c>
      <c r="C229" s="1053">
        <v>0.15</v>
      </c>
      <c r="D229" s="1053">
        <v>0.15</v>
      </c>
      <c r="E229" s="1053">
        <v>0.15</v>
      </c>
      <c r="F229" s="1065"/>
    </row>
    <row r="230" spans="1:6" ht="15" thickBot="1">
      <c r="A230" s="829" t="s">
        <v>528</v>
      </c>
      <c r="B230" s="823" t="s">
        <v>426</v>
      </c>
      <c r="C230" s="1053">
        <v>0.14499999999999999</v>
      </c>
      <c r="D230" s="1053">
        <v>0.14499999999999999</v>
      </c>
      <c r="E230" s="1053">
        <v>0.14399999999999999</v>
      </c>
      <c r="F230" s="1065"/>
    </row>
    <row r="231" spans="1:6" ht="15" thickBot="1">
      <c r="A231" s="829" t="s">
        <v>528</v>
      </c>
      <c r="B231" s="823" t="s">
        <v>950</v>
      </c>
      <c r="C231" s="1053">
        <v>0.128</v>
      </c>
      <c r="D231" s="1053">
        <v>0.125</v>
      </c>
      <c r="E231" s="1053">
        <v>0.13200000000000001</v>
      </c>
      <c r="F231" s="1065"/>
    </row>
    <row r="232" spans="1:6" ht="15" thickBot="1">
      <c r="A232" s="829" t="s">
        <v>528</v>
      </c>
      <c r="B232" s="823" t="s">
        <v>951</v>
      </c>
      <c r="C232" s="1053">
        <v>0.14499999999999999</v>
      </c>
      <c r="D232" s="1053">
        <v>0.14399999999999999</v>
      </c>
      <c r="E232" s="1053">
        <v>0.14599999999999999</v>
      </c>
      <c r="F232" s="1054">
        <v>0.13800000000000001</v>
      </c>
    </row>
    <row r="233" spans="1:6" ht="15" thickBot="1">
      <c r="A233" s="829" t="s">
        <v>528</v>
      </c>
      <c r="B233" s="823" t="s">
        <v>952</v>
      </c>
      <c r="C233" s="1053">
        <v>0.14499999999999999</v>
      </c>
      <c r="D233" s="1053">
        <v>0.14299999999999999</v>
      </c>
      <c r="E233" s="1053">
        <v>0.14199999999999999</v>
      </c>
      <c r="F233" s="1065"/>
    </row>
    <row r="234" spans="1:6" ht="15" thickBot="1">
      <c r="A234" s="829" t="s">
        <v>528</v>
      </c>
      <c r="B234" s="823" t="s">
        <v>953</v>
      </c>
      <c r="C234" s="1053">
        <v>0.14000000000000001</v>
      </c>
      <c r="D234" s="1053">
        <v>0.14000000000000001</v>
      </c>
      <c r="E234" s="1053">
        <v>0.14399999999999999</v>
      </c>
      <c r="F234" s="1065"/>
    </row>
    <row r="235" spans="1:6" ht="15" thickBot="1">
      <c r="A235" s="829" t="s">
        <v>528</v>
      </c>
      <c r="B235" s="823" t="s">
        <v>954</v>
      </c>
      <c r="C235" s="1053">
        <v>0.14099999999999999</v>
      </c>
      <c r="D235" s="1053">
        <v>0.14199999999999999</v>
      </c>
      <c r="E235" s="1053">
        <v>0.14499999999999999</v>
      </c>
      <c r="F235" s="1054">
        <v>0.15</v>
      </c>
    </row>
    <row r="236" spans="1:6" ht="15" thickBot="1">
      <c r="A236" s="829" t="s">
        <v>528</v>
      </c>
      <c r="B236" s="823" t="s">
        <v>461</v>
      </c>
      <c r="C236" s="1066"/>
      <c r="D236" s="1066"/>
      <c r="E236" s="1066"/>
      <c r="F236" s="1054">
        <v>0.14299999999999999</v>
      </c>
    </row>
    <row r="237" spans="1:6" ht="24.6" thickBot="1">
      <c r="A237" s="829" t="s">
        <v>528</v>
      </c>
      <c r="B237" s="823" t="s">
        <v>955</v>
      </c>
      <c r="C237" s="1066"/>
      <c r="D237" s="1066"/>
      <c r="E237" s="1066"/>
      <c r="F237" s="1054">
        <v>0.05</v>
      </c>
    </row>
    <row r="238" spans="1:6" ht="24.6" thickBot="1">
      <c r="A238" s="829" t="s">
        <v>528</v>
      </c>
      <c r="B238" s="823" t="s">
        <v>956</v>
      </c>
      <c r="C238" s="1066"/>
      <c r="D238" s="1066"/>
      <c r="E238" s="1066"/>
      <c r="F238" s="1054">
        <v>0.05</v>
      </c>
    </row>
    <row r="239" spans="1:6" ht="24.6" thickBot="1">
      <c r="A239" s="829" t="s">
        <v>528</v>
      </c>
      <c r="B239" s="823" t="s">
        <v>957</v>
      </c>
      <c r="C239" s="1066"/>
      <c r="D239" s="1066"/>
      <c r="E239" s="1066"/>
      <c r="F239" s="1054">
        <v>0.05</v>
      </c>
    </row>
    <row r="240" spans="1:6" ht="24.6" thickBot="1">
      <c r="A240" s="829" t="s">
        <v>528</v>
      </c>
      <c r="B240" s="823" t="s">
        <v>958</v>
      </c>
      <c r="C240" s="1066"/>
      <c r="D240" s="1066"/>
      <c r="E240" s="1066"/>
      <c r="F240" s="1054">
        <v>0.05</v>
      </c>
    </row>
    <row r="241" spans="1:6" ht="24.6" thickBot="1">
      <c r="A241" s="829" t="s">
        <v>528</v>
      </c>
      <c r="B241" s="823" t="s">
        <v>959</v>
      </c>
      <c r="C241" s="1066"/>
      <c r="D241" s="1066"/>
      <c r="E241" s="1066"/>
      <c r="F241" s="1054">
        <v>0.05</v>
      </c>
    </row>
    <row r="242" spans="1:6" ht="24.6" thickBot="1">
      <c r="A242" s="829" t="s">
        <v>528</v>
      </c>
      <c r="B242" s="823" t="s">
        <v>960</v>
      </c>
      <c r="C242" s="1066"/>
      <c r="D242" s="1066"/>
      <c r="E242" s="1066"/>
      <c r="F242" s="1054">
        <v>0.05</v>
      </c>
    </row>
    <row r="243" spans="1:6" ht="24.6" thickBot="1">
      <c r="A243" s="829" t="s">
        <v>528</v>
      </c>
      <c r="B243" s="823" t="s">
        <v>961</v>
      </c>
      <c r="C243" s="1066"/>
      <c r="D243" s="1066"/>
      <c r="E243" s="1066"/>
      <c r="F243" s="1054">
        <v>0.05</v>
      </c>
    </row>
    <row r="244" spans="1:6" ht="24.6" thickBot="1">
      <c r="A244" s="839" t="s">
        <v>528</v>
      </c>
      <c r="B244" s="835" t="s">
        <v>962</v>
      </c>
      <c r="C244" s="1063"/>
      <c r="D244" s="1063"/>
      <c r="E244" s="1063"/>
      <c r="F244" s="1056">
        <v>0.05</v>
      </c>
    </row>
    <row r="245" spans="1:6" ht="15" thickBot="1">
      <c r="A245" s="829" t="s">
        <v>530</v>
      </c>
      <c r="B245" s="830" t="s">
        <v>963</v>
      </c>
      <c r="C245" s="1051">
        <v>0.15</v>
      </c>
      <c r="D245" s="1051">
        <v>0.15</v>
      </c>
      <c r="E245" s="1051">
        <v>0.15</v>
      </c>
      <c r="F245" s="1052">
        <v>0.14299999999999999</v>
      </c>
    </row>
    <row r="246" spans="1:6" ht="15" thickBot="1">
      <c r="A246" s="829" t="s">
        <v>530</v>
      </c>
      <c r="B246" s="823" t="s">
        <v>195</v>
      </c>
      <c r="C246" s="1053">
        <v>0.15</v>
      </c>
      <c r="D246" s="1053">
        <v>0.15</v>
      </c>
      <c r="E246" s="1053">
        <v>0.15</v>
      </c>
      <c r="F246" s="1054">
        <v>0.114</v>
      </c>
    </row>
    <row r="247" spans="1:6" ht="15" thickBot="1">
      <c r="A247" s="829" t="s">
        <v>530</v>
      </c>
      <c r="B247" s="823" t="s">
        <v>964</v>
      </c>
      <c r="C247" s="1053">
        <v>0.15</v>
      </c>
      <c r="D247" s="1053">
        <v>0.15</v>
      </c>
      <c r="E247" s="1053">
        <v>0.15</v>
      </c>
      <c r="F247" s="1054">
        <v>0.15</v>
      </c>
    </row>
    <row r="248" spans="1:6" ht="15" thickBot="1">
      <c r="A248" s="829" t="s">
        <v>530</v>
      </c>
      <c r="B248" s="823" t="s">
        <v>965</v>
      </c>
      <c r="C248" s="1053">
        <v>0.15</v>
      </c>
      <c r="D248" s="1053">
        <v>0.15</v>
      </c>
      <c r="E248" s="1053">
        <v>0.15</v>
      </c>
      <c r="F248" s="1054">
        <v>0.14000000000000001</v>
      </c>
    </row>
    <row r="249" spans="1:6" ht="15" thickBot="1">
      <c r="A249" s="829" t="s">
        <v>530</v>
      </c>
      <c r="B249" s="823" t="s">
        <v>966</v>
      </c>
      <c r="C249" s="1053">
        <v>0.15</v>
      </c>
      <c r="D249" s="1053">
        <v>0.14899999999999999</v>
      </c>
      <c r="E249" s="1053">
        <v>0.15</v>
      </c>
      <c r="F249" s="1054">
        <v>0.1</v>
      </c>
    </row>
    <row r="250" spans="1:6" ht="15" thickBot="1">
      <c r="A250" s="829" t="s">
        <v>530</v>
      </c>
      <c r="B250" s="823" t="s">
        <v>967</v>
      </c>
      <c r="C250" s="1053">
        <v>0.15</v>
      </c>
      <c r="D250" s="1053">
        <v>0.15</v>
      </c>
      <c r="E250" s="1053">
        <v>0.15</v>
      </c>
      <c r="F250" s="1054">
        <v>0.14399999999999999</v>
      </c>
    </row>
    <row r="251" spans="1:6" ht="15" thickBot="1">
      <c r="A251" s="829" t="s">
        <v>530</v>
      </c>
      <c r="B251" s="823" t="s">
        <v>255</v>
      </c>
      <c r="C251" s="1053">
        <v>0.15</v>
      </c>
      <c r="D251" s="1053">
        <v>0.15</v>
      </c>
      <c r="E251" s="1053">
        <v>0.15</v>
      </c>
      <c r="F251" s="1054">
        <v>0.14299999999999999</v>
      </c>
    </row>
    <row r="252" spans="1:6" ht="15" thickBot="1">
      <c r="A252" s="829" t="s">
        <v>530</v>
      </c>
      <c r="B252" s="823" t="s">
        <v>266</v>
      </c>
      <c r="C252" s="1053">
        <v>0.15</v>
      </c>
      <c r="D252" s="1053">
        <v>0.15</v>
      </c>
      <c r="E252" s="1053">
        <v>0.15</v>
      </c>
      <c r="F252" s="1054">
        <v>0.1</v>
      </c>
    </row>
    <row r="253" spans="1:6" ht="15" thickBot="1">
      <c r="A253" s="829" t="s">
        <v>530</v>
      </c>
      <c r="B253" s="823" t="s">
        <v>278</v>
      </c>
      <c r="C253" s="1053">
        <v>0.15</v>
      </c>
      <c r="D253" s="1053">
        <v>0.15</v>
      </c>
      <c r="E253" s="1053">
        <v>0.15</v>
      </c>
      <c r="F253" s="1054">
        <v>0.1</v>
      </c>
    </row>
    <row r="254" spans="1:6" ht="15" thickBot="1">
      <c r="A254" s="829" t="s">
        <v>530</v>
      </c>
      <c r="B254" s="823" t="s">
        <v>288</v>
      </c>
      <c r="C254" s="1066"/>
      <c r="D254" s="1066"/>
      <c r="E254" s="1066"/>
      <c r="F254" s="1054">
        <v>0.15</v>
      </c>
    </row>
    <row r="255" spans="1:6" ht="15" thickBot="1">
      <c r="A255" s="829" t="s">
        <v>530</v>
      </c>
      <c r="B255" s="823" t="s">
        <v>298</v>
      </c>
      <c r="C255" s="1066"/>
      <c r="D255" s="1066"/>
      <c r="E255" s="1066"/>
      <c r="F255" s="1054">
        <v>0.14299999999999999</v>
      </c>
    </row>
    <row r="256" spans="1:6" ht="15" thickBot="1">
      <c r="A256" s="829" t="s">
        <v>530</v>
      </c>
      <c r="B256" s="823" t="s">
        <v>968</v>
      </c>
      <c r="C256" s="1053">
        <v>0.14599999999999999</v>
      </c>
      <c r="D256" s="1053">
        <v>0.14699999999999999</v>
      </c>
      <c r="E256" s="1053">
        <v>0.15</v>
      </c>
      <c r="F256" s="1054">
        <v>0.13200000000000001</v>
      </c>
    </row>
    <row r="257" spans="1:6" ht="15" thickBot="1">
      <c r="A257" s="829" t="s">
        <v>530</v>
      </c>
      <c r="B257" s="823" t="s">
        <v>318</v>
      </c>
      <c r="C257" s="1053">
        <v>0.15</v>
      </c>
      <c r="D257" s="1053">
        <v>0.15</v>
      </c>
      <c r="E257" s="1053">
        <v>0.15</v>
      </c>
      <c r="F257" s="1054">
        <v>0.13900000000000001</v>
      </c>
    </row>
    <row r="258" spans="1:6" ht="15" thickBot="1">
      <c r="A258" s="829" t="s">
        <v>530</v>
      </c>
      <c r="B258" s="823" t="s">
        <v>329</v>
      </c>
      <c r="C258" s="1053">
        <v>0.15</v>
      </c>
      <c r="D258" s="1053">
        <v>0.15</v>
      </c>
      <c r="E258" s="1053">
        <v>0.15</v>
      </c>
      <c r="F258" s="1054">
        <v>0.13</v>
      </c>
    </row>
    <row r="259" spans="1:6" ht="15" thickBot="1">
      <c r="A259" s="829" t="s">
        <v>530</v>
      </c>
      <c r="B259" s="823" t="s">
        <v>969</v>
      </c>
      <c r="C259" s="1053">
        <v>0.14799999999999999</v>
      </c>
      <c r="D259" s="1053">
        <v>0.14899999999999999</v>
      </c>
      <c r="E259" s="1053">
        <v>0.15</v>
      </c>
      <c r="F259" s="1054">
        <v>0.13700000000000001</v>
      </c>
    </row>
    <row r="260" spans="1:6" ht="15" thickBot="1">
      <c r="A260" s="829" t="s">
        <v>530</v>
      </c>
      <c r="B260" s="823" t="s">
        <v>350</v>
      </c>
      <c r="C260" s="1053">
        <v>0.15</v>
      </c>
      <c r="D260" s="1053">
        <v>0.15</v>
      </c>
      <c r="E260" s="1053">
        <v>0.15</v>
      </c>
      <c r="F260" s="1054">
        <v>0.14199999999999999</v>
      </c>
    </row>
    <row r="261" spans="1:6" ht="15" thickBot="1">
      <c r="A261" s="829" t="s">
        <v>530</v>
      </c>
      <c r="B261" s="823" t="s">
        <v>360</v>
      </c>
      <c r="C261" s="1053">
        <v>0.15</v>
      </c>
      <c r="D261" s="1053">
        <v>0.15</v>
      </c>
      <c r="E261" s="1053">
        <v>0.14899999999999999</v>
      </c>
      <c r="F261" s="1054">
        <v>0.14799999999999999</v>
      </c>
    </row>
    <row r="262" spans="1:6" ht="15" thickBot="1">
      <c r="A262" s="829" t="s">
        <v>530</v>
      </c>
      <c r="B262" s="823" t="s">
        <v>370</v>
      </c>
      <c r="C262" s="1053">
        <v>0.15</v>
      </c>
      <c r="D262" s="1053">
        <v>0.15</v>
      </c>
      <c r="E262" s="1053">
        <v>0.15</v>
      </c>
      <c r="F262" s="1065"/>
    </row>
    <row r="263" spans="1:6" ht="15" thickBot="1">
      <c r="A263" s="829" t="s">
        <v>530</v>
      </c>
      <c r="B263" s="823" t="s">
        <v>970</v>
      </c>
      <c r="C263" s="1053">
        <v>0.14899999999999999</v>
      </c>
      <c r="D263" s="1053">
        <v>0.14899999999999999</v>
      </c>
      <c r="E263" s="1053">
        <v>0.15</v>
      </c>
      <c r="F263" s="1054">
        <v>0.13</v>
      </c>
    </row>
    <row r="264" spans="1:6" ht="15" thickBot="1">
      <c r="A264" s="829" t="s">
        <v>530</v>
      </c>
      <c r="B264" s="823" t="s">
        <v>389</v>
      </c>
      <c r="C264" s="1053">
        <v>0.14799999999999999</v>
      </c>
      <c r="D264" s="1053">
        <v>0.14699999999999999</v>
      </c>
      <c r="E264" s="1053">
        <v>0.15</v>
      </c>
      <c r="F264" s="1054">
        <v>7.8E-2</v>
      </c>
    </row>
    <row r="265" spans="1:6" ht="15" thickBot="1">
      <c r="A265" s="829" t="s">
        <v>530</v>
      </c>
      <c r="B265" s="823" t="s">
        <v>398</v>
      </c>
      <c r="C265" s="1053">
        <v>0.15</v>
      </c>
      <c r="D265" s="1053">
        <v>0.15</v>
      </c>
      <c r="E265" s="1053">
        <v>0.15</v>
      </c>
      <c r="F265" s="1054">
        <v>7.3999999999999996E-2</v>
      </c>
    </row>
    <row r="266" spans="1:6" ht="15" thickBot="1">
      <c r="A266" s="829" t="s">
        <v>530</v>
      </c>
      <c r="B266" s="823" t="s">
        <v>406</v>
      </c>
      <c r="C266" s="1053">
        <v>0.14699999999999999</v>
      </c>
      <c r="D266" s="1053">
        <v>0.14699999999999999</v>
      </c>
      <c r="E266" s="1053">
        <v>0.15</v>
      </c>
      <c r="F266" s="1054">
        <v>0.14299999999999999</v>
      </c>
    </row>
    <row r="267" spans="1:6" ht="15" thickBot="1">
      <c r="A267" s="829" t="s">
        <v>530</v>
      </c>
      <c r="B267" s="823" t="s">
        <v>413</v>
      </c>
      <c r="C267" s="1053">
        <v>0.14199999999999999</v>
      </c>
      <c r="D267" s="1053">
        <v>0.14299999999999999</v>
      </c>
      <c r="E267" s="1053">
        <v>0.15</v>
      </c>
      <c r="F267" s="1065"/>
    </row>
    <row r="268" spans="1:6" ht="15" thickBot="1">
      <c r="A268" s="829" t="s">
        <v>530</v>
      </c>
      <c r="B268" s="823" t="s">
        <v>971</v>
      </c>
      <c r="C268" s="1053">
        <v>0.15</v>
      </c>
      <c r="D268" s="1053">
        <v>0.15</v>
      </c>
      <c r="E268" s="1053">
        <v>0.15</v>
      </c>
      <c r="F268" s="1054">
        <v>0.13</v>
      </c>
    </row>
    <row r="269" spans="1:6" ht="15" thickBot="1">
      <c r="A269" s="829" t="s">
        <v>530</v>
      </c>
      <c r="B269" s="823" t="s">
        <v>427</v>
      </c>
      <c r="C269" s="1053">
        <v>0.15</v>
      </c>
      <c r="D269" s="1053">
        <v>0.15</v>
      </c>
      <c r="E269" s="1053">
        <v>0.15</v>
      </c>
      <c r="F269" s="1054">
        <v>0.14299999999999999</v>
      </c>
    </row>
    <row r="270" spans="1:6" ht="15" thickBot="1">
      <c r="A270" s="829" t="s">
        <v>530</v>
      </c>
      <c r="B270" s="823" t="s">
        <v>434</v>
      </c>
      <c r="C270" s="1053">
        <v>0.14499999999999999</v>
      </c>
      <c r="D270" s="1053">
        <v>0.14499999999999999</v>
      </c>
      <c r="E270" s="1053">
        <v>0.15</v>
      </c>
      <c r="F270" s="1054">
        <v>0.14699999999999999</v>
      </c>
    </row>
    <row r="271" spans="1:6" ht="15" thickBot="1">
      <c r="A271" s="829" t="s">
        <v>530</v>
      </c>
      <c r="B271" s="823" t="s">
        <v>441</v>
      </c>
      <c r="C271" s="1053">
        <v>0.15</v>
      </c>
      <c r="D271" s="1053">
        <v>0.15</v>
      </c>
      <c r="E271" s="1053">
        <v>0.15</v>
      </c>
      <c r="F271" s="1054">
        <v>0.13800000000000001</v>
      </c>
    </row>
    <row r="272" spans="1:6" ht="15" thickBot="1">
      <c r="A272" s="829" t="s">
        <v>530</v>
      </c>
      <c r="B272" s="823" t="s">
        <v>448</v>
      </c>
      <c r="C272" s="1066"/>
      <c r="D272" s="1066"/>
      <c r="E272" s="1066"/>
      <c r="F272" s="1054">
        <v>0.14000000000000001</v>
      </c>
    </row>
    <row r="273" spans="1:6" ht="15" thickBot="1">
      <c r="A273" s="829" t="s">
        <v>530</v>
      </c>
      <c r="B273" s="823" t="s">
        <v>972</v>
      </c>
      <c r="C273" s="1053">
        <v>0.14199999999999999</v>
      </c>
      <c r="D273" s="1053">
        <v>0.14299999999999999</v>
      </c>
      <c r="E273" s="1053">
        <v>0.15</v>
      </c>
      <c r="F273" s="1054">
        <v>0.1</v>
      </c>
    </row>
    <row r="274" spans="1:6" ht="15" thickBot="1">
      <c r="A274" s="829" t="s">
        <v>530</v>
      </c>
      <c r="B274" s="823" t="s">
        <v>973</v>
      </c>
      <c r="C274" s="1053">
        <v>0.14799999999999999</v>
      </c>
      <c r="D274" s="1053">
        <v>0.14799999999999999</v>
      </c>
      <c r="E274" s="1053">
        <v>0.15</v>
      </c>
      <c r="F274" s="1054">
        <v>6.7000000000000004E-2</v>
      </c>
    </row>
    <row r="275" spans="1:6" ht="15" thickBot="1">
      <c r="A275" s="829" t="s">
        <v>530</v>
      </c>
      <c r="B275" s="823" t="s">
        <v>974</v>
      </c>
      <c r="C275" s="1053">
        <v>0.15</v>
      </c>
      <c r="D275" s="1053">
        <v>0.15</v>
      </c>
      <c r="E275" s="1053">
        <v>0.15</v>
      </c>
      <c r="F275" s="1054">
        <v>0.15</v>
      </c>
    </row>
    <row r="276" spans="1:6" ht="15" thickBot="1">
      <c r="A276" s="829" t="s">
        <v>530</v>
      </c>
      <c r="B276" s="823" t="s">
        <v>975</v>
      </c>
      <c r="C276" s="1053">
        <v>0.14499999999999999</v>
      </c>
      <c r="D276" s="1053">
        <v>0.14299999999999999</v>
      </c>
      <c r="E276" s="1053">
        <v>0.15</v>
      </c>
      <c r="F276" s="1054">
        <v>5.8999999999999997E-2</v>
      </c>
    </row>
    <row r="277" spans="1:6" ht="15" thickBot="1">
      <c r="A277" s="829" t="s">
        <v>530</v>
      </c>
      <c r="B277" s="823" t="s">
        <v>976</v>
      </c>
      <c r="C277" s="1053">
        <v>0.15</v>
      </c>
      <c r="D277" s="1053">
        <v>0.15</v>
      </c>
      <c r="E277" s="1053">
        <v>0.15</v>
      </c>
      <c r="F277" s="1054">
        <v>0.121</v>
      </c>
    </row>
    <row r="278" spans="1:6" ht="15" thickBot="1">
      <c r="A278" s="829" t="s">
        <v>530</v>
      </c>
      <c r="B278" s="823" t="s">
        <v>977</v>
      </c>
      <c r="C278" s="1053">
        <v>0.15</v>
      </c>
      <c r="D278" s="1053">
        <v>0.15</v>
      </c>
      <c r="E278" s="1053">
        <v>0.15</v>
      </c>
      <c r="F278" s="1054">
        <v>0.13800000000000001</v>
      </c>
    </row>
    <row r="279" spans="1:6" ht="24.6" thickBot="1">
      <c r="A279" s="829" t="s">
        <v>530</v>
      </c>
      <c r="B279" s="823" t="s">
        <v>978</v>
      </c>
      <c r="C279" s="1066"/>
      <c r="D279" s="1066"/>
      <c r="E279" s="1066"/>
      <c r="F279" s="1054">
        <v>0.05</v>
      </c>
    </row>
    <row r="280" spans="1:6" ht="24.6" thickBot="1">
      <c r="A280" s="829" t="s">
        <v>530</v>
      </c>
      <c r="B280" s="823" t="s">
        <v>979</v>
      </c>
      <c r="C280" s="1066"/>
      <c r="D280" s="1066"/>
      <c r="E280" s="1066"/>
      <c r="F280" s="1054">
        <v>0.05</v>
      </c>
    </row>
    <row r="281" spans="1:6" ht="24.6" thickBot="1">
      <c r="A281" s="829" t="s">
        <v>530</v>
      </c>
      <c r="B281" s="823" t="s">
        <v>980</v>
      </c>
      <c r="C281" s="1066"/>
      <c r="D281" s="1066"/>
      <c r="E281" s="1066"/>
      <c r="F281" s="1054">
        <v>0.05</v>
      </c>
    </row>
    <row r="282" spans="1:6" ht="24.6" thickBot="1">
      <c r="A282" s="829" t="s">
        <v>530</v>
      </c>
      <c r="B282" s="823" t="s">
        <v>981</v>
      </c>
      <c r="C282" s="1066"/>
      <c r="D282" s="1066"/>
      <c r="E282" s="1066"/>
      <c r="F282" s="1054">
        <v>0.05</v>
      </c>
    </row>
    <row r="283" spans="1:6" ht="24.6" thickBot="1">
      <c r="A283" s="829" t="s">
        <v>530</v>
      </c>
      <c r="B283" s="823" t="s">
        <v>982</v>
      </c>
      <c r="C283" s="1066"/>
      <c r="D283" s="1066"/>
      <c r="E283" s="1066"/>
      <c r="F283" s="1054">
        <v>0.05</v>
      </c>
    </row>
    <row r="284" spans="1:6" ht="24.6" thickBot="1">
      <c r="A284" s="829" t="s">
        <v>530</v>
      </c>
      <c r="B284" s="823" t="s">
        <v>983</v>
      </c>
      <c r="C284" s="1066"/>
      <c r="D284" s="1066"/>
      <c r="E284" s="1066"/>
      <c r="F284" s="1054">
        <v>0.05</v>
      </c>
    </row>
    <row r="285" spans="1:6" ht="24.6" thickBot="1">
      <c r="A285" s="829" t="s">
        <v>530</v>
      </c>
      <c r="B285" s="823" t="s">
        <v>984</v>
      </c>
      <c r="C285" s="1066"/>
      <c r="D285" s="1066"/>
      <c r="E285" s="1066"/>
      <c r="F285" s="1054">
        <v>0.05</v>
      </c>
    </row>
    <row r="286" spans="1:6" ht="24.6" thickBot="1">
      <c r="A286" s="829" t="s">
        <v>530</v>
      </c>
      <c r="B286" s="823" t="s">
        <v>985</v>
      </c>
      <c r="C286" s="1066"/>
      <c r="D286" s="1066"/>
      <c r="E286" s="1066"/>
      <c r="F286" s="1054">
        <v>0.05</v>
      </c>
    </row>
    <row r="287" spans="1:6" ht="24.6" thickBot="1">
      <c r="A287" s="829" t="s">
        <v>530</v>
      </c>
      <c r="B287" s="823" t="s">
        <v>986</v>
      </c>
      <c r="C287" s="1066"/>
      <c r="D287" s="1066"/>
      <c r="E287" s="1066"/>
      <c r="F287" s="1054">
        <v>0.05</v>
      </c>
    </row>
    <row r="288" spans="1:6" ht="24.6" thickBot="1">
      <c r="A288" s="829" t="s">
        <v>530</v>
      </c>
      <c r="B288" s="823" t="s">
        <v>987</v>
      </c>
      <c r="C288" s="1066"/>
      <c r="D288" s="1066"/>
      <c r="E288" s="1066"/>
      <c r="F288" s="1054">
        <v>0.05</v>
      </c>
    </row>
    <row r="289" spans="1:6" ht="24.6" thickBot="1">
      <c r="A289" s="839" t="s">
        <v>530</v>
      </c>
      <c r="B289" s="835" t="s">
        <v>988</v>
      </c>
      <c r="C289" s="1063"/>
      <c r="D289" s="1063"/>
      <c r="E289" s="1063"/>
      <c r="F289" s="1056">
        <v>0.05</v>
      </c>
    </row>
    <row r="290" spans="1:6" ht="15" thickBot="1">
      <c r="A290" s="829" t="s">
        <v>534</v>
      </c>
      <c r="B290" s="830" t="s">
        <v>989</v>
      </c>
      <c r="C290" s="1051">
        <v>0.15</v>
      </c>
      <c r="D290" s="1051">
        <v>0.15</v>
      </c>
      <c r="E290" s="1051">
        <v>0.15</v>
      </c>
      <c r="F290" s="1068"/>
    </row>
    <row r="291" spans="1:6" ht="15" thickBot="1">
      <c r="A291" s="829" t="s">
        <v>534</v>
      </c>
      <c r="B291" s="823" t="s">
        <v>196</v>
      </c>
      <c r="C291" s="1053">
        <v>0.15</v>
      </c>
      <c r="D291" s="1053">
        <v>0.15</v>
      </c>
      <c r="E291" s="1053">
        <v>0.15</v>
      </c>
      <c r="F291" s="1065"/>
    </row>
    <row r="292" spans="1:6" ht="15" thickBot="1">
      <c r="A292" s="829" t="s">
        <v>534</v>
      </c>
      <c r="B292" s="823" t="s">
        <v>990</v>
      </c>
      <c r="C292" s="1053">
        <v>0.15</v>
      </c>
      <c r="D292" s="1053">
        <v>0.15</v>
      </c>
      <c r="E292" s="1053">
        <v>0.15</v>
      </c>
      <c r="F292" s="1054">
        <v>0.14699999999999999</v>
      </c>
    </row>
    <row r="293" spans="1:6" ht="15" thickBot="1">
      <c r="A293" s="829" t="s">
        <v>534</v>
      </c>
      <c r="B293" s="823" t="s">
        <v>991</v>
      </c>
      <c r="C293" s="1066"/>
      <c r="D293" s="1066"/>
      <c r="E293" s="1066"/>
      <c r="F293" s="1054">
        <v>0.1</v>
      </c>
    </row>
    <row r="294" spans="1:6" ht="15" thickBot="1">
      <c r="A294" s="829" t="s">
        <v>534</v>
      </c>
      <c r="B294" s="823" t="s">
        <v>992</v>
      </c>
      <c r="C294" s="1053">
        <v>0.15</v>
      </c>
      <c r="D294" s="1053">
        <v>0.15</v>
      </c>
      <c r="E294" s="1053">
        <v>0.15</v>
      </c>
      <c r="F294" s="1054">
        <v>0.15</v>
      </c>
    </row>
    <row r="295" spans="1:6" ht="15" thickBot="1">
      <c r="A295" s="829" t="s">
        <v>534</v>
      </c>
      <c r="B295" s="823" t="s">
        <v>234</v>
      </c>
      <c r="C295" s="1053">
        <v>0.15</v>
      </c>
      <c r="D295" s="1053">
        <v>0.15</v>
      </c>
      <c r="E295" s="1053">
        <v>0.15</v>
      </c>
      <c r="F295" s="1054">
        <v>0.15</v>
      </c>
    </row>
    <row r="296" spans="1:6" ht="15" thickBot="1">
      <c r="A296" s="829" t="s">
        <v>534</v>
      </c>
      <c r="B296" s="823" t="s">
        <v>993</v>
      </c>
      <c r="C296" s="1053">
        <v>0.15</v>
      </c>
      <c r="D296" s="1053">
        <v>0.15</v>
      </c>
      <c r="E296" s="1053">
        <v>0.15</v>
      </c>
      <c r="F296" s="1054">
        <v>0.15</v>
      </c>
    </row>
    <row r="297" spans="1:6" ht="15" thickBot="1">
      <c r="A297" s="829" t="s">
        <v>534</v>
      </c>
      <c r="B297" s="823" t="s">
        <v>994</v>
      </c>
      <c r="C297" s="1053">
        <v>0.14799999999999999</v>
      </c>
      <c r="D297" s="1053">
        <v>0.14899999999999999</v>
      </c>
      <c r="E297" s="1053">
        <v>0.15</v>
      </c>
      <c r="F297" s="1054">
        <v>0.13700000000000001</v>
      </c>
    </row>
    <row r="298" spans="1:6" ht="15" thickBot="1">
      <c r="A298" s="829" t="s">
        <v>534</v>
      </c>
      <c r="B298" s="823" t="s">
        <v>267</v>
      </c>
      <c r="C298" s="1053">
        <v>0.13400000000000001</v>
      </c>
      <c r="D298" s="1053">
        <v>0.13400000000000001</v>
      </c>
      <c r="E298" s="1053">
        <v>0.14499999999999999</v>
      </c>
      <c r="F298" s="1054">
        <v>0.14799999999999999</v>
      </c>
    </row>
    <row r="299" spans="1:6" ht="15" thickBot="1">
      <c r="A299" s="829" t="s">
        <v>534</v>
      </c>
      <c r="B299" s="823" t="s">
        <v>279</v>
      </c>
      <c r="C299" s="1053">
        <v>0.15</v>
      </c>
      <c r="D299" s="1053">
        <v>0.15</v>
      </c>
      <c r="E299" s="1053">
        <v>0.15</v>
      </c>
      <c r="F299" s="1065"/>
    </row>
    <row r="300" spans="1:6" ht="15" thickBot="1">
      <c r="A300" s="829" t="s">
        <v>534</v>
      </c>
      <c r="B300" s="823" t="s">
        <v>995</v>
      </c>
      <c r="C300" s="1053">
        <v>0.15</v>
      </c>
      <c r="D300" s="1053">
        <v>0.15</v>
      </c>
      <c r="E300" s="1053">
        <v>0.15</v>
      </c>
      <c r="F300" s="1054">
        <v>0.15</v>
      </c>
    </row>
    <row r="301" spans="1:6" ht="15" thickBot="1">
      <c r="A301" s="829" t="s">
        <v>534</v>
      </c>
      <c r="B301" s="823" t="s">
        <v>299</v>
      </c>
      <c r="C301" s="1053">
        <v>0.15</v>
      </c>
      <c r="D301" s="1053">
        <v>0.15</v>
      </c>
      <c r="E301" s="1053">
        <v>0.15</v>
      </c>
      <c r="F301" s="1065"/>
    </row>
    <row r="302" spans="1:6" ht="15" thickBot="1">
      <c r="A302" s="829" t="s">
        <v>534</v>
      </c>
      <c r="B302" s="823" t="s">
        <v>996</v>
      </c>
      <c r="C302" s="1053">
        <v>0.15</v>
      </c>
      <c r="D302" s="1053">
        <v>0.15</v>
      </c>
      <c r="E302" s="1053">
        <v>0.15</v>
      </c>
      <c r="F302" s="1054">
        <v>0.15</v>
      </c>
    </row>
    <row r="303" spans="1:6" ht="15" thickBot="1">
      <c r="A303" s="829" t="s">
        <v>534</v>
      </c>
      <c r="B303" s="823" t="s">
        <v>319</v>
      </c>
      <c r="C303" s="1053">
        <v>0.15</v>
      </c>
      <c r="D303" s="1053">
        <v>0.15</v>
      </c>
      <c r="E303" s="1053">
        <v>0.15</v>
      </c>
      <c r="F303" s="1054">
        <v>0.15</v>
      </c>
    </row>
    <row r="304" spans="1:6" ht="15" thickBot="1">
      <c r="A304" s="829" t="s">
        <v>534</v>
      </c>
      <c r="B304" s="823" t="s">
        <v>330</v>
      </c>
      <c r="C304" s="1053">
        <v>0.15</v>
      </c>
      <c r="D304" s="1053">
        <v>0.15</v>
      </c>
      <c r="E304" s="1053">
        <v>0.15</v>
      </c>
      <c r="F304" s="1065"/>
    </row>
    <row r="305" spans="1:6" ht="15" thickBot="1">
      <c r="A305" s="829" t="s">
        <v>534</v>
      </c>
      <c r="B305" s="823" t="s">
        <v>997</v>
      </c>
      <c r="C305" s="1053">
        <v>0.15</v>
      </c>
      <c r="D305" s="1053">
        <v>0.15</v>
      </c>
      <c r="E305" s="1053">
        <v>0.15</v>
      </c>
      <c r="F305" s="1054">
        <v>0.14000000000000001</v>
      </c>
    </row>
    <row r="306" spans="1:6" ht="15" thickBot="1">
      <c r="A306" s="829" t="s">
        <v>534</v>
      </c>
      <c r="B306" s="823" t="s">
        <v>351</v>
      </c>
      <c r="C306" s="1053">
        <v>0.15</v>
      </c>
      <c r="D306" s="1053">
        <v>0.15</v>
      </c>
      <c r="E306" s="1053">
        <v>0.15</v>
      </c>
      <c r="F306" s="1065"/>
    </row>
    <row r="307" spans="1:6" ht="15" thickBot="1">
      <c r="A307" s="829" t="s">
        <v>534</v>
      </c>
      <c r="B307" s="823" t="s">
        <v>998</v>
      </c>
      <c r="C307" s="1053">
        <v>0.15</v>
      </c>
      <c r="D307" s="1053">
        <v>0.15</v>
      </c>
      <c r="E307" s="1053">
        <v>0.15</v>
      </c>
      <c r="F307" s="1054">
        <v>0.14299999999999999</v>
      </c>
    </row>
    <row r="308" spans="1:6" ht="15" thickBot="1">
      <c r="A308" s="829" t="s">
        <v>534</v>
      </c>
      <c r="B308" s="823" t="s">
        <v>371</v>
      </c>
      <c r="C308" s="1053">
        <v>0.15</v>
      </c>
      <c r="D308" s="1053">
        <v>0.15</v>
      </c>
      <c r="E308" s="1053">
        <v>0.15</v>
      </c>
      <c r="F308" s="1054">
        <v>0.15</v>
      </c>
    </row>
    <row r="309" spans="1:6" ht="15" thickBot="1">
      <c r="A309" s="829" t="s">
        <v>534</v>
      </c>
      <c r="B309" s="823" t="s">
        <v>381</v>
      </c>
      <c r="C309" s="1053">
        <v>0.15</v>
      </c>
      <c r="D309" s="1053">
        <v>0.15</v>
      </c>
      <c r="E309" s="1053">
        <v>0.15</v>
      </c>
      <c r="F309" s="1065"/>
    </row>
    <row r="310" spans="1:6" ht="15" thickBot="1">
      <c r="A310" s="829" t="s">
        <v>534</v>
      </c>
      <c r="B310" s="823" t="s">
        <v>999</v>
      </c>
      <c r="C310" s="1053">
        <v>0.15</v>
      </c>
      <c r="D310" s="1053">
        <v>0.15</v>
      </c>
      <c r="E310" s="1053">
        <v>0.15</v>
      </c>
      <c r="F310" s="1054">
        <v>0.13700000000000001</v>
      </c>
    </row>
    <row r="311" spans="1:6" ht="15" thickBot="1">
      <c r="A311" s="829" t="s">
        <v>534</v>
      </c>
      <c r="B311" s="823" t="s">
        <v>1000</v>
      </c>
      <c r="C311" s="1053">
        <v>0.15</v>
      </c>
      <c r="D311" s="1053">
        <v>0.15</v>
      </c>
      <c r="E311" s="1053">
        <v>0.15</v>
      </c>
      <c r="F311" s="1054">
        <v>0.15</v>
      </c>
    </row>
    <row r="312" spans="1:6" ht="15" thickBot="1">
      <c r="A312" s="829" t="s">
        <v>534</v>
      </c>
      <c r="B312" s="823" t="s">
        <v>407</v>
      </c>
      <c r="C312" s="1053">
        <v>0.15</v>
      </c>
      <c r="D312" s="1053">
        <v>0.15</v>
      </c>
      <c r="E312" s="1053">
        <v>0.15</v>
      </c>
      <c r="F312" s="1054">
        <v>0.1</v>
      </c>
    </row>
    <row r="313" spans="1:6" ht="15" thickBot="1">
      <c r="A313" s="829" t="s">
        <v>534</v>
      </c>
      <c r="B313" s="823" t="s">
        <v>1001</v>
      </c>
      <c r="C313" s="1053">
        <v>0.15</v>
      </c>
      <c r="D313" s="1053">
        <v>0.15</v>
      </c>
      <c r="E313" s="1053">
        <v>0.15</v>
      </c>
      <c r="F313" s="1054">
        <v>0.15</v>
      </c>
    </row>
    <row r="314" spans="1:6" ht="24.6" thickBot="1">
      <c r="A314" s="829" t="s">
        <v>534</v>
      </c>
      <c r="B314" s="823" t="s">
        <v>1002</v>
      </c>
      <c r="C314" s="1066"/>
      <c r="D314" s="1066"/>
      <c r="E314" s="1066"/>
      <c r="F314" s="1054">
        <v>0.05</v>
      </c>
    </row>
    <row r="315" spans="1:6" ht="24.6" thickBot="1">
      <c r="A315" s="829" t="s">
        <v>534</v>
      </c>
      <c r="B315" s="823" t="s">
        <v>1003</v>
      </c>
      <c r="C315" s="1066"/>
      <c r="D315" s="1066"/>
      <c r="E315" s="1066"/>
      <c r="F315" s="1054">
        <v>0.05</v>
      </c>
    </row>
    <row r="316" spans="1:6" ht="24.6" thickBot="1">
      <c r="A316" s="839" t="s">
        <v>534</v>
      </c>
      <c r="B316" s="835" t="s">
        <v>1004</v>
      </c>
      <c r="C316" s="1063"/>
      <c r="D316" s="1063"/>
      <c r="E316" s="1063"/>
      <c r="F316" s="1056">
        <v>0.05</v>
      </c>
    </row>
    <row r="317" spans="1:6" ht="15" thickBot="1">
      <c r="A317" s="829" t="s">
        <v>1005</v>
      </c>
      <c r="B317" s="830" t="s">
        <v>1006</v>
      </c>
      <c r="C317" s="1051">
        <v>0.15</v>
      </c>
      <c r="D317" s="1051">
        <v>0.15</v>
      </c>
      <c r="E317" s="1051">
        <v>0.15</v>
      </c>
      <c r="F317" s="1052">
        <v>0.15</v>
      </c>
    </row>
    <row r="318" spans="1:6" ht="15" thickBot="1">
      <c r="A318" s="829" t="s">
        <v>1005</v>
      </c>
      <c r="B318" s="823" t="s">
        <v>1007</v>
      </c>
      <c r="C318" s="1053">
        <v>0.107</v>
      </c>
      <c r="D318" s="1053">
        <v>0.11</v>
      </c>
      <c r="E318" s="1053">
        <v>0.112</v>
      </c>
      <c r="F318" s="1065"/>
    </row>
    <row r="319" spans="1:6" ht="15" thickBot="1">
      <c r="A319" s="829" t="s">
        <v>1005</v>
      </c>
      <c r="B319" s="823" t="s">
        <v>1008</v>
      </c>
      <c r="C319" s="1053">
        <v>0.15</v>
      </c>
      <c r="D319" s="1053">
        <v>0.15</v>
      </c>
      <c r="E319" s="1053">
        <v>0.15</v>
      </c>
      <c r="F319" s="1054">
        <v>0.15</v>
      </c>
    </row>
    <row r="320" spans="1:6" ht="15" thickBot="1">
      <c r="A320" s="829" t="s">
        <v>1005</v>
      </c>
      <c r="B320" s="823" t="s">
        <v>223</v>
      </c>
      <c r="C320" s="1053">
        <v>0.15</v>
      </c>
      <c r="D320" s="1053">
        <v>0.15</v>
      </c>
      <c r="E320" s="1053">
        <v>0.15</v>
      </c>
      <c r="F320" s="1065"/>
    </row>
    <row r="321" spans="1:6" ht="15" thickBot="1">
      <c r="A321" s="829" t="s">
        <v>1005</v>
      </c>
      <c r="B321" s="823" t="s">
        <v>1009</v>
      </c>
      <c r="C321" s="1053">
        <v>0.15</v>
      </c>
      <c r="D321" s="1053">
        <v>0.15</v>
      </c>
      <c r="E321" s="1053">
        <v>0.15</v>
      </c>
      <c r="F321" s="1065"/>
    </row>
    <row r="322" spans="1:6" ht="15" thickBot="1">
      <c r="A322" s="829" t="s">
        <v>1005</v>
      </c>
      <c r="B322" s="823" t="s">
        <v>1010</v>
      </c>
      <c r="C322" s="1053">
        <v>0.15</v>
      </c>
      <c r="D322" s="1053">
        <v>0.15</v>
      </c>
      <c r="E322" s="1053">
        <v>0.15</v>
      </c>
      <c r="F322" s="1054">
        <v>0.15</v>
      </c>
    </row>
    <row r="323" spans="1:6" ht="15" thickBot="1">
      <c r="A323" s="829" t="s">
        <v>1005</v>
      </c>
      <c r="B323" s="823" t="s">
        <v>1011</v>
      </c>
      <c r="C323" s="1053">
        <v>0.15</v>
      </c>
      <c r="D323" s="1053">
        <v>0.15</v>
      </c>
      <c r="E323" s="1053">
        <v>0.15</v>
      </c>
      <c r="F323" s="1065"/>
    </row>
    <row r="324" spans="1:6" ht="15" thickBot="1">
      <c r="A324" s="829" t="s">
        <v>1005</v>
      </c>
      <c r="B324" s="823" t="s">
        <v>1012</v>
      </c>
      <c r="C324" s="1053">
        <v>0.15</v>
      </c>
      <c r="D324" s="1053">
        <v>0.15</v>
      </c>
      <c r="E324" s="1053">
        <v>0.15</v>
      </c>
      <c r="F324" s="1065"/>
    </row>
    <row r="325" spans="1:6" ht="15" thickBot="1">
      <c r="A325" s="829" t="s">
        <v>1005</v>
      </c>
      <c r="B325" s="823" t="s">
        <v>1013</v>
      </c>
      <c r="C325" s="1053">
        <v>0.15</v>
      </c>
      <c r="D325" s="1053">
        <v>0.15</v>
      </c>
      <c r="E325" s="1053">
        <v>0.15</v>
      </c>
      <c r="F325" s="1054">
        <v>0.14699999999999999</v>
      </c>
    </row>
    <row r="326" spans="1:6" ht="15" thickBot="1">
      <c r="A326" s="829" t="s">
        <v>1005</v>
      </c>
      <c r="B326" s="823" t="s">
        <v>290</v>
      </c>
      <c r="C326" s="1053">
        <v>0.15</v>
      </c>
      <c r="D326" s="1053">
        <v>0.15</v>
      </c>
      <c r="E326" s="1053">
        <v>0.15</v>
      </c>
      <c r="F326" s="1065"/>
    </row>
    <row r="327" spans="1:6" ht="15" thickBot="1">
      <c r="A327" s="829" t="s">
        <v>1005</v>
      </c>
      <c r="B327" s="823" t="s">
        <v>1014</v>
      </c>
      <c r="C327" s="1053">
        <v>0.15</v>
      </c>
      <c r="D327" s="1053">
        <v>0.15</v>
      </c>
      <c r="E327" s="1053">
        <v>0.15</v>
      </c>
      <c r="F327" s="1054">
        <v>0.15</v>
      </c>
    </row>
    <row r="328" spans="1:6" ht="15" thickBot="1">
      <c r="A328" s="829" t="s">
        <v>1005</v>
      </c>
      <c r="B328" s="823" t="s">
        <v>310</v>
      </c>
      <c r="C328" s="1053">
        <v>0.15</v>
      </c>
      <c r="D328" s="1053">
        <v>0.15</v>
      </c>
      <c r="E328" s="1053">
        <v>0.15</v>
      </c>
      <c r="F328" s="1054">
        <v>0.14099999999999999</v>
      </c>
    </row>
    <row r="329" spans="1:6" ht="15" thickBot="1">
      <c r="A329" s="829" t="s">
        <v>1005</v>
      </c>
      <c r="B329" s="823" t="s">
        <v>320</v>
      </c>
      <c r="C329" s="1053">
        <v>0.15</v>
      </c>
      <c r="D329" s="1053">
        <v>0.15</v>
      </c>
      <c r="E329" s="1053">
        <v>0.15</v>
      </c>
      <c r="F329" s="1054">
        <v>0.15</v>
      </c>
    </row>
    <row r="330" spans="1:6" ht="15" thickBot="1">
      <c r="A330" s="829" t="s">
        <v>1005</v>
      </c>
      <c r="B330" s="823" t="s">
        <v>331</v>
      </c>
      <c r="C330" s="1053">
        <v>0.15</v>
      </c>
      <c r="D330" s="1053">
        <v>0.15</v>
      </c>
      <c r="E330" s="1053">
        <v>0.15</v>
      </c>
      <c r="F330" s="1065"/>
    </row>
    <row r="331" spans="1:6" ht="15" thickBot="1">
      <c r="A331" s="829" t="s">
        <v>1005</v>
      </c>
      <c r="B331" s="823" t="s">
        <v>1015</v>
      </c>
      <c r="C331" s="1053">
        <v>0.15</v>
      </c>
      <c r="D331" s="1053">
        <v>0.15</v>
      </c>
      <c r="E331" s="1053">
        <v>0.15</v>
      </c>
      <c r="F331" s="1054">
        <v>0.15</v>
      </c>
    </row>
    <row r="332" spans="1:6" ht="15" thickBot="1">
      <c r="A332" s="829" t="s">
        <v>1005</v>
      </c>
      <c r="B332" s="823" t="s">
        <v>352</v>
      </c>
      <c r="C332" s="1053">
        <v>0.15</v>
      </c>
      <c r="D332" s="1053">
        <v>0.15</v>
      </c>
      <c r="E332" s="1053">
        <v>0.15</v>
      </c>
      <c r="F332" s="1054">
        <v>0.15</v>
      </c>
    </row>
    <row r="333" spans="1:6" ht="15" thickBot="1">
      <c r="A333" s="829" t="s">
        <v>1005</v>
      </c>
      <c r="B333" s="823" t="s">
        <v>1016</v>
      </c>
      <c r="C333" s="1053">
        <v>0.15</v>
      </c>
      <c r="D333" s="1053">
        <v>0.15</v>
      </c>
      <c r="E333" s="1053">
        <v>0.15</v>
      </c>
      <c r="F333" s="1054">
        <v>0.14099999999999999</v>
      </c>
    </row>
    <row r="334" spans="1:6" ht="15" thickBot="1">
      <c r="A334" s="829" t="s">
        <v>1005</v>
      </c>
      <c r="B334" s="823" t="s">
        <v>372</v>
      </c>
      <c r="C334" s="1053">
        <v>0.15</v>
      </c>
      <c r="D334" s="1053">
        <v>0.15</v>
      </c>
      <c r="E334" s="1053">
        <v>0.15</v>
      </c>
      <c r="F334" s="1054">
        <v>0.15</v>
      </c>
    </row>
    <row r="335" spans="1:6" ht="15" thickBot="1">
      <c r="A335" s="829" t="s">
        <v>1005</v>
      </c>
      <c r="B335" s="823" t="s">
        <v>382</v>
      </c>
      <c r="C335" s="1053">
        <v>0.15</v>
      </c>
      <c r="D335" s="1053">
        <v>0.15</v>
      </c>
      <c r="E335" s="1053">
        <v>0.15</v>
      </c>
      <c r="F335" s="1065"/>
    </row>
    <row r="336" spans="1:6" ht="15" thickBot="1">
      <c r="A336" s="829" t="s">
        <v>1005</v>
      </c>
      <c r="B336" s="823" t="s">
        <v>1017</v>
      </c>
      <c r="C336" s="1053">
        <v>0.15</v>
      </c>
      <c r="D336" s="1053">
        <v>0.15</v>
      </c>
      <c r="E336" s="1053">
        <v>0.15</v>
      </c>
      <c r="F336" s="1054">
        <v>0.11799999999999999</v>
      </c>
    </row>
    <row r="337" spans="1:6" ht="15" thickBot="1">
      <c r="A337" s="839" t="s">
        <v>1005</v>
      </c>
      <c r="B337" s="835" t="s">
        <v>400</v>
      </c>
      <c r="C337" s="1063"/>
      <c r="D337" s="1063"/>
      <c r="E337" s="1063"/>
      <c r="F337" s="1056">
        <v>0.14299999999999999</v>
      </c>
    </row>
    <row r="338" spans="1:6" ht="15" thickBot="1">
      <c r="A338" s="829" t="s">
        <v>1018</v>
      </c>
      <c r="B338" s="830" t="s">
        <v>1019</v>
      </c>
      <c r="C338" s="1051">
        <v>0.15</v>
      </c>
      <c r="D338" s="1051">
        <v>0.15</v>
      </c>
      <c r="E338" s="1051">
        <v>0.15</v>
      </c>
      <c r="F338" s="1068"/>
    </row>
    <row r="339" spans="1:6" ht="15" thickBot="1">
      <c r="A339" s="829" t="s">
        <v>1018</v>
      </c>
      <c r="B339" s="823" t="s">
        <v>1020</v>
      </c>
      <c r="C339" s="1053">
        <v>0.15</v>
      </c>
      <c r="D339" s="1053">
        <v>0.15</v>
      </c>
      <c r="E339" s="1053">
        <v>0.15</v>
      </c>
      <c r="F339" s="1065"/>
    </row>
    <row r="340" spans="1:6" ht="15" thickBot="1">
      <c r="A340" s="829" t="s">
        <v>1018</v>
      </c>
      <c r="B340" s="823" t="s">
        <v>1021</v>
      </c>
      <c r="C340" s="1053">
        <v>0.15</v>
      </c>
      <c r="D340" s="1053">
        <v>0.15</v>
      </c>
      <c r="E340" s="1053">
        <v>0.15</v>
      </c>
      <c r="F340" s="1065"/>
    </row>
    <row r="341" spans="1:6" ht="15" thickBot="1">
      <c r="A341" s="829" t="s">
        <v>1018</v>
      </c>
      <c r="B341" s="823" t="s">
        <v>1022</v>
      </c>
      <c r="C341" s="1053">
        <v>0.15</v>
      </c>
      <c r="D341" s="1053">
        <v>0.15</v>
      </c>
      <c r="E341" s="1053">
        <v>0.15</v>
      </c>
      <c r="F341" s="1054">
        <v>0.15</v>
      </c>
    </row>
    <row r="342" spans="1:6" ht="15" thickBot="1">
      <c r="A342" s="829" t="s">
        <v>1018</v>
      </c>
      <c r="B342" s="823" t="s">
        <v>1023</v>
      </c>
      <c r="C342" s="1053">
        <v>0.15</v>
      </c>
      <c r="D342" s="1053">
        <v>0.15</v>
      </c>
      <c r="E342" s="1053">
        <v>0.15</v>
      </c>
      <c r="F342" s="1054">
        <v>0.15</v>
      </c>
    </row>
    <row r="343" spans="1:6" ht="15" thickBot="1">
      <c r="A343" s="829" t="s">
        <v>1018</v>
      </c>
      <c r="B343" s="823" t="s">
        <v>1024</v>
      </c>
      <c r="C343" s="1053">
        <v>0.15</v>
      </c>
      <c r="D343" s="1053">
        <v>0.15</v>
      </c>
      <c r="E343" s="1053">
        <v>0.15</v>
      </c>
      <c r="F343" s="1054">
        <v>0.15</v>
      </c>
    </row>
    <row r="344" spans="1:6" ht="15" thickBot="1">
      <c r="A344" s="839" t="s">
        <v>1018</v>
      </c>
      <c r="B344" s="835" t="s">
        <v>1025</v>
      </c>
      <c r="C344" s="1055">
        <v>0.15</v>
      </c>
      <c r="D344" s="1055">
        <v>0.15</v>
      </c>
      <c r="E344" s="1055">
        <v>0.15</v>
      </c>
      <c r="F344" s="1056">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2" customWidth="1"/>
    <col min="2" max="3" width="22.33203125" style="1922" customWidth="1"/>
    <col min="4" max="4" width="23" style="1922" customWidth="1"/>
    <col min="5" max="16384" width="9" style="1922"/>
  </cols>
  <sheetData>
    <row r="1" spans="1:4" ht="17.399999999999999">
      <c r="A1" s="3471" t="s">
        <v>1646</v>
      </c>
      <c r="B1" s="3471"/>
      <c r="C1" s="3471"/>
      <c r="D1" s="3471"/>
    </row>
    <row r="2" spans="1:4" ht="17.399999999999999">
      <c r="A2" s="3472" t="s">
        <v>1630</v>
      </c>
      <c r="B2" s="3472"/>
      <c r="C2" s="3472"/>
      <c r="D2" s="3472"/>
    </row>
    <row r="3" spans="1:4" ht="17.399999999999999">
      <c r="A3" s="1954" t="s">
        <v>1631</v>
      </c>
      <c r="B3" s="1954" t="s">
        <v>1632</v>
      </c>
      <c r="C3" s="1954" t="s">
        <v>1633</v>
      </c>
      <c r="D3" s="1954" t="s">
        <v>1634</v>
      </c>
    </row>
    <row r="4" spans="1:4" ht="56.25" customHeight="1">
      <c r="A4" s="1955" t="str">
        <f>项目基本情况!B4</f>
        <v>崔锴</v>
      </c>
      <c r="B4" s="1956">
        <f ca="1">项目基本情况!C4</f>
        <v>1120100036</v>
      </c>
      <c r="C4" s="1957"/>
      <c r="D4" s="1958" t="s">
        <v>1635</v>
      </c>
    </row>
    <row r="5" spans="1:4" ht="56.25" customHeight="1">
      <c r="A5" s="1955" t="str">
        <f>项目基本情况!D4</f>
        <v>郑燚</v>
      </c>
      <c r="B5" s="1956">
        <f ca="1">项目基本情况!E4</f>
        <v>0</v>
      </c>
      <c r="C5" s="1959"/>
      <c r="D5" s="1958" t="s">
        <v>1635</v>
      </c>
    </row>
    <row r="6" spans="1:4" ht="17.399999999999999">
      <c r="A6" s="3472" t="s">
        <v>1636</v>
      </c>
      <c r="B6" s="3472"/>
      <c r="C6" s="3472"/>
      <c r="D6" s="3472"/>
    </row>
    <row r="7" spans="1:4" ht="17.399999999999999">
      <c r="A7" s="1954" t="s">
        <v>1631</v>
      </c>
      <c r="B7" s="1956" t="s">
        <v>1637</v>
      </c>
      <c r="C7" s="1954" t="s">
        <v>1633</v>
      </c>
      <c r="D7" s="1954" t="s">
        <v>1634</v>
      </c>
    </row>
    <row r="8" spans="1:4" ht="56.25" customHeight="1">
      <c r="A8" s="1960" t="s">
        <v>866</v>
      </c>
      <c r="B8" s="1960" t="s">
        <v>1</v>
      </c>
      <c r="C8" s="1957"/>
      <c r="D8" s="1958" t="s">
        <v>1635</v>
      </c>
    </row>
    <row r="9" spans="1:4">
      <c r="A9" s="724"/>
      <c r="B9" s="724"/>
      <c r="C9" s="724"/>
      <c r="D9" s="724"/>
    </row>
    <row r="10" spans="1:4" ht="17.399999999999999">
      <c r="A10" s="1961" t="s">
        <v>1638</v>
      </c>
      <c r="B10" s="724"/>
      <c r="C10" s="724"/>
      <c r="D10" s="724"/>
    </row>
    <row r="11" spans="1:4" ht="30" customHeight="1">
      <c r="A11" s="3473" t="s">
        <v>1639</v>
      </c>
      <c r="B11" s="3465"/>
      <c r="C11" s="3465"/>
      <c r="D11" s="3465"/>
    </row>
    <row r="12" spans="1:4" ht="15.6">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spans="1:4" ht="30" customHeight="1">
      <c r="A13" s="3465" t="str">
        <f>IF(项目基本情况!B8="抵押","3.抵押双方在办理抵押登记手续时，应使用本公司出具的正式《房地产评估报告》，特提醒报告使用者注意。","——")</f>
        <v>——</v>
      </c>
      <c r="B13" s="3470"/>
      <c r="C13" s="3470"/>
      <c r="D13" s="3470"/>
    </row>
    <row r="14" spans="1:4" ht="15.75" customHeight="1">
      <c r="A14" s="3465" t="str">
        <f>IF(项目基本情况!B8="抵押","4.本次评估估价师所知悉的法定优先受偿款情况说明如下：","——")</f>
        <v>——</v>
      </c>
      <c r="B14" s="3470"/>
      <c r="C14" s="3470"/>
      <c r="D14" s="3470"/>
    </row>
    <row r="15" spans="1:4" ht="42" customHeight="1">
      <c r="A15" s="3465" t="str">
        <f>IF(项目基本情况!B8="抵押","（1）"&amp;CONCATENATE(项目基本情况!L20,项目基本情况!L21,项目基本情况!L22),"——")</f>
        <v>——</v>
      </c>
      <c r="B15" s="3465"/>
      <c r="C15" s="3465"/>
      <c r="D15" s="3465"/>
    </row>
    <row r="16" spans="1:4" ht="30" customHeight="1">
      <c r="A16" s="3467" t="s">
        <v>1640</v>
      </c>
      <c r="B16" s="3467"/>
      <c r="C16" s="3467"/>
      <c r="D16" s="3467"/>
    </row>
    <row r="17" spans="1:4" ht="144" customHeight="1">
      <c r="A17" s="3467" t="s">
        <v>1641</v>
      </c>
      <c r="B17" s="3467"/>
      <c r="C17" s="3467"/>
      <c r="D17" s="3467"/>
    </row>
    <row r="18" spans="1:4" ht="15.75" customHeight="1">
      <c r="A18" s="3465" t="str">
        <f>IF(项目基本情况!B8="抵押",结果表商!K120,"——")</f>
        <v>——</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1642</v>
      </c>
      <c r="B22" s="3469"/>
      <c r="C22" s="3469"/>
      <c r="D22" s="3469"/>
    </row>
    <row r="23" spans="1:4">
      <c r="A23" s="1962"/>
      <c r="B23" s="1934"/>
      <c r="C23" s="1934"/>
      <c r="D23" s="1934"/>
    </row>
    <row r="24" spans="1:4">
      <c r="A24" s="1962"/>
      <c r="B24" s="1934"/>
      <c r="C24" s="1934"/>
      <c r="D24" s="1934"/>
    </row>
    <row r="25" spans="1:4" ht="17.399999999999999">
      <c r="A25" s="1963" t="s">
        <v>1643</v>
      </c>
    </row>
    <row r="26" spans="1:4" ht="17.399999999999999">
      <c r="A26" s="1932"/>
    </row>
    <row r="27" spans="1:4" ht="17.399999999999999">
      <c r="A27" s="1932" t="s">
        <v>1644</v>
      </c>
    </row>
    <row r="30" spans="1:4" ht="17.399999999999999">
      <c r="D30" s="1963" t="s">
        <v>1645</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W63"/>
  <sheetViews>
    <sheetView workbookViewId="0">
      <selection activeCell="I1" sqref="I1"/>
    </sheetView>
  </sheetViews>
  <sheetFormatPr defaultRowHeight="14.4"/>
  <cols>
    <col min="1" max="1" width="4.88671875" style="1617" customWidth="1"/>
    <col min="2" max="2" width="13.21875" style="1623" customWidth="1"/>
    <col min="3" max="3" width="15.6640625" style="1623" customWidth="1"/>
    <col min="4" max="4" width="9.33203125" style="1623" bestFit="1" customWidth="1"/>
    <col min="5" max="5" width="13.44140625" style="1623" customWidth="1"/>
    <col min="6" max="6" width="9" style="1623"/>
    <col min="7" max="7" width="9.33203125" style="1623" bestFit="1" customWidth="1"/>
    <col min="8" max="8" width="12.21875" style="1623" customWidth="1"/>
    <col min="9" max="9" width="9" style="1623"/>
    <col min="10" max="10" width="9.33203125" style="1623" bestFit="1" customWidth="1"/>
    <col min="11" max="11" width="4" style="1617" customWidth="1"/>
    <col min="12" max="12" width="5.109375" style="1623" customWidth="1"/>
    <col min="13" max="13" width="13.77734375" style="1623" customWidth="1"/>
    <col min="14" max="256" width="9" style="1623"/>
    <col min="257" max="257" width="4.88671875" style="1614" customWidth="1"/>
    <col min="258" max="258" width="13.21875" style="1614" customWidth="1"/>
    <col min="259" max="259" width="15.6640625" style="1614" customWidth="1"/>
    <col min="260" max="260" width="9.33203125" style="1614" bestFit="1" customWidth="1"/>
    <col min="261" max="261" width="13.44140625" style="1614" customWidth="1"/>
    <col min="262" max="262" width="9" style="1614"/>
    <col min="263" max="263" width="9.33203125" style="1614" bestFit="1" customWidth="1"/>
    <col min="264" max="265" width="9" style="1614"/>
    <col min="266" max="266" width="9.33203125" style="1614" bestFit="1" customWidth="1"/>
    <col min="267" max="267" width="4" style="1614" customWidth="1"/>
    <col min="268" max="268" width="5.109375" style="1614" customWidth="1"/>
    <col min="269" max="269" width="13.77734375" style="1614" customWidth="1"/>
    <col min="270" max="512" width="9" style="1614"/>
    <col min="513" max="513" width="4.88671875" style="1614" customWidth="1"/>
    <col min="514" max="514" width="13.21875" style="1614" customWidth="1"/>
    <col min="515" max="515" width="15.6640625" style="1614" customWidth="1"/>
    <col min="516" max="516" width="9.33203125" style="1614" bestFit="1" customWidth="1"/>
    <col min="517" max="517" width="13.44140625" style="1614" customWidth="1"/>
    <col min="518" max="518" width="9" style="1614"/>
    <col min="519" max="519" width="9.33203125" style="1614" bestFit="1" customWidth="1"/>
    <col min="520" max="521" width="9" style="1614"/>
    <col min="522" max="522" width="9.33203125" style="1614" bestFit="1" customWidth="1"/>
    <col min="523" max="523" width="4" style="1614" customWidth="1"/>
    <col min="524" max="524" width="5.109375" style="1614" customWidth="1"/>
    <col min="525" max="525" width="13.77734375" style="1614" customWidth="1"/>
    <col min="526" max="768" width="9" style="1614"/>
    <col min="769" max="769" width="4.88671875" style="1614" customWidth="1"/>
    <col min="770" max="770" width="13.21875" style="1614" customWidth="1"/>
    <col min="771" max="771" width="15.6640625" style="1614" customWidth="1"/>
    <col min="772" max="772" width="9.33203125" style="1614" bestFit="1" customWidth="1"/>
    <col min="773" max="773" width="13.44140625" style="1614" customWidth="1"/>
    <col min="774" max="774" width="9" style="1614"/>
    <col min="775" max="775" width="9.33203125" style="1614" bestFit="1" customWidth="1"/>
    <col min="776" max="777" width="9" style="1614"/>
    <col min="778" max="778" width="9.33203125" style="1614" bestFit="1" customWidth="1"/>
    <col min="779" max="779" width="4" style="1614" customWidth="1"/>
    <col min="780" max="780" width="5.109375" style="1614" customWidth="1"/>
    <col min="781" max="781" width="13.77734375" style="1614" customWidth="1"/>
    <col min="782" max="1024" width="9" style="1614"/>
    <col min="1025" max="1025" width="4.88671875" style="1614" customWidth="1"/>
    <col min="1026" max="1026" width="13.21875" style="1614" customWidth="1"/>
    <col min="1027" max="1027" width="15.6640625" style="1614" customWidth="1"/>
    <col min="1028" max="1028" width="9.33203125" style="1614" bestFit="1" customWidth="1"/>
    <col min="1029" max="1029" width="13.44140625" style="1614" customWidth="1"/>
    <col min="1030" max="1030" width="9" style="1614"/>
    <col min="1031" max="1031" width="9.33203125" style="1614" bestFit="1" customWidth="1"/>
    <col min="1032" max="1033" width="9" style="1614"/>
    <col min="1034" max="1034" width="9.33203125" style="1614" bestFit="1" customWidth="1"/>
    <col min="1035" max="1035" width="4" style="1614" customWidth="1"/>
    <col min="1036" max="1036" width="5.109375" style="1614" customWidth="1"/>
    <col min="1037" max="1037" width="13.77734375" style="1614" customWidth="1"/>
    <col min="1038" max="1280" width="9" style="1614"/>
    <col min="1281" max="1281" width="4.88671875" style="1614" customWidth="1"/>
    <col min="1282" max="1282" width="13.21875" style="1614" customWidth="1"/>
    <col min="1283" max="1283" width="15.6640625" style="1614" customWidth="1"/>
    <col min="1284" max="1284" width="9.33203125" style="1614" bestFit="1" customWidth="1"/>
    <col min="1285" max="1285" width="13.44140625" style="1614" customWidth="1"/>
    <col min="1286" max="1286" width="9" style="1614"/>
    <col min="1287" max="1287" width="9.33203125" style="1614" bestFit="1" customWidth="1"/>
    <col min="1288" max="1289" width="9" style="1614"/>
    <col min="1290" max="1290" width="9.33203125" style="1614" bestFit="1" customWidth="1"/>
    <col min="1291" max="1291" width="4" style="1614" customWidth="1"/>
    <col min="1292" max="1292" width="5.109375" style="1614" customWidth="1"/>
    <col min="1293" max="1293" width="13.77734375" style="1614" customWidth="1"/>
    <col min="1294" max="1536" width="9" style="1614"/>
    <col min="1537" max="1537" width="4.88671875" style="1614" customWidth="1"/>
    <col min="1538" max="1538" width="13.21875" style="1614" customWidth="1"/>
    <col min="1539" max="1539" width="15.6640625" style="1614" customWidth="1"/>
    <col min="1540" max="1540" width="9.33203125" style="1614" bestFit="1" customWidth="1"/>
    <col min="1541" max="1541" width="13.44140625" style="1614" customWidth="1"/>
    <col min="1542" max="1542" width="9" style="1614"/>
    <col min="1543" max="1543" width="9.33203125" style="1614" bestFit="1" customWidth="1"/>
    <col min="1544" max="1545" width="9" style="1614"/>
    <col min="1546" max="1546" width="9.33203125" style="1614" bestFit="1" customWidth="1"/>
    <col min="1547" max="1547" width="4" style="1614" customWidth="1"/>
    <col min="1548" max="1548" width="5.109375" style="1614" customWidth="1"/>
    <col min="1549" max="1549" width="13.77734375" style="1614" customWidth="1"/>
    <col min="1550" max="1792" width="9" style="1614"/>
    <col min="1793" max="1793" width="4.88671875" style="1614" customWidth="1"/>
    <col min="1794" max="1794" width="13.21875" style="1614" customWidth="1"/>
    <col min="1795" max="1795" width="15.6640625" style="1614" customWidth="1"/>
    <col min="1796" max="1796" width="9.33203125" style="1614" bestFit="1" customWidth="1"/>
    <col min="1797" max="1797" width="13.44140625" style="1614" customWidth="1"/>
    <col min="1798" max="1798" width="9" style="1614"/>
    <col min="1799" max="1799" width="9.33203125" style="1614" bestFit="1" customWidth="1"/>
    <col min="1800" max="1801" width="9" style="1614"/>
    <col min="1802" max="1802" width="9.33203125" style="1614" bestFit="1" customWidth="1"/>
    <col min="1803" max="1803" width="4" style="1614" customWidth="1"/>
    <col min="1804" max="1804" width="5.109375" style="1614" customWidth="1"/>
    <col min="1805" max="1805" width="13.77734375" style="1614" customWidth="1"/>
    <col min="1806" max="2048" width="9" style="1614"/>
    <col min="2049" max="2049" width="4.88671875" style="1614" customWidth="1"/>
    <col min="2050" max="2050" width="13.21875" style="1614" customWidth="1"/>
    <col min="2051" max="2051" width="15.6640625" style="1614" customWidth="1"/>
    <col min="2052" max="2052" width="9.33203125" style="1614" bestFit="1" customWidth="1"/>
    <col min="2053" max="2053" width="13.44140625" style="1614" customWidth="1"/>
    <col min="2054" max="2054" width="9" style="1614"/>
    <col min="2055" max="2055" width="9.33203125" style="1614" bestFit="1" customWidth="1"/>
    <col min="2056" max="2057" width="9" style="1614"/>
    <col min="2058" max="2058" width="9.33203125" style="1614" bestFit="1" customWidth="1"/>
    <col min="2059" max="2059" width="4" style="1614" customWidth="1"/>
    <col min="2060" max="2060" width="5.109375" style="1614" customWidth="1"/>
    <col min="2061" max="2061" width="13.77734375" style="1614" customWidth="1"/>
    <col min="2062" max="2304" width="9" style="1614"/>
    <col min="2305" max="2305" width="4.88671875" style="1614" customWidth="1"/>
    <col min="2306" max="2306" width="13.21875" style="1614" customWidth="1"/>
    <col min="2307" max="2307" width="15.6640625" style="1614" customWidth="1"/>
    <col min="2308" max="2308" width="9.33203125" style="1614" bestFit="1" customWidth="1"/>
    <col min="2309" max="2309" width="13.44140625" style="1614" customWidth="1"/>
    <col min="2310" max="2310" width="9" style="1614"/>
    <col min="2311" max="2311" width="9.33203125" style="1614" bestFit="1" customWidth="1"/>
    <col min="2312" max="2313" width="9" style="1614"/>
    <col min="2314" max="2314" width="9.33203125" style="1614" bestFit="1" customWidth="1"/>
    <col min="2315" max="2315" width="4" style="1614" customWidth="1"/>
    <col min="2316" max="2316" width="5.109375" style="1614" customWidth="1"/>
    <col min="2317" max="2317" width="13.77734375" style="1614" customWidth="1"/>
    <col min="2318" max="2560" width="9" style="1614"/>
    <col min="2561" max="2561" width="4.88671875" style="1614" customWidth="1"/>
    <col min="2562" max="2562" width="13.21875" style="1614" customWidth="1"/>
    <col min="2563" max="2563" width="15.6640625" style="1614" customWidth="1"/>
    <col min="2564" max="2564" width="9.33203125" style="1614" bestFit="1" customWidth="1"/>
    <col min="2565" max="2565" width="13.44140625" style="1614" customWidth="1"/>
    <col min="2566" max="2566" width="9" style="1614"/>
    <col min="2567" max="2567" width="9.33203125" style="1614" bestFit="1" customWidth="1"/>
    <col min="2568" max="2569" width="9" style="1614"/>
    <col min="2570" max="2570" width="9.33203125" style="1614" bestFit="1" customWidth="1"/>
    <col min="2571" max="2571" width="4" style="1614" customWidth="1"/>
    <col min="2572" max="2572" width="5.109375" style="1614" customWidth="1"/>
    <col min="2573" max="2573" width="13.77734375" style="1614" customWidth="1"/>
    <col min="2574" max="2816" width="9" style="1614"/>
    <col min="2817" max="2817" width="4.88671875" style="1614" customWidth="1"/>
    <col min="2818" max="2818" width="13.21875" style="1614" customWidth="1"/>
    <col min="2819" max="2819" width="15.6640625" style="1614" customWidth="1"/>
    <col min="2820" max="2820" width="9.33203125" style="1614" bestFit="1" customWidth="1"/>
    <col min="2821" max="2821" width="13.44140625" style="1614" customWidth="1"/>
    <col min="2822" max="2822" width="9" style="1614"/>
    <col min="2823" max="2823" width="9.33203125" style="1614" bestFit="1" customWidth="1"/>
    <col min="2824" max="2825" width="9" style="1614"/>
    <col min="2826" max="2826" width="9.33203125" style="1614" bestFit="1" customWidth="1"/>
    <col min="2827" max="2827" width="4" style="1614" customWidth="1"/>
    <col min="2828" max="2828" width="5.109375" style="1614" customWidth="1"/>
    <col min="2829" max="2829" width="13.77734375" style="1614" customWidth="1"/>
    <col min="2830" max="3072" width="9" style="1614"/>
    <col min="3073" max="3073" width="4.88671875" style="1614" customWidth="1"/>
    <col min="3074" max="3074" width="13.21875" style="1614" customWidth="1"/>
    <col min="3075" max="3075" width="15.6640625" style="1614" customWidth="1"/>
    <col min="3076" max="3076" width="9.33203125" style="1614" bestFit="1" customWidth="1"/>
    <col min="3077" max="3077" width="13.44140625" style="1614" customWidth="1"/>
    <col min="3078" max="3078" width="9" style="1614"/>
    <col min="3079" max="3079" width="9.33203125" style="1614" bestFit="1" customWidth="1"/>
    <col min="3080" max="3081" width="9" style="1614"/>
    <col min="3082" max="3082" width="9.33203125" style="1614" bestFit="1" customWidth="1"/>
    <col min="3083" max="3083" width="4" style="1614" customWidth="1"/>
    <col min="3084" max="3084" width="5.109375" style="1614" customWidth="1"/>
    <col min="3085" max="3085" width="13.77734375" style="1614" customWidth="1"/>
    <col min="3086" max="3328" width="9" style="1614"/>
    <col min="3329" max="3329" width="4.88671875" style="1614" customWidth="1"/>
    <col min="3330" max="3330" width="13.21875" style="1614" customWidth="1"/>
    <col min="3331" max="3331" width="15.6640625" style="1614" customWidth="1"/>
    <col min="3332" max="3332" width="9.33203125" style="1614" bestFit="1" customWidth="1"/>
    <col min="3333" max="3333" width="13.44140625" style="1614" customWidth="1"/>
    <col min="3334" max="3334" width="9" style="1614"/>
    <col min="3335" max="3335" width="9.33203125" style="1614" bestFit="1" customWidth="1"/>
    <col min="3336" max="3337" width="9" style="1614"/>
    <col min="3338" max="3338" width="9.33203125" style="1614" bestFit="1" customWidth="1"/>
    <col min="3339" max="3339" width="4" style="1614" customWidth="1"/>
    <col min="3340" max="3340" width="5.109375" style="1614" customWidth="1"/>
    <col min="3341" max="3341" width="13.77734375" style="1614" customWidth="1"/>
    <col min="3342" max="3584" width="9" style="1614"/>
    <col min="3585" max="3585" width="4.88671875" style="1614" customWidth="1"/>
    <col min="3586" max="3586" width="13.21875" style="1614" customWidth="1"/>
    <col min="3587" max="3587" width="15.6640625" style="1614" customWidth="1"/>
    <col min="3588" max="3588" width="9.33203125" style="1614" bestFit="1" customWidth="1"/>
    <col min="3589" max="3589" width="13.44140625" style="1614" customWidth="1"/>
    <col min="3590" max="3590" width="9" style="1614"/>
    <col min="3591" max="3591" width="9.33203125" style="1614" bestFit="1" customWidth="1"/>
    <col min="3592" max="3593" width="9" style="1614"/>
    <col min="3594" max="3594" width="9.33203125" style="1614" bestFit="1" customWidth="1"/>
    <col min="3595" max="3595" width="4" style="1614" customWidth="1"/>
    <col min="3596" max="3596" width="5.109375" style="1614" customWidth="1"/>
    <col min="3597" max="3597" width="13.77734375" style="1614" customWidth="1"/>
    <col min="3598" max="3840" width="9" style="1614"/>
    <col min="3841" max="3841" width="4.88671875" style="1614" customWidth="1"/>
    <col min="3842" max="3842" width="13.21875" style="1614" customWidth="1"/>
    <col min="3843" max="3843" width="15.6640625" style="1614" customWidth="1"/>
    <col min="3844" max="3844" width="9.33203125" style="1614" bestFit="1" customWidth="1"/>
    <col min="3845" max="3845" width="13.44140625" style="1614" customWidth="1"/>
    <col min="3846" max="3846" width="9" style="1614"/>
    <col min="3847" max="3847" width="9.33203125" style="1614" bestFit="1" customWidth="1"/>
    <col min="3848" max="3849" width="9" style="1614"/>
    <col min="3850" max="3850" width="9.33203125" style="1614" bestFit="1" customWidth="1"/>
    <col min="3851" max="3851" width="4" style="1614" customWidth="1"/>
    <col min="3852" max="3852" width="5.109375" style="1614" customWidth="1"/>
    <col min="3853" max="3853" width="13.77734375" style="1614" customWidth="1"/>
    <col min="3854" max="4096" width="9" style="1614"/>
    <col min="4097" max="4097" width="4.88671875" style="1614" customWidth="1"/>
    <col min="4098" max="4098" width="13.21875" style="1614" customWidth="1"/>
    <col min="4099" max="4099" width="15.6640625" style="1614" customWidth="1"/>
    <col min="4100" max="4100" width="9.33203125" style="1614" bestFit="1" customWidth="1"/>
    <col min="4101" max="4101" width="13.44140625" style="1614" customWidth="1"/>
    <col min="4102" max="4102" width="9" style="1614"/>
    <col min="4103" max="4103" width="9.33203125" style="1614" bestFit="1" customWidth="1"/>
    <col min="4104" max="4105" width="9" style="1614"/>
    <col min="4106" max="4106" width="9.33203125" style="1614" bestFit="1" customWidth="1"/>
    <col min="4107" max="4107" width="4" style="1614" customWidth="1"/>
    <col min="4108" max="4108" width="5.109375" style="1614" customWidth="1"/>
    <col min="4109" max="4109" width="13.77734375" style="1614" customWidth="1"/>
    <col min="4110" max="4352" width="9" style="1614"/>
    <col min="4353" max="4353" width="4.88671875" style="1614" customWidth="1"/>
    <col min="4354" max="4354" width="13.21875" style="1614" customWidth="1"/>
    <col min="4355" max="4355" width="15.6640625" style="1614" customWidth="1"/>
    <col min="4356" max="4356" width="9.33203125" style="1614" bestFit="1" customWidth="1"/>
    <col min="4357" max="4357" width="13.44140625" style="1614" customWidth="1"/>
    <col min="4358" max="4358" width="9" style="1614"/>
    <col min="4359" max="4359" width="9.33203125" style="1614" bestFit="1" customWidth="1"/>
    <col min="4360" max="4361" width="9" style="1614"/>
    <col min="4362" max="4362" width="9.33203125" style="1614" bestFit="1" customWidth="1"/>
    <col min="4363" max="4363" width="4" style="1614" customWidth="1"/>
    <col min="4364" max="4364" width="5.109375" style="1614" customWidth="1"/>
    <col min="4365" max="4365" width="13.77734375" style="1614" customWidth="1"/>
    <col min="4366" max="4608" width="9" style="1614"/>
    <col min="4609" max="4609" width="4.88671875" style="1614" customWidth="1"/>
    <col min="4610" max="4610" width="13.21875" style="1614" customWidth="1"/>
    <col min="4611" max="4611" width="15.6640625" style="1614" customWidth="1"/>
    <col min="4612" max="4612" width="9.33203125" style="1614" bestFit="1" customWidth="1"/>
    <col min="4613" max="4613" width="13.44140625" style="1614" customWidth="1"/>
    <col min="4614" max="4614" width="9" style="1614"/>
    <col min="4615" max="4615" width="9.33203125" style="1614" bestFit="1" customWidth="1"/>
    <col min="4616" max="4617" width="9" style="1614"/>
    <col min="4618" max="4618" width="9.33203125" style="1614" bestFit="1" customWidth="1"/>
    <col min="4619" max="4619" width="4" style="1614" customWidth="1"/>
    <col min="4620" max="4620" width="5.109375" style="1614" customWidth="1"/>
    <col min="4621" max="4621" width="13.77734375" style="1614" customWidth="1"/>
    <col min="4622" max="4864" width="9" style="1614"/>
    <col min="4865" max="4865" width="4.88671875" style="1614" customWidth="1"/>
    <col min="4866" max="4866" width="13.21875" style="1614" customWidth="1"/>
    <col min="4867" max="4867" width="15.6640625" style="1614" customWidth="1"/>
    <col min="4868" max="4868" width="9.33203125" style="1614" bestFit="1" customWidth="1"/>
    <col min="4869" max="4869" width="13.44140625" style="1614" customWidth="1"/>
    <col min="4870" max="4870" width="9" style="1614"/>
    <col min="4871" max="4871" width="9.33203125" style="1614" bestFit="1" customWidth="1"/>
    <col min="4872" max="4873" width="9" style="1614"/>
    <col min="4874" max="4874" width="9.33203125" style="1614" bestFit="1" customWidth="1"/>
    <col min="4875" max="4875" width="4" style="1614" customWidth="1"/>
    <col min="4876" max="4876" width="5.109375" style="1614" customWidth="1"/>
    <col min="4877" max="4877" width="13.77734375" style="1614" customWidth="1"/>
    <col min="4878" max="5120" width="9" style="1614"/>
    <col min="5121" max="5121" width="4.88671875" style="1614" customWidth="1"/>
    <col min="5122" max="5122" width="13.21875" style="1614" customWidth="1"/>
    <col min="5123" max="5123" width="15.6640625" style="1614" customWidth="1"/>
    <col min="5124" max="5124" width="9.33203125" style="1614" bestFit="1" customWidth="1"/>
    <col min="5125" max="5125" width="13.44140625" style="1614" customWidth="1"/>
    <col min="5126" max="5126" width="9" style="1614"/>
    <col min="5127" max="5127" width="9.33203125" style="1614" bestFit="1" customWidth="1"/>
    <col min="5128" max="5129" width="9" style="1614"/>
    <col min="5130" max="5130" width="9.33203125" style="1614" bestFit="1" customWidth="1"/>
    <col min="5131" max="5131" width="4" style="1614" customWidth="1"/>
    <col min="5132" max="5132" width="5.109375" style="1614" customWidth="1"/>
    <col min="5133" max="5133" width="13.77734375" style="1614" customWidth="1"/>
    <col min="5134" max="5376" width="9" style="1614"/>
    <col min="5377" max="5377" width="4.88671875" style="1614" customWidth="1"/>
    <col min="5378" max="5378" width="13.21875" style="1614" customWidth="1"/>
    <col min="5379" max="5379" width="15.6640625" style="1614" customWidth="1"/>
    <col min="5380" max="5380" width="9.33203125" style="1614" bestFit="1" customWidth="1"/>
    <col min="5381" max="5381" width="13.44140625" style="1614" customWidth="1"/>
    <col min="5382" max="5382" width="9" style="1614"/>
    <col min="5383" max="5383" width="9.33203125" style="1614" bestFit="1" customWidth="1"/>
    <col min="5384" max="5385" width="9" style="1614"/>
    <col min="5386" max="5386" width="9.33203125" style="1614" bestFit="1" customWidth="1"/>
    <col min="5387" max="5387" width="4" style="1614" customWidth="1"/>
    <col min="5388" max="5388" width="5.109375" style="1614" customWidth="1"/>
    <col min="5389" max="5389" width="13.77734375" style="1614" customWidth="1"/>
    <col min="5390" max="5632" width="9" style="1614"/>
    <col min="5633" max="5633" width="4.88671875" style="1614" customWidth="1"/>
    <col min="5634" max="5634" width="13.21875" style="1614" customWidth="1"/>
    <col min="5635" max="5635" width="15.6640625" style="1614" customWidth="1"/>
    <col min="5636" max="5636" width="9.33203125" style="1614" bestFit="1" customWidth="1"/>
    <col min="5637" max="5637" width="13.44140625" style="1614" customWidth="1"/>
    <col min="5638" max="5638" width="9" style="1614"/>
    <col min="5639" max="5639" width="9.33203125" style="1614" bestFit="1" customWidth="1"/>
    <col min="5640" max="5641" width="9" style="1614"/>
    <col min="5642" max="5642" width="9.33203125" style="1614" bestFit="1" customWidth="1"/>
    <col min="5643" max="5643" width="4" style="1614" customWidth="1"/>
    <col min="5644" max="5644" width="5.109375" style="1614" customWidth="1"/>
    <col min="5645" max="5645" width="13.77734375" style="1614" customWidth="1"/>
    <col min="5646" max="5888" width="9" style="1614"/>
    <col min="5889" max="5889" width="4.88671875" style="1614" customWidth="1"/>
    <col min="5890" max="5890" width="13.21875" style="1614" customWidth="1"/>
    <col min="5891" max="5891" width="15.6640625" style="1614" customWidth="1"/>
    <col min="5892" max="5892" width="9.33203125" style="1614" bestFit="1" customWidth="1"/>
    <col min="5893" max="5893" width="13.44140625" style="1614" customWidth="1"/>
    <col min="5894" max="5894" width="9" style="1614"/>
    <col min="5895" max="5895" width="9.33203125" style="1614" bestFit="1" customWidth="1"/>
    <col min="5896" max="5897" width="9" style="1614"/>
    <col min="5898" max="5898" width="9.33203125" style="1614" bestFit="1" customWidth="1"/>
    <col min="5899" max="5899" width="4" style="1614" customWidth="1"/>
    <col min="5900" max="5900" width="5.109375" style="1614" customWidth="1"/>
    <col min="5901" max="5901" width="13.77734375" style="1614" customWidth="1"/>
    <col min="5902" max="6144" width="9" style="1614"/>
    <col min="6145" max="6145" width="4.88671875" style="1614" customWidth="1"/>
    <col min="6146" max="6146" width="13.21875" style="1614" customWidth="1"/>
    <col min="6147" max="6147" width="15.6640625" style="1614" customWidth="1"/>
    <col min="6148" max="6148" width="9.33203125" style="1614" bestFit="1" customWidth="1"/>
    <col min="6149" max="6149" width="13.44140625" style="1614" customWidth="1"/>
    <col min="6150" max="6150" width="9" style="1614"/>
    <col min="6151" max="6151" width="9.33203125" style="1614" bestFit="1" customWidth="1"/>
    <col min="6152" max="6153" width="9" style="1614"/>
    <col min="6154" max="6154" width="9.33203125" style="1614" bestFit="1" customWidth="1"/>
    <col min="6155" max="6155" width="4" style="1614" customWidth="1"/>
    <col min="6156" max="6156" width="5.109375" style="1614" customWidth="1"/>
    <col min="6157" max="6157" width="13.77734375" style="1614" customWidth="1"/>
    <col min="6158" max="6400" width="9" style="1614"/>
    <col min="6401" max="6401" width="4.88671875" style="1614" customWidth="1"/>
    <col min="6402" max="6402" width="13.21875" style="1614" customWidth="1"/>
    <col min="6403" max="6403" width="15.6640625" style="1614" customWidth="1"/>
    <col min="6404" max="6404" width="9.33203125" style="1614" bestFit="1" customWidth="1"/>
    <col min="6405" max="6405" width="13.44140625" style="1614" customWidth="1"/>
    <col min="6406" max="6406" width="9" style="1614"/>
    <col min="6407" max="6407" width="9.33203125" style="1614" bestFit="1" customWidth="1"/>
    <col min="6408" max="6409" width="9" style="1614"/>
    <col min="6410" max="6410" width="9.33203125" style="1614" bestFit="1" customWidth="1"/>
    <col min="6411" max="6411" width="4" style="1614" customWidth="1"/>
    <col min="6412" max="6412" width="5.109375" style="1614" customWidth="1"/>
    <col min="6413" max="6413" width="13.77734375" style="1614" customWidth="1"/>
    <col min="6414" max="6656" width="9" style="1614"/>
    <col min="6657" max="6657" width="4.88671875" style="1614" customWidth="1"/>
    <col min="6658" max="6658" width="13.21875" style="1614" customWidth="1"/>
    <col min="6659" max="6659" width="15.6640625" style="1614" customWidth="1"/>
    <col min="6660" max="6660" width="9.33203125" style="1614" bestFit="1" customWidth="1"/>
    <col min="6661" max="6661" width="13.44140625" style="1614" customWidth="1"/>
    <col min="6662" max="6662" width="9" style="1614"/>
    <col min="6663" max="6663" width="9.33203125" style="1614" bestFit="1" customWidth="1"/>
    <col min="6664" max="6665" width="9" style="1614"/>
    <col min="6666" max="6666" width="9.33203125" style="1614" bestFit="1" customWidth="1"/>
    <col min="6667" max="6667" width="4" style="1614" customWidth="1"/>
    <col min="6668" max="6668" width="5.109375" style="1614" customWidth="1"/>
    <col min="6669" max="6669" width="13.77734375" style="1614" customWidth="1"/>
    <col min="6670" max="6912" width="9" style="1614"/>
    <col min="6913" max="6913" width="4.88671875" style="1614" customWidth="1"/>
    <col min="6914" max="6914" width="13.21875" style="1614" customWidth="1"/>
    <col min="6915" max="6915" width="15.6640625" style="1614" customWidth="1"/>
    <col min="6916" max="6916" width="9.33203125" style="1614" bestFit="1" customWidth="1"/>
    <col min="6917" max="6917" width="13.44140625" style="1614" customWidth="1"/>
    <col min="6918" max="6918" width="9" style="1614"/>
    <col min="6919" max="6919" width="9.33203125" style="1614" bestFit="1" customWidth="1"/>
    <col min="6920" max="6921" width="9" style="1614"/>
    <col min="6922" max="6922" width="9.33203125" style="1614" bestFit="1" customWidth="1"/>
    <col min="6923" max="6923" width="4" style="1614" customWidth="1"/>
    <col min="6924" max="6924" width="5.109375" style="1614" customWidth="1"/>
    <col min="6925" max="6925" width="13.77734375" style="1614" customWidth="1"/>
    <col min="6926" max="7168" width="9" style="1614"/>
    <col min="7169" max="7169" width="4.88671875" style="1614" customWidth="1"/>
    <col min="7170" max="7170" width="13.21875" style="1614" customWidth="1"/>
    <col min="7171" max="7171" width="15.6640625" style="1614" customWidth="1"/>
    <col min="7172" max="7172" width="9.33203125" style="1614" bestFit="1" customWidth="1"/>
    <col min="7173" max="7173" width="13.44140625" style="1614" customWidth="1"/>
    <col min="7174" max="7174" width="9" style="1614"/>
    <col min="7175" max="7175" width="9.33203125" style="1614" bestFit="1" customWidth="1"/>
    <col min="7176" max="7177" width="9" style="1614"/>
    <col min="7178" max="7178" width="9.33203125" style="1614" bestFit="1" customWidth="1"/>
    <col min="7179" max="7179" width="4" style="1614" customWidth="1"/>
    <col min="7180" max="7180" width="5.109375" style="1614" customWidth="1"/>
    <col min="7181" max="7181" width="13.77734375" style="1614" customWidth="1"/>
    <col min="7182" max="7424" width="9" style="1614"/>
    <col min="7425" max="7425" width="4.88671875" style="1614" customWidth="1"/>
    <col min="7426" max="7426" width="13.21875" style="1614" customWidth="1"/>
    <col min="7427" max="7427" width="15.6640625" style="1614" customWidth="1"/>
    <col min="7428" max="7428" width="9.33203125" style="1614" bestFit="1" customWidth="1"/>
    <col min="7429" max="7429" width="13.44140625" style="1614" customWidth="1"/>
    <col min="7430" max="7430" width="9" style="1614"/>
    <col min="7431" max="7431" width="9.33203125" style="1614" bestFit="1" customWidth="1"/>
    <col min="7432" max="7433" width="9" style="1614"/>
    <col min="7434" max="7434" width="9.33203125" style="1614" bestFit="1" customWidth="1"/>
    <col min="7435" max="7435" width="4" style="1614" customWidth="1"/>
    <col min="7436" max="7436" width="5.109375" style="1614" customWidth="1"/>
    <col min="7437" max="7437" width="13.77734375" style="1614" customWidth="1"/>
    <col min="7438" max="7680" width="9" style="1614"/>
    <col min="7681" max="7681" width="4.88671875" style="1614" customWidth="1"/>
    <col min="7682" max="7682" width="13.21875" style="1614" customWidth="1"/>
    <col min="7683" max="7683" width="15.6640625" style="1614" customWidth="1"/>
    <col min="7684" max="7684" width="9.33203125" style="1614" bestFit="1" customWidth="1"/>
    <col min="7685" max="7685" width="13.44140625" style="1614" customWidth="1"/>
    <col min="7686" max="7686" width="9" style="1614"/>
    <col min="7687" max="7687" width="9.33203125" style="1614" bestFit="1" customWidth="1"/>
    <col min="7688" max="7689" width="9" style="1614"/>
    <col min="7690" max="7690" width="9.33203125" style="1614" bestFit="1" customWidth="1"/>
    <col min="7691" max="7691" width="4" style="1614" customWidth="1"/>
    <col min="7692" max="7692" width="5.109375" style="1614" customWidth="1"/>
    <col min="7693" max="7693" width="13.77734375" style="1614" customWidth="1"/>
    <col min="7694" max="7936" width="9" style="1614"/>
    <col min="7937" max="7937" width="4.88671875" style="1614" customWidth="1"/>
    <col min="7938" max="7938" width="13.21875" style="1614" customWidth="1"/>
    <col min="7939" max="7939" width="15.6640625" style="1614" customWidth="1"/>
    <col min="7940" max="7940" width="9.33203125" style="1614" bestFit="1" customWidth="1"/>
    <col min="7941" max="7941" width="13.44140625" style="1614" customWidth="1"/>
    <col min="7942" max="7942" width="9" style="1614"/>
    <col min="7943" max="7943" width="9.33203125" style="1614" bestFit="1" customWidth="1"/>
    <col min="7944" max="7945" width="9" style="1614"/>
    <col min="7946" max="7946" width="9.33203125" style="1614" bestFit="1" customWidth="1"/>
    <col min="7947" max="7947" width="4" style="1614" customWidth="1"/>
    <col min="7948" max="7948" width="5.109375" style="1614" customWidth="1"/>
    <col min="7949" max="7949" width="13.77734375" style="1614" customWidth="1"/>
    <col min="7950" max="8192" width="9" style="1614"/>
    <col min="8193" max="8193" width="4.88671875" style="1614" customWidth="1"/>
    <col min="8194" max="8194" width="13.21875" style="1614" customWidth="1"/>
    <col min="8195" max="8195" width="15.6640625" style="1614" customWidth="1"/>
    <col min="8196" max="8196" width="9.33203125" style="1614" bestFit="1" customWidth="1"/>
    <col min="8197" max="8197" width="13.44140625" style="1614" customWidth="1"/>
    <col min="8198" max="8198" width="9" style="1614"/>
    <col min="8199" max="8199" width="9.33203125" style="1614" bestFit="1" customWidth="1"/>
    <col min="8200" max="8201" width="9" style="1614"/>
    <col min="8202" max="8202" width="9.33203125" style="1614" bestFit="1" customWidth="1"/>
    <col min="8203" max="8203" width="4" style="1614" customWidth="1"/>
    <col min="8204" max="8204" width="5.109375" style="1614" customWidth="1"/>
    <col min="8205" max="8205" width="13.77734375" style="1614" customWidth="1"/>
    <col min="8206" max="8448" width="9" style="1614"/>
    <col min="8449" max="8449" width="4.88671875" style="1614" customWidth="1"/>
    <col min="8450" max="8450" width="13.21875" style="1614" customWidth="1"/>
    <col min="8451" max="8451" width="15.6640625" style="1614" customWidth="1"/>
    <col min="8452" max="8452" width="9.33203125" style="1614" bestFit="1" customWidth="1"/>
    <col min="8453" max="8453" width="13.44140625" style="1614" customWidth="1"/>
    <col min="8454" max="8454" width="9" style="1614"/>
    <col min="8455" max="8455" width="9.33203125" style="1614" bestFit="1" customWidth="1"/>
    <col min="8456" max="8457" width="9" style="1614"/>
    <col min="8458" max="8458" width="9.33203125" style="1614" bestFit="1" customWidth="1"/>
    <col min="8459" max="8459" width="4" style="1614" customWidth="1"/>
    <col min="8460" max="8460" width="5.109375" style="1614" customWidth="1"/>
    <col min="8461" max="8461" width="13.77734375" style="1614" customWidth="1"/>
    <col min="8462" max="8704" width="9" style="1614"/>
    <col min="8705" max="8705" width="4.88671875" style="1614" customWidth="1"/>
    <col min="8706" max="8706" width="13.21875" style="1614" customWidth="1"/>
    <col min="8707" max="8707" width="15.6640625" style="1614" customWidth="1"/>
    <col min="8708" max="8708" width="9.33203125" style="1614" bestFit="1" customWidth="1"/>
    <col min="8709" max="8709" width="13.44140625" style="1614" customWidth="1"/>
    <col min="8710" max="8710" width="9" style="1614"/>
    <col min="8711" max="8711" width="9.33203125" style="1614" bestFit="1" customWidth="1"/>
    <col min="8712" max="8713" width="9" style="1614"/>
    <col min="8714" max="8714" width="9.33203125" style="1614" bestFit="1" customWidth="1"/>
    <col min="8715" max="8715" width="4" style="1614" customWidth="1"/>
    <col min="8716" max="8716" width="5.109375" style="1614" customWidth="1"/>
    <col min="8717" max="8717" width="13.77734375" style="1614" customWidth="1"/>
    <col min="8718" max="8960" width="9" style="1614"/>
    <col min="8961" max="8961" width="4.88671875" style="1614" customWidth="1"/>
    <col min="8962" max="8962" width="13.21875" style="1614" customWidth="1"/>
    <col min="8963" max="8963" width="15.6640625" style="1614" customWidth="1"/>
    <col min="8964" max="8964" width="9.33203125" style="1614" bestFit="1" customWidth="1"/>
    <col min="8965" max="8965" width="13.44140625" style="1614" customWidth="1"/>
    <col min="8966" max="8966" width="9" style="1614"/>
    <col min="8967" max="8967" width="9.33203125" style="1614" bestFit="1" customWidth="1"/>
    <col min="8968" max="8969" width="9" style="1614"/>
    <col min="8970" max="8970" width="9.33203125" style="1614" bestFit="1" customWidth="1"/>
    <col min="8971" max="8971" width="4" style="1614" customWidth="1"/>
    <col min="8972" max="8972" width="5.109375" style="1614" customWidth="1"/>
    <col min="8973" max="8973" width="13.77734375" style="1614" customWidth="1"/>
    <col min="8974" max="9216" width="9" style="1614"/>
    <col min="9217" max="9217" width="4.88671875" style="1614" customWidth="1"/>
    <col min="9218" max="9218" width="13.21875" style="1614" customWidth="1"/>
    <col min="9219" max="9219" width="15.6640625" style="1614" customWidth="1"/>
    <col min="9220" max="9220" width="9.33203125" style="1614" bestFit="1" customWidth="1"/>
    <col min="9221" max="9221" width="13.44140625" style="1614" customWidth="1"/>
    <col min="9222" max="9222" width="9" style="1614"/>
    <col min="9223" max="9223" width="9.33203125" style="1614" bestFit="1" customWidth="1"/>
    <col min="9224" max="9225" width="9" style="1614"/>
    <col min="9226" max="9226" width="9.33203125" style="1614" bestFit="1" customWidth="1"/>
    <col min="9227" max="9227" width="4" style="1614" customWidth="1"/>
    <col min="9228" max="9228" width="5.109375" style="1614" customWidth="1"/>
    <col min="9229" max="9229" width="13.77734375" style="1614" customWidth="1"/>
    <col min="9230" max="9472" width="9" style="1614"/>
    <col min="9473" max="9473" width="4.88671875" style="1614" customWidth="1"/>
    <col min="9474" max="9474" width="13.21875" style="1614" customWidth="1"/>
    <col min="9475" max="9475" width="15.6640625" style="1614" customWidth="1"/>
    <col min="9476" max="9476" width="9.33203125" style="1614" bestFit="1" customWidth="1"/>
    <col min="9477" max="9477" width="13.44140625" style="1614" customWidth="1"/>
    <col min="9478" max="9478" width="9" style="1614"/>
    <col min="9479" max="9479" width="9.33203125" style="1614" bestFit="1" customWidth="1"/>
    <col min="9480" max="9481" width="9" style="1614"/>
    <col min="9482" max="9482" width="9.33203125" style="1614" bestFit="1" customWidth="1"/>
    <col min="9483" max="9483" width="4" style="1614" customWidth="1"/>
    <col min="9484" max="9484" width="5.109375" style="1614" customWidth="1"/>
    <col min="9485" max="9485" width="13.77734375" style="1614" customWidth="1"/>
    <col min="9486" max="9728" width="9" style="1614"/>
    <col min="9729" max="9729" width="4.88671875" style="1614" customWidth="1"/>
    <col min="9730" max="9730" width="13.21875" style="1614" customWidth="1"/>
    <col min="9731" max="9731" width="15.6640625" style="1614" customWidth="1"/>
    <col min="9732" max="9732" width="9.33203125" style="1614" bestFit="1" customWidth="1"/>
    <col min="9733" max="9733" width="13.44140625" style="1614" customWidth="1"/>
    <col min="9734" max="9734" width="9" style="1614"/>
    <col min="9735" max="9735" width="9.33203125" style="1614" bestFit="1" customWidth="1"/>
    <col min="9736" max="9737" width="9" style="1614"/>
    <col min="9738" max="9738" width="9.33203125" style="1614" bestFit="1" customWidth="1"/>
    <col min="9739" max="9739" width="4" style="1614" customWidth="1"/>
    <col min="9740" max="9740" width="5.109375" style="1614" customWidth="1"/>
    <col min="9741" max="9741" width="13.77734375" style="1614" customWidth="1"/>
    <col min="9742" max="9984" width="9" style="1614"/>
    <col min="9985" max="9985" width="4.88671875" style="1614" customWidth="1"/>
    <col min="9986" max="9986" width="13.21875" style="1614" customWidth="1"/>
    <col min="9987" max="9987" width="15.6640625" style="1614" customWidth="1"/>
    <col min="9988" max="9988" width="9.33203125" style="1614" bestFit="1" customWidth="1"/>
    <col min="9989" max="9989" width="13.44140625" style="1614" customWidth="1"/>
    <col min="9990" max="9990" width="9" style="1614"/>
    <col min="9991" max="9991" width="9.33203125" style="1614" bestFit="1" customWidth="1"/>
    <col min="9992" max="9993" width="9" style="1614"/>
    <col min="9994" max="9994" width="9.33203125" style="1614" bestFit="1" customWidth="1"/>
    <col min="9995" max="9995" width="4" style="1614" customWidth="1"/>
    <col min="9996" max="9996" width="5.109375" style="1614" customWidth="1"/>
    <col min="9997" max="9997" width="13.77734375" style="1614" customWidth="1"/>
    <col min="9998" max="10240" width="9" style="1614"/>
    <col min="10241" max="10241" width="4.88671875" style="1614" customWidth="1"/>
    <col min="10242" max="10242" width="13.21875" style="1614" customWidth="1"/>
    <col min="10243" max="10243" width="15.6640625" style="1614" customWidth="1"/>
    <col min="10244" max="10244" width="9.33203125" style="1614" bestFit="1" customWidth="1"/>
    <col min="10245" max="10245" width="13.44140625" style="1614" customWidth="1"/>
    <col min="10246" max="10246" width="9" style="1614"/>
    <col min="10247" max="10247" width="9.33203125" style="1614" bestFit="1" customWidth="1"/>
    <col min="10248" max="10249" width="9" style="1614"/>
    <col min="10250" max="10250" width="9.33203125" style="1614" bestFit="1" customWidth="1"/>
    <col min="10251" max="10251" width="4" style="1614" customWidth="1"/>
    <col min="10252" max="10252" width="5.109375" style="1614" customWidth="1"/>
    <col min="10253" max="10253" width="13.77734375" style="1614" customWidth="1"/>
    <col min="10254" max="10496" width="9" style="1614"/>
    <col min="10497" max="10497" width="4.88671875" style="1614" customWidth="1"/>
    <col min="10498" max="10498" width="13.21875" style="1614" customWidth="1"/>
    <col min="10499" max="10499" width="15.6640625" style="1614" customWidth="1"/>
    <col min="10500" max="10500" width="9.33203125" style="1614" bestFit="1" customWidth="1"/>
    <col min="10501" max="10501" width="13.44140625" style="1614" customWidth="1"/>
    <col min="10502" max="10502" width="9" style="1614"/>
    <col min="10503" max="10503" width="9.33203125" style="1614" bestFit="1" customWidth="1"/>
    <col min="10504" max="10505" width="9" style="1614"/>
    <col min="10506" max="10506" width="9.33203125" style="1614" bestFit="1" customWidth="1"/>
    <col min="10507" max="10507" width="4" style="1614" customWidth="1"/>
    <col min="10508" max="10508" width="5.109375" style="1614" customWidth="1"/>
    <col min="10509" max="10509" width="13.77734375" style="1614" customWidth="1"/>
    <col min="10510" max="10752" width="9" style="1614"/>
    <col min="10753" max="10753" width="4.88671875" style="1614" customWidth="1"/>
    <col min="10754" max="10754" width="13.21875" style="1614" customWidth="1"/>
    <col min="10755" max="10755" width="15.6640625" style="1614" customWidth="1"/>
    <col min="10756" max="10756" width="9.33203125" style="1614" bestFit="1" customWidth="1"/>
    <col min="10757" max="10757" width="13.44140625" style="1614" customWidth="1"/>
    <col min="10758" max="10758" width="9" style="1614"/>
    <col min="10759" max="10759" width="9.33203125" style="1614" bestFit="1" customWidth="1"/>
    <col min="10760" max="10761" width="9" style="1614"/>
    <col min="10762" max="10762" width="9.33203125" style="1614" bestFit="1" customWidth="1"/>
    <col min="10763" max="10763" width="4" style="1614" customWidth="1"/>
    <col min="10764" max="10764" width="5.109375" style="1614" customWidth="1"/>
    <col min="10765" max="10765" width="13.77734375" style="1614" customWidth="1"/>
    <col min="10766" max="11008" width="9" style="1614"/>
    <col min="11009" max="11009" width="4.88671875" style="1614" customWidth="1"/>
    <col min="11010" max="11010" width="13.21875" style="1614" customWidth="1"/>
    <col min="11011" max="11011" width="15.6640625" style="1614" customWidth="1"/>
    <col min="11012" max="11012" width="9.33203125" style="1614" bestFit="1" customWidth="1"/>
    <col min="11013" max="11013" width="13.44140625" style="1614" customWidth="1"/>
    <col min="11014" max="11014" width="9" style="1614"/>
    <col min="11015" max="11015" width="9.33203125" style="1614" bestFit="1" customWidth="1"/>
    <col min="11016" max="11017" width="9" style="1614"/>
    <col min="11018" max="11018" width="9.33203125" style="1614" bestFit="1" customWidth="1"/>
    <col min="11019" max="11019" width="4" style="1614" customWidth="1"/>
    <col min="11020" max="11020" width="5.109375" style="1614" customWidth="1"/>
    <col min="11021" max="11021" width="13.77734375" style="1614" customWidth="1"/>
    <col min="11022" max="11264" width="9" style="1614"/>
    <col min="11265" max="11265" width="4.88671875" style="1614" customWidth="1"/>
    <col min="11266" max="11266" width="13.21875" style="1614" customWidth="1"/>
    <col min="11267" max="11267" width="15.6640625" style="1614" customWidth="1"/>
    <col min="11268" max="11268" width="9.33203125" style="1614" bestFit="1" customWidth="1"/>
    <col min="11269" max="11269" width="13.44140625" style="1614" customWidth="1"/>
    <col min="11270" max="11270" width="9" style="1614"/>
    <col min="11271" max="11271" width="9.33203125" style="1614" bestFit="1" customWidth="1"/>
    <col min="11272" max="11273" width="9" style="1614"/>
    <col min="11274" max="11274" width="9.33203125" style="1614" bestFit="1" customWidth="1"/>
    <col min="11275" max="11275" width="4" style="1614" customWidth="1"/>
    <col min="11276" max="11276" width="5.109375" style="1614" customWidth="1"/>
    <col min="11277" max="11277" width="13.77734375" style="1614" customWidth="1"/>
    <col min="11278" max="11520" width="9" style="1614"/>
    <col min="11521" max="11521" width="4.88671875" style="1614" customWidth="1"/>
    <col min="11522" max="11522" width="13.21875" style="1614" customWidth="1"/>
    <col min="11523" max="11523" width="15.6640625" style="1614" customWidth="1"/>
    <col min="11524" max="11524" width="9.33203125" style="1614" bestFit="1" customWidth="1"/>
    <col min="11525" max="11525" width="13.44140625" style="1614" customWidth="1"/>
    <col min="11526" max="11526" width="9" style="1614"/>
    <col min="11527" max="11527" width="9.33203125" style="1614" bestFit="1" customWidth="1"/>
    <col min="11528" max="11529" width="9" style="1614"/>
    <col min="11530" max="11530" width="9.33203125" style="1614" bestFit="1" customWidth="1"/>
    <col min="11531" max="11531" width="4" style="1614" customWidth="1"/>
    <col min="11532" max="11532" width="5.109375" style="1614" customWidth="1"/>
    <col min="11533" max="11533" width="13.77734375" style="1614" customWidth="1"/>
    <col min="11534" max="11776" width="9" style="1614"/>
    <col min="11777" max="11777" width="4.88671875" style="1614" customWidth="1"/>
    <col min="11778" max="11778" width="13.21875" style="1614" customWidth="1"/>
    <col min="11779" max="11779" width="15.6640625" style="1614" customWidth="1"/>
    <col min="11780" max="11780" width="9.33203125" style="1614" bestFit="1" customWidth="1"/>
    <col min="11781" max="11781" width="13.44140625" style="1614" customWidth="1"/>
    <col min="11782" max="11782" width="9" style="1614"/>
    <col min="11783" max="11783" width="9.33203125" style="1614" bestFit="1" customWidth="1"/>
    <col min="11784" max="11785" width="9" style="1614"/>
    <col min="11786" max="11786" width="9.33203125" style="1614" bestFit="1" customWidth="1"/>
    <col min="11787" max="11787" width="4" style="1614" customWidth="1"/>
    <col min="11788" max="11788" width="5.109375" style="1614" customWidth="1"/>
    <col min="11789" max="11789" width="13.77734375" style="1614" customWidth="1"/>
    <col min="11790" max="12032" width="9" style="1614"/>
    <col min="12033" max="12033" width="4.88671875" style="1614" customWidth="1"/>
    <col min="12034" max="12034" width="13.21875" style="1614" customWidth="1"/>
    <col min="12035" max="12035" width="15.6640625" style="1614" customWidth="1"/>
    <col min="12036" max="12036" width="9.33203125" style="1614" bestFit="1" customWidth="1"/>
    <col min="12037" max="12037" width="13.44140625" style="1614" customWidth="1"/>
    <col min="12038" max="12038" width="9" style="1614"/>
    <col min="12039" max="12039" width="9.33203125" style="1614" bestFit="1" customWidth="1"/>
    <col min="12040" max="12041" width="9" style="1614"/>
    <col min="12042" max="12042" width="9.33203125" style="1614" bestFit="1" customWidth="1"/>
    <col min="12043" max="12043" width="4" style="1614" customWidth="1"/>
    <col min="12044" max="12044" width="5.109375" style="1614" customWidth="1"/>
    <col min="12045" max="12045" width="13.77734375" style="1614" customWidth="1"/>
    <col min="12046" max="12288" width="9" style="1614"/>
    <col min="12289" max="12289" width="4.88671875" style="1614" customWidth="1"/>
    <col min="12290" max="12290" width="13.21875" style="1614" customWidth="1"/>
    <col min="12291" max="12291" width="15.6640625" style="1614" customWidth="1"/>
    <col min="12292" max="12292" width="9.33203125" style="1614" bestFit="1" customWidth="1"/>
    <col min="12293" max="12293" width="13.44140625" style="1614" customWidth="1"/>
    <col min="12294" max="12294" width="9" style="1614"/>
    <col min="12295" max="12295" width="9.33203125" style="1614" bestFit="1" customWidth="1"/>
    <col min="12296" max="12297" width="9" style="1614"/>
    <col min="12298" max="12298" width="9.33203125" style="1614" bestFit="1" customWidth="1"/>
    <col min="12299" max="12299" width="4" style="1614" customWidth="1"/>
    <col min="12300" max="12300" width="5.109375" style="1614" customWidth="1"/>
    <col min="12301" max="12301" width="13.77734375" style="1614" customWidth="1"/>
    <col min="12302" max="12544" width="9" style="1614"/>
    <col min="12545" max="12545" width="4.88671875" style="1614" customWidth="1"/>
    <col min="12546" max="12546" width="13.21875" style="1614" customWidth="1"/>
    <col min="12547" max="12547" width="15.6640625" style="1614" customWidth="1"/>
    <col min="12548" max="12548" width="9.33203125" style="1614" bestFit="1" customWidth="1"/>
    <col min="12549" max="12549" width="13.44140625" style="1614" customWidth="1"/>
    <col min="12550" max="12550" width="9" style="1614"/>
    <col min="12551" max="12551" width="9.33203125" style="1614" bestFit="1" customWidth="1"/>
    <col min="12552" max="12553" width="9" style="1614"/>
    <col min="12554" max="12554" width="9.33203125" style="1614" bestFit="1" customWidth="1"/>
    <col min="12555" max="12555" width="4" style="1614" customWidth="1"/>
    <col min="12556" max="12556" width="5.109375" style="1614" customWidth="1"/>
    <col min="12557" max="12557" width="13.77734375" style="1614" customWidth="1"/>
    <col min="12558" max="12800" width="9" style="1614"/>
    <col min="12801" max="12801" width="4.88671875" style="1614" customWidth="1"/>
    <col min="12802" max="12802" width="13.21875" style="1614" customWidth="1"/>
    <col min="12803" max="12803" width="15.6640625" style="1614" customWidth="1"/>
    <col min="12804" max="12804" width="9.33203125" style="1614" bestFit="1" customWidth="1"/>
    <col min="12805" max="12805" width="13.44140625" style="1614" customWidth="1"/>
    <col min="12806" max="12806" width="9" style="1614"/>
    <col min="12807" max="12807" width="9.33203125" style="1614" bestFit="1" customWidth="1"/>
    <col min="12808" max="12809" width="9" style="1614"/>
    <col min="12810" max="12810" width="9.33203125" style="1614" bestFit="1" customWidth="1"/>
    <col min="12811" max="12811" width="4" style="1614" customWidth="1"/>
    <col min="12812" max="12812" width="5.109375" style="1614" customWidth="1"/>
    <col min="12813" max="12813" width="13.77734375" style="1614" customWidth="1"/>
    <col min="12814" max="13056" width="9" style="1614"/>
    <col min="13057" max="13057" width="4.88671875" style="1614" customWidth="1"/>
    <col min="13058" max="13058" width="13.21875" style="1614" customWidth="1"/>
    <col min="13059" max="13059" width="15.6640625" style="1614" customWidth="1"/>
    <col min="13060" max="13060" width="9.33203125" style="1614" bestFit="1" customWidth="1"/>
    <col min="13061" max="13061" width="13.44140625" style="1614" customWidth="1"/>
    <col min="13062" max="13062" width="9" style="1614"/>
    <col min="13063" max="13063" width="9.33203125" style="1614" bestFit="1" customWidth="1"/>
    <col min="13064" max="13065" width="9" style="1614"/>
    <col min="13066" max="13066" width="9.33203125" style="1614" bestFit="1" customWidth="1"/>
    <col min="13067" max="13067" width="4" style="1614" customWidth="1"/>
    <col min="13068" max="13068" width="5.109375" style="1614" customWidth="1"/>
    <col min="13069" max="13069" width="13.77734375" style="1614" customWidth="1"/>
    <col min="13070" max="13312" width="9" style="1614"/>
    <col min="13313" max="13313" width="4.88671875" style="1614" customWidth="1"/>
    <col min="13314" max="13314" width="13.21875" style="1614" customWidth="1"/>
    <col min="13315" max="13315" width="15.6640625" style="1614" customWidth="1"/>
    <col min="13316" max="13316" width="9.33203125" style="1614" bestFit="1" customWidth="1"/>
    <col min="13317" max="13317" width="13.44140625" style="1614" customWidth="1"/>
    <col min="13318" max="13318" width="9" style="1614"/>
    <col min="13319" max="13319" width="9.33203125" style="1614" bestFit="1" customWidth="1"/>
    <col min="13320" max="13321" width="9" style="1614"/>
    <col min="13322" max="13322" width="9.33203125" style="1614" bestFit="1" customWidth="1"/>
    <col min="13323" max="13323" width="4" style="1614" customWidth="1"/>
    <col min="13324" max="13324" width="5.109375" style="1614" customWidth="1"/>
    <col min="13325" max="13325" width="13.77734375" style="1614" customWidth="1"/>
    <col min="13326" max="13568" width="9" style="1614"/>
    <col min="13569" max="13569" width="4.88671875" style="1614" customWidth="1"/>
    <col min="13570" max="13570" width="13.21875" style="1614" customWidth="1"/>
    <col min="13571" max="13571" width="15.6640625" style="1614" customWidth="1"/>
    <col min="13572" max="13572" width="9.33203125" style="1614" bestFit="1" customWidth="1"/>
    <col min="13573" max="13573" width="13.44140625" style="1614" customWidth="1"/>
    <col min="13574" max="13574" width="9" style="1614"/>
    <col min="13575" max="13575" width="9.33203125" style="1614" bestFit="1" customWidth="1"/>
    <col min="13576" max="13577" width="9" style="1614"/>
    <col min="13578" max="13578" width="9.33203125" style="1614" bestFit="1" customWidth="1"/>
    <col min="13579" max="13579" width="4" style="1614" customWidth="1"/>
    <col min="13580" max="13580" width="5.109375" style="1614" customWidth="1"/>
    <col min="13581" max="13581" width="13.77734375" style="1614" customWidth="1"/>
    <col min="13582" max="13824" width="9" style="1614"/>
    <col min="13825" max="13825" width="4.88671875" style="1614" customWidth="1"/>
    <col min="13826" max="13826" width="13.21875" style="1614" customWidth="1"/>
    <col min="13827" max="13827" width="15.6640625" style="1614" customWidth="1"/>
    <col min="13828" max="13828" width="9.33203125" style="1614" bestFit="1" customWidth="1"/>
    <col min="13829" max="13829" width="13.44140625" style="1614" customWidth="1"/>
    <col min="13830" max="13830" width="9" style="1614"/>
    <col min="13831" max="13831" width="9.33203125" style="1614" bestFit="1" customWidth="1"/>
    <col min="13832" max="13833" width="9" style="1614"/>
    <col min="13834" max="13834" width="9.33203125" style="1614" bestFit="1" customWidth="1"/>
    <col min="13835" max="13835" width="4" style="1614" customWidth="1"/>
    <col min="13836" max="13836" width="5.109375" style="1614" customWidth="1"/>
    <col min="13837" max="13837" width="13.77734375" style="1614" customWidth="1"/>
    <col min="13838" max="14080" width="9" style="1614"/>
    <col min="14081" max="14081" width="4.88671875" style="1614" customWidth="1"/>
    <col min="14082" max="14082" width="13.21875" style="1614" customWidth="1"/>
    <col min="14083" max="14083" width="15.6640625" style="1614" customWidth="1"/>
    <col min="14084" max="14084" width="9.33203125" style="1614" bestFit="1" customWidth="1"/>
    <col min="14085" max="14085" width="13.44140625" style="1614" customWidth="1"/>
    <col min="14086" max="14086" width="9" style="1614"/>
    <col min="14087" max="14087" width="9.33203125" style="1614" bestFit="1" customWidth="1"/>
    <col min="14088" max="14089" width="9" style="1614"/>
    <col min="14090" max="14090" width="9.33203125" style="1614" bestFit="1" customWidth="1"/>
    <col min="14091" max="14091" width="4" style="1614" customWidth="1"/>
    <col min="14092" max="14092" width="5.109375" style="1614" customWidth="1"/>
    <col min="14093" max="14093" width="13.77734375" style="1614" customWidth="1"/>
    <col min="14094" max="14336" width="9" style="1614"/>
    <col min="14337" max="14337" width="4.88671875" style="1614" customWidth="1"/>
    <col min="14338" max="14338" width="13.21875" style="1614" customWidth="1"/>
    <col min="14339" max="14339" width="15.6640625" style="1614" customWidth="1"/>
    <col min="14340" max="14340" width="9.33203125" style="1614" bestFit="1" customWidth="1"/>
    <col min="14341" max="14341" width="13.44140625" style="1614" customWidth="1"/>
    <col min="14342" max="14342" width="9" style="1614"/>
    <col min="14343" max="14343" width="9.33203125" style="1614" bestFit="1" customWidth="1"/>
    <col min="14344" max="14345" width="9" style="1614"/>
    <col min="14346" max="14346" width="9.33203125" style="1614" bestFit="1" customWidth="1"/>
    <col min="14347" max="14347" width="4" style="1614" customWidth="1"/>
    <col min="14348" max="14348" width="5.109375" style="1614" customWidth="1"/>
    <col min="14349" max="14349" width="13.77734375" style="1614" customWidth="1"/>
    <col min="14350" max="14592" width="9" style="1614"/>
    <col min="14593" max="14593" width="4.88671875" style="1614" customWidth="1"/>
    <col min="14594" max="14594" width="13.21875" style="1614" customWidth="1"/>
    <col min="14595" max="14595" width="15.6640625" style="1614" customWidth="1"/>
    <col min="14596" max="14596" width="9.33203125" style="1614" bestFit="1" customWidth="1"/>
    <col min="14597" max="14597" width="13.44140625" style="1614" customWidth="1"/>
    <col min="14598" max="14598" width="9" style="1614"/>
    <col min="14599" max="14599" width="9.33203125" style="1614" bestFit="1" customWidth="1"/>
    <col min="14600" max="14601" width="9" style="1614"/>
    <col min="14602" max="14602" width="9.33203125" style="1614" bestFit="1" customWidth="1"/>
    <col min="14603" max="14603" width="4" style="1614" customWidth="1"/>
    <col min="14604" max="14604" width="5.109375" style="1614" customWidth="1"/>
    <col min="14605" max="14605" width="13.77734375" style="1614" customWidth="1"/>
    <col min="14606" max="14848" width="9" style="1614"/>
    <col min="14849" max="14849" width="4.88671875" style="1614" customWidth="1"/>
    <col min="14850" max="14850" width="13.21875" style="1614" customWidth="1"/>
    <col min="14851" max="14851" width="15.6640625" style="1614" customWidth="1"/>
    <col min="14852" max="14852" width="9.33203125" style="1614" bestFit="1" customWidth="1"/>
    <col min="14853" max="14853" width="13.44140625" style="1614" customWidth="1"/>
    <col min="14854" max="14854" width="9" style="1614"/>
    <col min="14855" max="14855" width="9.33203125" style="1614" bestFit="1" customWidth="1"/>
    <col min="14856" max="14857" width="9" style="1614"/>
    <col min="14858" max="14858" width="9.33203125" style="1614" bestFit="1" customWidth="1"/>
    <col min="14859" max="14859" width="4" style="1614" customWidth="1"/>
    <col min="14860" max="14860" width="5.109375" style="1614" customWidth="1"/>
    <col min="14861" max="14861" width="13.77734375" style="1614" customWidth="1"/>
    <col min="14862" max="15104" width="9" style="1614"/>
    <col min="15105" max="15105" width="4.88671875" style="1614" customWidth="1"/>
    <col min="15106" max="15106" width="13.21875" style="1614" customWidth="1"/>
    <col min="15107" max="15107" width="15.6640625" style="1614" customWidth="1"/>
    <col min="15108" max="15108" width="9.33203125" style="1614" bestFit="1" customWidth="1"/>
    <col min="15109" max="15109" width="13.44140625" style="1614" customWidth="1"/>
    <col min="15110" max="15110" width="9" style="1614"/>
    <col min="15111" max="15111" width="9.33203125" style="1614" bestFit="1" customWidth="1"/>
    <col min="15112" max="15113" width="9" style="1614"/>
    <col min="15114" max="15114" width="9.33203125" style="1614" bestFit="1" customWidth="1"/>
    <col min="15115" max="15115" width="4" style="1614" customWidth="1"/>
    <col min="15116" max="15116" width="5.109375" style="1614" customWidth="1"/>
    <col min="15117" max="15117" width="13.77734375" style="1614" customWidth="1"/>
    <col min="15118" max="15360" width="9" style="1614"/>
    <col min="15361" max="15361" width="4.88671875" style="1614" customWidth="1"/>
    <col min="15362" max="15362" width="13.21875" style="1614" customWidth="1"/>
    <col min="15363" max="15363" width="15.6640625" style="1614" customWidth="1"/>
    <col min="15364" max="15364" width="9.33203125" style="1614" bestFit="1" customWidth="1"/>
    <col min="15365" max="15365" width="13.44140625" style="1614" customWidth="1"/>
    <col min="15366" max="15366" width="9" style="1614"/>
    <col min="15367" max="15367" width="9.33203125" style="1614" bestFit="1" customWidth="1"/>
    <col min="15368" max="15369" width="9" style="1614"/>
    <col min="15370" max="15370" width="9.33203125" style="1614" bestFit="1" customWidth="1"/>
    <col min="15371" max="15371" width="4" style="1614" customWidth="1"/>
    <col min="15372" max="15372" width="5.109375" style="1614" customWidth="1"/>
    <col min="15373" max="15373" width="13.77734375" style="1614" customWidth="1"/>
    <col min="15374" max="15616" width="9" style="1614"/>
    <col min="15617" max="15617" width="4.88671875" style="1614" customWidth="1"/>
    <col min="15618" max="15618" width="13.21875" style="1614" customWidth="1"/>
    <col min="15619" max="15619" width="15.6640625" style="1614" customWidth="1"/>
    <col min="15620" max="15620" width="9.33203125" style="1614" bestFit="1" customWidth="1"/>
    <col min="15621" max="15621" width="13.44140625" style="1614" customWidth="1"/>
    <col min="15622" max="15622" width="9" style="1614"/>
    <col min="15623" max="15623" width="9.33203125" style="1614" bestFit="1" customWidth="1"/>
    <col min="15624" max="15625" width="9" style="1614"/>
    <col min="15626" max="15626" width="9.33203125" style="1614" bestFit="1" customWidth="1"/>
    <col min="15627" max="15627" width="4" style="1614" customWidth="1"/>
    <col min="15628" max="15628" width="5.109375" style="1614" customWidth="1"/>
    <col min="15629" max="15629" width="13.77734375" style="1614" customWidth="1"/>
    <col min="15630" max="15872" width="9" style="1614"/>
    <col min="15873" max="15873" width="4.88671875" style="1614" customWidth="1"/>
    <col min="15874" max="15874" width="13.21875" style="1614" customWidth="1"/>
    <col min="15875" max="15875" width="15.6640625" style="1614" customWidth="1"/>
    <col min="15876" max="15876" width="9.33203125" style="1614" bestFit="1" customWidth="1"/>
    <col min="15877" max="15877" width="13.44140625" style="1614" customWidth="1"/>
    <col min="15878" max="15878" width="9" style="1614"/>
    <col min="15879" max="15879" width="9.33203125" style="1614" bestFit="1" customWidth="1"/>
    <col min="15880" max="15881" width="9" style="1614"/>
    <col min="15882" max="15882" width="9.33203125" style="1614" bestFit="1" customWidth="1"/>
    <col min="15883" max="15883" width="4" style="1614" customWidth="1"/>
    <col min="15884" max="15884" width="5.109375" style="1614" customWidth="1"/>
    <col min="15885" max="15885" width="13.77734375" style="1614" customWidth="1"/>
    <col min="15886" max="16128" width="9" style="1614"/>
    <col min="16129" max="16129" width="4.88671875" style="1614" customWidth="1"/>
    <col min="16130" max="16130" width="13.21875" style="1614" customWidth="1"/>
    <col min="16131" max="16131" width="15.6640625" style="1614" customWidth="1"/>
    <col min="16132" max="16132" width="9.33203125" style="1614" bestFit="1" customWidth="1"/>
    <col min="16133" max="16133" width="13.44140625" style="1614" customWidth="1"/>
    <col min="16134" max="16134" width="9" style="1614"/>
    <col min="16135" max="16135" width="9.33203125" style="1614" bestFit="1" customWidth="1"/>
    <col min="16136" max="16137" width="9" style="1614"/>
    <col min="16138" max="16138" width="9.33203125" style="1614" bestFit="1" customWidth="1"/>
    <col min="16139" max="16139" width="4" style="1614" customWidth="1"/>
    <col min="16140" max="16140" width="5.109375" style="1614" customWidth="1"/>
    <col min="16141" max="16141" width="13.77734375" style="1614" customWidth="1"/>
    <col min="16142" max="16384" width="9" style="1614"/>
  </cols>
  <sheetData>
    <row r="1" spans="1:257" s="1678" customFormat="1" ht="15" thickBot="1">
      <c r="A1" s="1672"/>
      <c r="B1" s="1679" t="s">
        <v>1289</v>
      </c>
      <c r="C1" s="1673">
        <f>项目基本情况!D3</f>
        <v>43903</v>
      </c>
      <c r="D1" s="1679" t="s">
        <v>1290</v>
      </c>
      <c r="E1" s="1674">
        <f>'数据-取费表'!B22</f>
        <v>3</v>
      </c>
      <c r="F1" s="1679" t="s">
        <v>1291</v>
      </c>
      <c r="G1" s="1675">
        <f ca="1">INDIRECT("d"&amp;$K$1)/100</f>
        <v>4.7500000000000001E-2</v>
      </c>
      <c r="H1" s="1679" t="s">
        <v>1321</v>
      </c>
      <c r="I1" s="1675">
        <f ca="1">F4/100</f>
        <v>1.4999999999999999E-2</v>
      </c>
      <c r="J1" s="1680">
        <f>IF(C1&gt;C13,0,MATCH(C1,C$13:C$100,-1))+IF(SUMIF(C13:C100,C1,D13:D100)=0,13,12)</f>
        <v>13</v>
      </c>
      <c r="K1" s="1680">
        <f ca="1">MATCH(E1,C3:C7,1)+IF(SUMIF(C3:C7,E1,D3:D7)=0,2,1)</f>
        <v>5</v>
      </c>
      <c r="L1" s="1680">
        <f>IF(C1&gt;M13,0,MATCH(C1,M$13:M$100,-1))+IF(SUMIF(M13:M100,C1,N13:N100)=0,13,12)</f>
        <v>13</v>
      </c>
      <c r="M1" s="1672"/>
      <c r="N1" s="1672"/>
      <c r="O1" s="1672"/>
      <c r="P1" s="1672"/>
      <c r="Q1" s="1672"/>
      <c r="R1" s="1672"/>
      <c r="S1" s="1672"/>
      <c r="T1" s="1672"/>
      <c r="U1" s="1672"/>
      <c r="V1" s="1672"/>
      <c r="W1" s="1672"/>
      <c r="X1" s="1672"/>
      <c r="Y1" s="1672"/>
      <c r="Z1" s="1672"/>
      <c r="AA1" s="1676"/>
      <c r="AB1" s="1676"/>
      <c r="AC1" s="1676"/>
      <c r="AD1" s="1676"/>
      <c r="AE1" s="1676"/>
      <c r="AF1" s="1676"/>
      <c r="AG1" s="1676"/>
      <c r="AH1" s="1676"/>
      <c r="AI1" s="1676"/>
      <c r="AJ1" s="1676"/>
      <c r="AK1" s="1676"/>
      <c r="AL1" s="1676"/>
      <c r="AM1" s="1676"/>
      <c r="AN1" s="1676"/>
      <c r="AO1" s="1676"/>
      <c r="AP1" s="1676"/>
      <c r="AQ1" s="1676"/>
      <c r="AR1" s="1676"/>
      <c r="AS1" s="1676"/>
      <c r="AT1" s="1676"/>
      <c r="AU1" s="1676"/>
      <c r="AV1" s="1676"/>
      <c r="AW1" s="1676"/>
      <c r="AX1" s="1676"/>
      <c r="AY1" s="1676"/>
      <c r="AZ1" s="1676"/>
      <c r="BA1" s="1676"/>
      <c r="BB1" s="1676"/>
      <c r="BC1" s="1676"/>
      <c r="BD1" s="1676"/>
      <c r="BE1" s="1676"/>
      <c r="BF1" s="1676"/>
      <c r="BG1" s="1676"/>
      <c r="BH1" s="1676"/>
      <c r="BI1" s="1676"/>
      <c r="BJ1" s="1676"/>
      <c r="BK1" s="1676"/>
      <c r="BL1" s="1676"/>
      <c r="BM1" s="1676"/>
      <c r="BN1" s="1676"/>
      <c r="BO1" s="1676"/>
      <c r="BP1" s="1676"/>
      <c r="BQ1" s="1676"/>
      <c r="BR1" s="1676"/>
      <c r="BS1" s="1676"/>
      <c r="BT1" s="1676"/>
      <c r="BU1" s="1676"/>
      <c r="BV1" s="1676"/>
      <c r="BW1" s="1676"/>
      <c r="BX1" s="1676"/>
      <c r="BY1" s="1676"/>
      <c r="BZ1" s="1676"/>
      <c r="CA1" s="1676"/>
      <c r="CB1" s="1676"/>
      <c r="CC1" s="1676"/>
      <c r="CD1" s="1676"/>
      <c r="CE1" s="1676"/>
      <c r="CF1" s="1676"/>
      <c r="CG1" s="1676"/>
      <c r="CH1" s="1676"/>
      <c r="CI1" s="1676"/>
      <c r="CJ1" s="1676"/>
      <c r="CK1" s="1676"/>
      <c r="CL1" s="1676"/>
      <c r="CM1" s="1676"/>
      <c r="CN1" s="1676"/>
      <c r="CO1" s="1676"/>
      <c r="CP1" s="1676"/>
      <c r="CQ1" s="1676"/>
      <c r="CR1" s="1676"/>
      <c r="CS1" s="1676"/>
      <c r="CT1" s="1676"/>
      <c r="CU1" s="1676"/>
      <c r="CV1" s="1676"/>
      <c r="CW1" s="1676"/>
      <c r="CX1" s="1676"/>
      <c r="CY1" s="1676"/>
      <c r="CZ1" s="1676"/>
      <c r="DA1" s="1676"/>
      <c r="DB1" s="1676"/>
      <c r="DC1" s="1676"/>
      <c r="DD1" s="1676"/>
      <c r="DE1" s="1676"/>
      <c r="DF1" s="1676"/>
      <c r="DG1" s="1676"/>
      <c r="DH1" s="1676"/>
      <c r="DI1" s="1676"/>
      <c r="DJ1" s="1676"/>
      <c r="DK1" s="1676"/>
      <c r="DL1" s="1676"/>
      <c r="DM1" s="1676"/>
      <c r="DN1" s="1676"/>
      <c r="DO1" s="1676"/>
      <c r="DP1" s="1676"/>
      <c r="DQ1" s="1676"/>
      <c r="DR1" s="1676"/>
      <c r="DS1" s="1676"/>
      <c r="DT1" s="1676"/>
      <c r="DU1" s="1676"/>
      <c r="DV1" s="1676"/>
      <c r="DW1" s="1676"/>
      <c r="DX1" s="1676"/>
      <c r="DY1" s="1676"/>
      <c r="DZ1" s="1676"/>
      <c r="EA1" s="1676"/>
      <c r="EB1" s="1676"/>
      <c r="EC1" s="1676"/>
      <c r="ED1" s="1676"/>
      <c r="EE1" s="1676"/>
      <c r="EF1" s="1676"/>
      <c r="EG1" s="1676"/>
      <c r="EH1" s="1676"/>
      <c r="EI1" s="1676"/>
      <c r="EJ1" s="1676"/>
      <c r="EK1" s="1676"/>
      <c r="EL1" s="1676"/>
      <c r="EM1" s="1676"/>
      <c r="EN1" s="1676"/>
      <c r="EO1" s="1676"/>
      <c r="EP1" s="1676"/>
      <c r="EQ1" s="1676"/>
      <c r="ER1" s="1676"/>
      <c r="ES1" s="1676"/>
      <c r="ET1" s="1676"/>
      <c r="EU1" s="1676"/>
      <c r="EV1" s="1676"/>
      <c r="EW1" s="1676"/>
      <c r="EX1" s="1676"/>
      <c r="EY1" s="1676"/>
      <c r="EZ1" s="1676"/>
      <c r="FA1" s="1676"/>
      <c r="FB1" s="1676"/>
      <c r="FC1" s="1676"/>
      <c r="FD1" s="1676"/>
      <c r="FE1" s="1676"/>
      <c r="FF1" s="1676"/>
      <c r="FG1" s="1676"/>
      <c r="FH1" s="1676"/>
      <c r="FI1" s="1676"/>
      <c r="FJ1" s="1676"/>
      <c r="FK1" s="1676"/>
      <c r="FL1" s="1676"/>
      <c r="FM1" s="1676"/>
      <c r="FN1" s="1676"/>
      <c r="FO1" s="1676"/>
      <c r="FP1" s="1676"/>
      <c r="FQ1" s="1676"/>
      <c r="FR1" s="1676"/>
      <c r="FS1" s="1676"/>
      <c r="FT1" s="1676"/>
      <c r="FU1" s="1676"/>
      <c r="FV1" s="1676"/>
      <c r="FW1" s="1676"/>
      <c r="FX1" s="1676"/>
      <c r="FY1" s="1676"/>
      <c r="FZ1" s="1676"/>
      <c r="GA1" s="1676"/>
      <c r="GB1" s="1676"/>
      <c r="GC1" s="1676"/>
      <c r="GD1" s="1676"/>
      <c r="GE1" s="1676"/>
      <c r="GF1" s="1676"/>
      <c r="GG1" s="1676"/>
      <c r="GH1" s="1676"/>
      <c r="GI1" s="1676"/>
      <c r="GJ1" s="1676"/>
      <c r="GK1" s="1676"/>
      <c r="GL1" s="1676"/>
      <c r="GM1" s="1676"/>
      <c r="GN1" s="1676"/>
      <c r="GO1" s="1676"/>
      <c r="GP1" s="1676"/>
      <c r="GQ1" s="1676"/>
      <c r="GR1" s="1676"/>
      <c r="GS1" s="1676"/>
      <c r="GT1" s="1676"/>
      <c r="GU1" s="1676"/>
      <c r="GV1" s="1676"/>
      <c r="GW1" s="1676"/>
      <c r="GX1" s="1676"/>
      <c r="GY1" s="1676"/>
      <c r="GZ1" s="1676"/>
      <c r="HA1" s="1676"/>
      <c r="HB1" s="1676"/>
      <c r="HC1" s="1676"/>
      <c r="HD1" s="1676"/>
      <c r="HE1" s="1676"/>
      <c r="HF1" s="1676"/>
      <c r="HG1" s="1676"/>
      <c r="HH1" s="1676"/>
      <c r="HI1" s="1676"/>
      <c r="HJ1" s="1676"/>
      <c r="HK1" s="1676"/>
      <c r="HL1" s="1676"/>
      <c r="HM1" s="1676"/>
      <c r="HN1" s="1676"/>
      <c r="HO1" s="1676"/>
      <c r="HP1" s="1676"/>
      <c r="HQ1" s="1676"/>
      <c r="HR1" s="1676"/>
      <c r="HS1" s="1676"/>
      <c r="HT1" s="1676"/>
      <c r="HU1" s="1676"/>
      <c r="HV1" s="1676"/>
      <c r="HW1" s="1676"/>
      <c r="HX1" s="1676"/>
      <c r="HY1" s="1676"/>
      <c r="HZ1" s="1676"/>
      <c r="IA1" s="1676"/>
      <c r="IB1" s="1676"/>
      <c r="IC1" s="1676"/>
      <c r="ID1" s="1676"/>
      <c r="IE1" s="1676"/>
      <c r="IF1" s="1676"/>
      <c r="IG1" s="1676"/>
      <c r="IH1" s="1676"/>
      <c r="II1" s="1676"/>
      <c r="IJ1" s="1676"/>
      <c r="IK1" s="1676"/>
      <c r="IL1" s="1676"/>
      <c r="IM1" s="1676"/>
      <c r="IN1" s="1676"/>
      <c r="IO1" s="1676"/>
      <c r="IP1" s="1676"/>
      <c r="IQ1" s="1676"/>
      <c r="IR1" s="1676"/>
      <c r="IS1" s="1676"/>
      <c r="IT1" s="1676"/>
      <c r="IU1" s="1676"/>
      <c r="IV1" s="1676"/>
      <c r="IW1" s="1677"/>
    </row>
    <row r="2" spans="1:257" ht="15.6" thickTop="1" thickBot="1">
      <c r="A2" s="1615"/>
      <c r="B2" s="1615"/>
      <c r="C2" s="1615"/>
      <c r="D2" s="1615" t="s">
        <v>1292</v>
      </c>
      <c r="E2" s="1615"/>
      <c r="F2" s="1615" t="s">
        <v>1293</v>
      </c>
      <c r="G2" s="1616"/>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c r="AO2" s="1615"/>
      <c r="AP2" s="1615"/>
      <c r="AQ2" s="1615"/>
      <c r="AR2" s="1615"/>
      <c r="AS2" s="1615"/>
      <c r="AT2" s="1615"/>
      <c r="AU2" s="1615"/>
      <c r="AV2" s="1615"/>
      <c r="AW2" s="1615"/>
      <c r="AX2" s="1615"/>
      <c r="AY2" s="1615"/>
      <c r="AZ2" s="1615"/>
      <c r="BA2" s="1615"/>
      <c r="BB2" s="1615"/>
      <c r="BC2" s="1615"/>
      <c r="BD2" s="1615"/>
      <c r="BE2" s="1615"/>
      <c r="BF2" s="1615"/>
      <c r="BG2" s="1615"/>
      <c r="BH2" s="1615"/>
      <c r="BI2" s="1615"/>
      <c r="BJ2" s="1615"/>
      <c r="BK2" s="1615"/>
      <c r="BL2" s="1615"/>
      <c r="BM2" s="1615"/>
      <c r="BN2" s="1615"/>
      <c r="BO2" s="1615"/>
      <c r="BP2" s="1615"/>
      <c r="BQ2" s="1615"/>
      <c r="BR2" s="1615"/>
      <c r="BS2" s="1615"/>
      <c r="BT2" s="1615"/>
      <c r="BU2" s="1615"/>
      <c r="BV2" s="1615"/>
      <c r="BW2" s="1615"/>
      <c r="BX2" s="1615"/>
      <c r="BY2" s="1615"/>
      <c r="BZ2" s="1615"/>
      <c r="CA2" s="1615"/>
      <c r="CB2" s="1615"/>
      <c r="CC2" s="1615"/>
      <c r="CD2" s="1615"/>
      <c r="CE2" s="1615"/>
      <c r="CF2" s="1615"/>
      <c r="CG2" s="1615"/>
      <c r="CH2" s="1615"/>
      <c r="CI2" s="1615"/>
      <c r="CJ2" s="1615"/>
      <c r="CK2" s="1615"/>
      <c r="CL2" s="1615"/>
      <c r="CM2" s="1615"/>
      <c r="CN2" s="1615"/>
      <c r="CO2" s="1615"/>
      <c r="CP2" s="1615"/>
      <c r="CQ2" s="1615"/>
      <c r="CR2" s="1615"/>
      <c r="CS2" s="1615"/>
      <c r="CT2" s="1615"/>
      <c r="CU2" s="1615"/>
      <c r="CV2" s="1615"/>
      <c r="CW2" s="1615"/>
      <c r="CX2" s="1615"/>
      <c r="CY2" s="1615"/>
      <c r="CZ2" s="1615"/>
      <c r="DA2" s="1615"/>
      <c r="DB2" s="1615"/>
      <c r="DC2" s="1615"/>
      <c r="DD2" s="1615"/>
      <c r="DE2" s="1615"/>
      <c r="DF2" s="1615"/>
      <c r="DG2" s="1615"/>
      <c r="DH2" s="1615"/>
      <c r="DI2" s="1615"/>
      <c r="DJ2" s="1615"/>
      <c r="DK2" s="1615"/>
      <c r="DL2" s="1615"/>
      <c r="DM2" s="1615"/>
      <c r="DN2" s="1615"/>
      <c r="DO2" s="1615"/>
      <c r="DP2" s="1615"/>
      <c r="DQ2" s="1615"/>
      <c r="DR2" s="1615"/>
      <c r="DS2" s="1615"/>
      <c r="DT2" s="1615"/>
      <c r="DU2" s="1615"/>
      <c r="DV2" s="1615"/>
      <c r="DW2" s="1615"/>
      <c r="DX2" s="1615"/>
      <c r="DY2" s="1615"/>
      <c r="DZ2" s="1615"/>
      <c r="EA2" s="1615"/>
      <c r="EB2" s="1615"/>
      <c r="EC2" s="1615"/>
      <c r="ED2" s="1615"/>
      <c r="EE2" s="1615"/>
      <c r="EF2" s="1615"/>
      <c r="EG2" s="1615"/>
      <c r="EH2" s="1615"/>
      <c r="EI2" s="1615"/>
      <c r="EJ2" s="1615"/>
      <c r="EK2" s="1615"/>
      <c r="EL2" s="1615"/>
      <c r="EM2" s="1615"/>
      <c r="EN2" s="1615"/>
      <c r="EO2" s="1615"/>
      <c r="EP2" s="1615"/>
      <c r="EQ2" s="1615"/>
      <c r="ER2" s="1615"/>
      <c r="ES2" s="1615"/>
      <c r="ET2" s="1615"/>
      <c r="EU2" s="1615"/>
      <c r="EV2" s="1615"/>
      <c r="EW2" s="1615"/>
      <c r="EX2" s="1615"/>
      <c r="EY2" s="1615"/>
      <c r="EZ2" s="1615"/>
      <c r="FA2" s="1615"/>
      <c r="FB2" s="1615"/>
      <c r="FC2" s="1615"/>
      <c r="FD2" s="1615"/>
      <c r="FE2" s="1615"/>
      <c r="FF2" s="1615"/>
      <c r="FG2" s="1615"/>
      <c r="FH2" s="1615"/>
      <c r="FI2" s="1615"/>
      <c r="FJ2" s="1615"/>
      <c r="FK2" s="1615"/>
      <c r="FL2" s="1615"/>
      <c r="FM2" s="1615"/>
      <c r="FN2" s="1615"/>
      <c r="FO2" s="1615"/>
      <c r="FP2" s="1615"/>
      <c r="FQ2" s="1615"/>
      <c r="FR2" s="1615"/>
      <c r="FS2" s="1615"/>
      <c r="FT2" s="1615"/>
      <c r="FU2" s="1615"/>
      <c r="FV2" s="1615"/>
      <c r="FW2" s="1615"/>
      <c r="FX2" s="1615"/>
      <c r="FY2" s="1615"/>
      <c r="FZ2" s="1615"/>
      <c r="GA2" s="1615"/>
      <c r="GB2" s="1615"/>
      <c r="GC2" s="1615"/>
      <c r="GD2" s="1615"/>
      <c r="GE2" s="1615"/>
      <c r="GF2" s="1615"/>
      <c r="GG2" s="1615"/>
      <c r="GH2" s="1615"/>
      <c r="GI2" s="1615"/>
      <c r="GJ2" s="1615"/>
      <c r="GK2" s="1615"/>
      <c r="GL2" s="1615"/>
      <c r="GM2" s="1615"/>
      <c r="GN2" s="1615"/>
      <c r="GO2" s="1615"/>
      <c r="GP2" s="1615"/>
      <c r="GQ2" s="1615"/>
      <c r="GR2" s="1615"/>
      <c r="GS2" s="1615"/>
      <c r="GT2" s="1615"/>
      <c r="GU2" s="1615"/>
      <c r="GV2" s="1615"/>
      <c r="GW2" s="1615"/>
      <c r="GX2" s="1615"/>
      <c r="GY2" s="1615"/>
      <c r="GZ2" s="1615"/>
      <c r="HA2" s="1615"/>
      <c r="HB2" s="1615"/>
      <c r="HC2" s="1615"/>
      <c r="HD2" s="1615"/>
      <c r="HE2" s="1615"/>
      <c r="HF2" s="1615"/>
      <c r="HG2" s="1615"/>
      <c r="HH2" s="1615"/>
      <c r="HI2" s="1615"/>
      <c r="HJ2" s="1615"/>
      <c r="HK2" s="1615"/>
      <c r="HL2" s="1615"/>
      <c r="HM2" s="1615"/>
      <c r="HN2" s="1615"/>
      <c r="HO2" s="1615"/>
      <c r="HP2" s="1615"/>
      <c r="HQ2" s="1615"/>
      <c r="HR2" s="1615"/>
      <c r="HS2" s="1615"/>
      <c r="HT2" s="1615"/>
      <c r="HU2" s="1615"/>
      <c r="HV2" s="1615"/>
      <c r="HW2" s="1615"/>
      <c r="HX2" s="1615"/>
      <c r="HY2" s="1615"/>
      <c r="HZ2" s="1615"/>
      <c r="IA2" s="1615"/>
      <c r="IB2" s="1615"/>
      <c r="IC2" s="1615"/>
      <c r="ID2" s="1615"/>
      <c r="IE2" s="1615"/>
      <c r="IF2" s="1615"/>
      <c r="IG2" s="1615"/>
      <c r="IH2" s="1615"/>
      <c r="II2" s="1615"/>
      <c r="IJ2" s="1615"/>
      <c r="IK2" s="1615"/>
      <c r="IL2" s="1615"/>
      <c r="IM2" s="1615"/>
      <c r="IN2" s="1615"/>
      <c r="IO2" s="1615"/>
      <c r="IP2" s="1615"/>
      <c r="IQ2" s="1615"/>
      <c r="IR2" s="1615"/>
      <c r="IS2" s="1615"/>
      <c r="IT2" s="1615"/>
      <c r="IU2" s="1615"/>
      <c r="IV2" s="1615"/>
      <c r="IW2" s="1615"/>
    </row>
    <row r="3" spans="1:257">
      <c r="B3" s="1618" t="s">
        <v>1294</v>
      </c>
      <c r="C3" s="1619">
        <v>0</v>
      </c>
      <c r="D3" s="1620">
        <f ca="1">INDIRECT("d"&amp;$J$1)</f>
        <v>4.3499999999999996</v>
      </c>
      <c r="E3" s="1621">
        <v>0.5</v>
      </c>
      <c r="F3" s="1622">
        <f ca="1">INDIRECT("p"&amp;$L$1)</f>
        <v>1.3</v>
      </c>
      <c r="G3" s="1617"/>
      <c r="H3" s="1617"/>
      <c r="I3" s="1617"/>
      <c r="J3" s="1617"/>
      <c r="L3" s="1617"/>
      <c r="M3" s="1617"/>
      <c r="N3" s="1617"/>
      <c r="O3" s="1617"/>
      <c r="P3" s="1617"/>
      <c r="Q3" s="1617"/>
      <c r="R3" s="1617"/>
      <c r="S3" s="1617"/>
      <c r="T3" s="1617"/>
      <c r="U3" s="1617"/>
      <c r="V3" s="1617"/>
      <c r="W3" s="1617"/>
      <c r="X3" s="1617"/>
      <c r="Y3" s="1617"/>
      <c r="Z3" s="1617"/>
    </row>
    <row r="4" spans="1:257">
      <c r="B4" s="1624" t="s">
        <v>1295</v>
      </c>
      <c r="C4" s="1625">
        <v>0.5</v>
      </c>
      <c r="D4" s="1626">
        <f ca="1">INDIRECT("e"&amp;$J$1)</f>
        <v>4.3499999999999996</v>
      </c>
      <c r="E4" s="1627">
        <v>1</v>
      </c>
      <c r="F4" s="1628">
        <f ca="1">INDIRECT("q"&amp;$L$1)</f>
        <v>1.5</v>
      </c>
      <c r="G4" s="1617"/>
      <c r="H4" s="1617"/>
      <c r="I4" s="1617"/>
      <c r="J4" s="1617"/>
      <c r="L4" s="1617"/>
      <c r="M4" s="1617"/>
      <c r="N4" s="1617"/>
      <c r="O4" s="1617"/>
      <c r="P4" s="1617"/>
      <c r="Q4" s="1617"/>
      <c r="R4" s="1617"/>
      <c r="S4" s="1617"/>
      <c r="T4" s="1617"/>
      <c r="U4" s="1617"/>
      <c r="V4" s="1617"/>
      <c r="W4" s="1617"/>
      <c r="X4" s="1617"/>
      <c r="Y4" s="1617"/>
      <c r="Z4" s="1617"/>
    </row>
    <row r="5" spans="1:257">
      <c r="B5" s="1624" t="s">
        <v>1296</v>
      </c>
      <c r="C5" s="1625">
        <v>1</v>
      </c>
      <c r="D5" s="1626">
        <f ca="1">INDIRECT("f"&amp;$J$1)</f>
        <v>4.75</v>
      </c>
      <c r="E5" s="1627">
        <v>2</v>
      </c>
      <c r="F5" s="1628">
        <f ca="1">INDIRECT("r"&amp;$L$1)</f>
        <v>2.1</v>
      </c>
      <c r="G5" s="1617"/>
      <c r="H5" s="1617"/>
      <c r="I5" s="1617"/>
      <c r="J5" s="1617"/>
      <c r="L5" s="1617"/>
      <c r="M5" s="1617"/>
      <c r="N5" s="1617"/>
      <c r="O5" s="1617"/>
      <c r="P5" s="1617"/>
      <c r="Q5" s="1617"/>
      <c r="R5" s="1617"/>
      <c r="S5" s="1617"/>
      <c r="T5" s="1617"/>
      <c r="U5" s="1617"/>
      <c r="V5" s="1617"/>
      <c r="W5" s="1617"/>
      <c r="X5" s="1617"/>
      <c r="Y5" s="1617"/>
      <c r="Z5" s="1617"/>
    </row>
    <row r="6" spans="1:257">
      <c r="B6" s="1624" t="s">
        <v>1297</v>
      </c>
      <c r="C6" s="1625">
        <v>3</v>
      </c>
      <c r="D6" s="1626">
        <f ca="1">INDIRECT("g"&amp;$J$1)</f>
        <v>4.75</v>
      </c>
      <c r="E6" s="1627">
        <v>3</v>
      </c>
      <c r="F6" s="1628">
        <f ca="1">INDIRECT("s"&amp;$L$1)</f>
        <v>2.75</v>
      </c>
      <c r="G6" s="1617"/>
      <c r="H6" s="1617"/>
      <c r="I6" s="1617"/>
      <c r="J6" s="1617"/>
      <c r="L6" s="1617"/>
      <c r="M6" s="1617"/>
      <c r="N6" s="1617"/>
      <c r="O6" s="1617"/>
      <c r="P6" s="1617"/>
      <c r="Q6" s="1617"/>
      <c r="R6" s="1617"/>
      <c r="S6" s="1617"/>
      <c r="T6" s="1617"/>
      <c r="U6" s="1617"/>
      <c r="V6" s="1617"/>
      <c r="W6" s="1617"/>
      <c r="X6" s="1617"/>
      <c r="Y6" s="1617"/>
      <c r="Z6" s="1617"/>
    </row>
    <row r="7" spans="1:257" ht="15" thickBot="1">
      <c r="B7" s="1629" t="s">
        <v>1298</v>
      </c>
      <c r="C7" s="1630">
        <v>5</v>
      </c>
      <c r="D7" s="1631">
        <f ca="1">INDIRECT("h"&amp;$J$1)</f>
        <v>4.9000000000000004</v>
      </c>
      <c r="E7" s="1632">
        <v>5</v>
      </c>
      <c r="F7" s="1633">
        <f ca="1">INDIRECT("t"&amp;$L$1)</f>
        <v>0</v>
      </c>
      <c r="G7" s="1617"/>
      <c r="H7" s="1617"/>
      <c r="I7" s="1617"/>
      <c r="J7" s="1617"/>
      <c r="L7" s="1617"/>
      <c r="M7" s="1617"/>
      <c r="N7" s="1617"/>
      <c r="O7" s="1617"/>
      <c r="P7" s="1617"/>
      <c r="Q7" s="1617"/>
      <c r="R7" s="1617"/>
      <c r="S7" s="1617"/>
      <c r="T7" s="1617"/>
      <c r="U7" s="1617"/>
      <c r="V7" s="1617"/>
      <c r="W7" s="1617"/>
      <c r="X7" s="1617"/>
      <c r="Y7" s="1617"/>
      <c r="Z7" s="1617"/>
    </row>
    <row r="8" spans="1:257">
      <c r="A8" s="1634"/>
      <c r="B8" s="1635"/>
      <c r="C8" s="1636"/>
      <c r="D8" s="1617"/>
      <c r="E8" s="1617"/>
      <c r="F8" s="1617"/>
      <c r="G8" s="1617"/>
      <c r="H8" s="1617"/>
      <c r="I8" s="1617"/>
      <c r="J8" s="1617"/>
      <c r="L8" s="1617"/>
      <c r="M8" s="1617"/>
      <c r="N8" s="1617"/>
      <c r="O8" s="1617"/>
      <c r="P8" s="1617"/>
      <c r="Q8" s="1617"/>
      <c r="R8" s="1617"/>
      <c r="S8" s="1617"/>
      <c r="T8" s="1617"/>
      <c r="U8" s="1617"/>
      <c r="V8" s="1617"/>
      <c r="W8" s="1617"/>
      <c r="X8" s="1617"/>
      <c r="Y8" s="1617"/>
      <c r="Z8" s="1617"/>
    </row>
    <row r="9" spans="1:257" ht="20.399999999999999">
      <c r="A9" s="1637"/>
      <c r="B9" s="1638" t="s">
        <v>1299</v>
      </c>
      <c r="C9" s="1639"/>
      <c r="D9" s="1640"/>
      <c r="E9" s="1640"/>
      <c r="F9" s="1640"/>
      <c r="G9" s="1640"/>
      <c r="H9" s="1640"/>
      <c r="I9" s="1640"/>
      <c r="J9" s="1640"/>
      <c r="K9" s="1640"/>
      <c r="L9" s="1640"/>
      <c r="M9" s="1640"/>
      <c r="N9" s="1640"/>
      <c r="O9" s="1640"/>
      <c r="P9" s="1640"/>
      <c r="Q9" s="1640"/>
      <c r="R9" s="1640"/>
      <c r="S9" s="1640"/>
      <c r="T9" s="1640"/>
      <c r="U9" s="1640"/>
      <c r="V9" s="1640"/>
      <c r="W9" s="1640"/>
      <c r="X9" s="1640"/>
      <c r="Y9" s="1640"/>
      <c r="Z9" s="1640"/>
      <c r="AA9" s="1641"/>
      <c r="AB9" s="1641"/>
      <c r="AC9" s="1641"/>
      <c r="AD9" s="1641"/>
      <c r="AE9" s="1641"/>
      <c r="AF9" s="1641"/>
      <c r="AG9" s="1641"/>
      <c r="AH9" s="1641"/>
      <c r="AI9" s="1641"/>
      <c r="AJ9" s="1641"/>
      <c r="AK9" s="1641"/>
      <c r="AL9" s="1641"/>
      <c r="AM9" s="1641"/>
      <c r="AN9" s="1641"/>
      <c r="AO9" s="1641"/>
      <c r="AP9" s="1641"/>
      <c r="AQ9" s="1641"/>
      <c r="AR9" s="1641"/>
      <c r="AS9" s="1641"/>
      <c r="AT9" s="1641"/>
      <c r="AU9" s="1641"/>
      <c r="AV9" s="1641"/>
      <c r="AW9" s="1641"/>
      <c r="AX9" s="1641"/>
      <c r="AY9" s="1641"/>
      <c r="AZ9" s="1641"/>
      <c r="BA9" s="1641"/>
      <c r="BB9" s="1641"/>
      <c r="BC9" s="1641"/>
      <c r="BD9" s="1641"/>
      <c r="BE9" s="1641"/>
      <c r="BF9" s="1641"/>
      <c r="BG9" s="1641"/>
      <c r="BH9" s="1641"/>
      <c r="BI9" s="1641"/>
      <c r="BJ9" s="1641"/>
      <c r="BK9" s="1641"/>
      <c r="BL9" s="1641"/>
      <c r="BM9" s="1641"/>
      <c r="BN9" s="1641"/>
      <c r="BO9" s="1641"/>
      <c r="BP9" s="1641"/>
      <c r="BQ9" s="1641"/>
      <c r="BR9" s="1641"/>
      <c r="BS9" s="1641"/>
      <c r="BT9" s="1641"/>
      <c r="BU9" s="1641"/>
      <c r="BV9" s="1641"/>
      <c r="BW9" s="1641"/>
      <c r="BX9" s="1641"/>
      <c r="BY9" s="1641"/>
      <c r="BZ9" s="1641"/>
      <c r="CA9" s="1641"/>
      <c r="CB9" s="1641"/>
      <c r="CC9" s="1641"/>
      <c r="CD9" s="1641"/>
      <c r="CE9" s="1641"/>
      <c r="CF9" s="1641"/>
      <c r="CG9" s="1641"/>
      <c r="CH9" s="1641"/>
      <c r="CI9" s="1641"/>
      <c r="CJ9" s="1641"/>
      <c r="CK9" s="1641"/>
      <c r="CL9" s="1641"/>
      <c r="CM9" s="1641"/>
      <c r="CN9" s="1641"/>
      <c r="CO9" s="1641"/>
      <c r="CP9" s="1641"/>
      <c r="CQ9" s="1641"/>
      <c r="CR9" s="1641"/>
      <c r="CS9" s="1641"/>
      <c r="CT9" s="1641"/>
      <c r="CU9" s="1641"/>
      <c r="CV9" s="1641"/>
      <c r="CW9" s="1641"/>
      <c r="CX9" s="1641"/>
      <c r="CY9" s="1641"/>
      <c r="CZ9" s="1641"/>
      <c r="DA9" s="1641"/>
      <c r="DB9" s="1641"/>
      <c r="DC9" s="1641"/>
      <c r="DD9" s="1641"/>
      <c r="DE9" s="1641"/>
      <c r="DF9" s="1641"/>
      <c r="DG9" s="1641"/>
      <c r="DH9" s="1641"/>
      <c r="DI9" s="1641"/>
      <c r="DJ9" s="1641"/>
      <c r="DK9" s="1641"/>
      <c r="DL9" s="1641"/>
      <c r="DM9" s="1641"/>
      <c r="DN9" s="1641"/>
      <c r="DO9" s="1641"/>
      <c r="DP9" s="1641"/>
      <c r="DQ9" s="1641"/>
      <c r="DR9" s="1641"/>
      <c r="DS9" s="1641"/>
      <c r="DT9" s="1641"/>
      <c r="DU9" s="1641"/>
      <c r="DV9" s="1641"/>
      <c r="DW9" s="1641"/>
      <c r="DX9" s="1641"/>
      <c r="DY9" s="1641"/>
      <c r="DZ9" s="1641"/>
      <c r="EA9" s="1641"/>
      <c r="EB9" s="1641"/>
      <c r="EC9" s="1641"/>
      <c r="ED9" s="1641"/>
      <c r="EE9" s="1641"/>
      <c r="EF9" s="1641"/>
      <c r="EG9" s="1641"/>
      <c r="EH9" s="1641"/>
      <c r="EI9" s="1641"/>
      <c r="EJ9" s="1641"/>
      <c r="EK9" s="1641"/>
      <c r="EL9" s="1641"/>
      <c r="EM9" s="1641"/>
      <c r="EN9" s="1641"/>
      <c r="EO9" s="1641"/>
      <c r="EP9" s="1641"/>
      <c r="EQ9" s="1641"/>
      <c r="ER9" s="1641"/>
      <c r="ES9" s="1641"/>
      <c r="ET9" s="1641"/>
      <c r="EU9" s="1641"/>
      <c r="EV9" s="1641"/>
      <c r="EW9" s="1641"/>
      <c r="EX9" s="1641"/>
      <c r="EY9" s="1641"/>
      <c r="EZ9" s="1641"/>
      <c r="FA9" s="1641"/>
      <c r="FB9" s="1641"/>
      <c r="FC9" s="1641"/>
      <c r="FD9" s="1641"/>
      <c r="FE9" s="1641"/>
      <c r="FF9" s="1641"/>
      <c r="FG9" s="1641"/>
      <c r="FH9" s="1641"/>
      <c r="FI9" s="1641"/>
      <c r="FJ9" s="1641"/>
      <c r="FK9" s="1641"/>
      <c r="FL9" s="1641"/>
      <c r="FM9" s="1641"/>
      <c r="FN9" s="1641"/>
      <c r="FO9" s="1641"/>
      <c r="FP9" s="1641"/>
      <c r="FQ9" s="1641"/>
      <c r="FR9" s="1641"/>
      <c r="FS9" s="1641"/>
      <c r="FT9" s="1641"/>
      <c r="FU9" s="1641"/>
      <c r="FV9" s="1641"/>
      <c r="FW9" s="1641"/>
      <c r="FX9" s="1641"/>
      <c r="FY9" s="1641"/>
      <c r="FZ9" s="1641"/>
      <c r="GA9" s="1641"/>
      <c r="GB9" s="1641"/>
      <c r="GC9" s="1641"/>
      <c r="GD9" s="1641"/>
      <c r="GE9" s="1641"/>
      <c r="GF9" s="1641"/>
      <c r="GG9" s="1641"/>
      <c r="GH9" s="1641"/>
      <c r="GI9" s="1641"/>
      <c r="GJ9" s="1641"/>
      <c r="GK9" s="1641"/>
      <c r="GL9" s="1641"/>
      <c r="GM9" s="1641"/>
      <c r="GN9" s="1641"/>
      <c r="GO9" s="1641"/>
      <c r="GP9" s="1641"/>
      <c r="GQ9" s="1641"/>
      <c r="GR9" s="1641"/>
      <c r="GS9" s="1641"/>
      <c r="GT9" s="1641"/>
      <c r="GU9" s="1641"/>
      <c r="GV9" s="1641"/>
      <c r="GW9" s="1641"/>
      <c r="GX9" s="1641"/>
      <c r="GY9" s="1641"/>
      <c r="GZ9" s="1641"/>
      <c r="HA9" s="1641"/>
      <c r="HB9" s="1641"/>
      <c r="HC9" s="1641"/>
      <c r="HD9" s="1641"/>
      <c r="HE9" s="1641"/>
      <c r="HF9" s="1641"/>
      <c r="HG9" s="1641"/>
      <c r="HH9" s="1641"/>
      <c r="HI9" s="1641"/>
      <c r="HJ9" s="1641"/>
      <c r="HK9" s="1641"/>
      <c r="HL9" s="1641"/>
      <c r="HM9" s="1641"/>
      <c r="HN9" s="1641"/>
      <c r="HO9" s="1641"/>
      <c r="HP9" s="1641"/>
      <c r="HQ9" s="1641"/>
      <c r="HR9" s="1641"/>
      <c r="HS9" s="1641"/>
      <c r="HT9" s="1641"/>
      <c r="HU9" s="1641"/>
      <c r="HV9" s="1641"/>
      <c r="HW9" s="1641"/>
      <c r="HX9" s="1641"/>
      <c r="HY9" s="1641"/>
      <c r="HZ9" s="1641"/>
      <c r="IA9" s="1641"/>
      <c r="IB9" s="1641"/>
      <c r="IC9" s="1641"/>
      <c r="ID9" s="1641"/>
      <c r="IE9" s="1641"/>
      <c r="IF9" s="1641"/>
      <c r="IG9" s="1641"/>
      <c r="IH9" s="1641"/>
      <c r="II9" s="1641"/>
      <c r="IJ9" s="1641"/>
      <c r="IK9" s="1641"/>
      <c r="IL9" s="1641"/>
      <c r="IM9" s="1641"/>
      <c r="IN9" s="1641"/>
      <c r="IO9" s="1641"/>
      <c r="IP9" s="1641"/>
      <c r="IQ9" s="1641"/>
      <c r="IR9" s="1641"/>
      <c r="IS9" s="1641"/>
      <c r="IT9" s="1641"/>
      <c r="IU9" s="1641"/>
      <c r="IV9" s="1641"/>
      <c r="IW9" s="1642"/>
    </row>
    <row r="10" spans="1:257" ht="22.2">
      <c r="A10" s="1643"/>
      <c r="B10" s="1644" t="s">
        <v>1300</v>
      </c>
      <c r="C10" s="1643"/>
      <c r="D10" s="1643"/>
      <c r="E10" s="1643"/>
      <c r="F10" s="1643"/>
      <c r="G10" s="1643"/>
      <c r="H10" s="1643"/>
      <c r="I10" s="1617"/>
      <c r="J10" s="1617"/>
      <c r="K10" s="1643"/>
      <c r="L10" s="1644" t="s">
        <v>1301</v>
      </c>
      <c r="M10" s="1643"/>
      <c r="N10" s="1643"/>
      <c r="O10" s="1643"/>
      <c r="P10" s="1643"/>
      <c r="Q10" s="1643"/>
      <c r="R10" s="1643"/>
      <c r="S10" s="1643"/>
      <c r="T10" s="1643"/>
      <c r="U10" s="1643"/>
      <c r="V10" s="1643"/>
      <c r="W10" s="1643"/>
      <c r="X10" s="1643"/>
      <c r="Y10" s="1643"/>
      <c r="Z10" s="1643"/>
      <c r="AA10" s="1645"/>
      <c r="AB10" s="1645"/>
      <c r="AC10" s="1645"/>
      <c r="AD10" s="1645"/>
      <c r="AE10" s="1645"/>
      <c r="AF10" s="1645"/>
      <c r="AG10" s="1645"/>
      <c r="AH10" s="1645"/>
      <c r="AI10" s="1645"/>
      <c r="AJ10" s="1645"/>
      <c r="AK10" s="1645"/>
      <c r="AL10" s="1645"/>
      <c r="AM10" s="1645"/>
      <c r="AN10" s="1645"/>
      <c r="AO10" s="1645"/>
      <c r="AP10" s="1645"/>
      <c r="AQ10" s="1645"/>
      <c r="AR10" s="1645"/>
      <c r="AS10" s="1645"/>
      <c r="AT10" s="1645"/>
      <c r="AU10" s="1645"/>
      <c r="AV10" s="1645"/>
      <c r="AW10" s="1645"/>
      <c r="AX10" s="1645"/>
      <c r="AY10" s="1645"/>
      <c r="AZ10" s="1645"/>
      <c r="BA10" s="1645"/>
      <c r="BB10" s="1645"/>
      <c r="BC10" s="1645"/>
      <c r="BD10" s="1645"/>
      <c r="BE10" s="1645"/>
      <c r="BF10" s="1645"/>
      <c r="BG10" s="1645"/>
      <c r="BH10" s="1645"/>
      <c r="BI10" s="1645"/>
      <c r="BJ10" s="1645"/>
      <c r="BK10" s="1645"/>
      <c r="BL10" s="1645"/>
      <c r="BM10" s="1645"/>
      <c r="BN10" s="1645"/>
      <c r="BO10" s="1645"/>
      <c r="BP10" s="1645"/>
      <c r="BQ10" s="1645"/>
      <c r="BR10" s="1645"/>
      <c r="BS10" s="1645"/>
      <c r="BT10" s="1645"/>
      <c r="BU10" s="1645"/>
      <c r="BV10" s="1645"/>
      <c r="BW10" s="1645"/>
      <c r="BX10" s="1645"/>
      <c r="BY10" s="1645"/>
      <c r="BZ10" s="1645"/>
      <c r="CA10" s="1645"/>
      <c r="CB10" s="1645"/>
      <c r="CC10" s="1645"/>
      <c r="CD10" s="1645"/>
      <c r="CE10" s="1645"/>
      <c r="CF10" s="1645"/>
      <c r="CG10" s="1645"/>
      <c r="CH10" s="1645"/>
      <c r="CI10" s="1645"/>
      <c r="CJ10" s="1645"/>
      <c r="CK10" s="1645"/>
      <c r="CL10" s="1645"/>
      <c r="CM10" s="1645"/>
      <c r="CN10" s="1645"/>
      <c r="CO10" s="1645"/>
      <c r="CP10" s="1645"/>
      <c r="CQ10" s="1645"/>
      <c r="CR10" s="1645"/>
      <c r="CS10" s="1645"/>
      <c r="CT10" s="1645"/>
      <c r="CU10" s="1645"/>
      <c r="CV10" s="1645"/>
      <c r="CW10" s="1645"/>
      <c r="CX10" s="1645"/>
      <c r="CY10" s="1645"/>
      <c r="CZ10" s="1645"/>
      <c r="DA10" s="1645"/>
      <c r="DB10" s="1645"/>
      <c r="DC10" s="1645"/>
      <c r="DD10" s="1645"/>
      <c r="DE10" s="1645"/>
      <c r="DF10" s="1645"/>
      <c r="DG10" s="1645"/>
      <c r="DH10" s="1645"/>
      <c r="DI10" s="1645"/>
      <c r="DJ10" s="1645"/>
      <c r="DK10" s="1645"/>
      <c r="DL10" s="1645"/>
      <c r="DM10" s="1645"/>
      <c r="DN10" s="1645"/>
      <c r="DO10" s="1645"/>
      <c r="DP10" s="1645"/>
      <c r="DQ10" s="1645"/>
      <c r="DR10" s="1645"/>
      <c r="DS10" s="1645"/>
      <c r="DT10" s="1645"/>
      <c r="DU10" s="1645"/>
      <c r="DV10" s="1645"/>
      <c r="DW10" s="1645"/>
      <c r="DX10" s="1645"/>
      <c r="DY10" s="1645"/>
      <c r="DZ10" s="1645"/>
      <c r="EA10" s="1645"/>
      <c r="EB10" s="1645"/>
      <c r="EC10" s="1645"/>
      <c r="ED10" s="1645"/>
      <c r="EE10" s="1645"/>
      <c r="EF10" s="1645"/>
      <c r="EG10" s="1645"/>
      <c r="EH10" s="1645"/>
      <c r="EI10" s="1645"/>
      <c r="EJ10" s="1645"/>
      <c r="EK10" s="1645"/>
      <c r="EL10" s="1645"/>
      <c r="EM10" s="1645"/>
      <c r="EN10" s="1645"/>
      <c r="EO10" s="1645"/>
      <c r="EP10" s="1645"/>
      <c r="EQ10" s="1645"/>
      <c r="ER10" s="1645"/>
      <c r="ES10" s="1645"/>
      <c r="ET10" s="1645"/>
      <c r="EU10" s="1645"/>
      <c r="EV10" s="1645"/>
      <c r="EW10" s="1645"/>
      <c r="EX10" s="1645"/>
      <c r="EY10" s="1645"/>
      <c r="EZ10" s="1645"/>
      <c r="FA10" s="1645"/>
      <c r="FB10" s="1645"/>
      <c r="FC10" s="1645"/>
      <c r="FD10" s="1645"/>
      <c r="FE10" s="1645"/>
      <c r="FF10" s="1645"/>
      <c r="FG10" s="1645"/>
      <c r="FH10" s="1645"/>
      <c r="FI10" s="1645"/>
      <c r="FJ10" s="1645"/>
      <c r="FK10" s="1645"/>
      <c r="FL10" s="1645"/>
      <c r="FM10" s="1645"/>
      <c r="FN10" s="1645"/>
      <c r="FO10" s="1645"/>
      <c r="FP10" s="1645"/>
      <c r="FQ10" s="1645"/>
      <c r="FR10" s="1645"/>
      <c r="FS10" s="1645"/>
      <c r="FT10" s="1645"/>
      <c r="FU10" s="1645"/>
      <c r="FV10" s="1645"/>
      <c r="FW10" s="1645"/>
      <c r="FX10" s="1645"/>
      <c r="FY10" s="1645"/>
      <c r="FZ10" s="1645"/>
      <c r="GA10" s="1645"/>
      <c r="GB10" s="1645"/>
      <c r="GC10" s="1645"/>
      <c r="GD10" s="1645"/>
      <c r="GE10" s="1645"/>
      <c r="GF10" s="1645"/>
      <c r="GG10" s="1645"/>
      <c r="GH10" s="1645"/>
      <c r="GI10" s="1645"/>
      <c r="GJ10" s="1645"/>
      <c r="GK10" s="1645"/>
      <c r="GL10" s="1645"/>
      <c r="GM10" s="1645"/>
      <c r="GN10" s="1645"/>
      <c r="GO10" s="1645"/>
      <c r="GP10" s="1645"/>
      <c r="GQ10" s="1645"/>
      <c r="GR10" s="1645"/>
      <c r="GS10" s="1645"/>
      <c r="GT10" s="1645"/>
      <c r="GU10" s="1645"/>
      <c r="GV10" s="1645"/>
      <c r="GW10" s="1645"/>
      <c r="GX10" s="1645"/>
      <c r="GY10" s="1645"/>
      <c r="GZ10" s="1645"/>
      <c r="HA10" s="1645"/>
      <c r="HB10" s="1645"/>
      <c r="HC10" s="1645"/>
      <c r="HD10" s="1645"/>
      <c r="HE10" s="1645"/>
      <c r="HF10" s="1645"/>
      <c r="HG10" s="1645"/>
      <c r="HH10" s="1645"/>
      <c r="HI10" s="1645"/>
      <c r="HJ10" s="1645"/>
      <c r="HK10" s="1645"/>
      <c r="HL10" s="1645"/>
      <c r="HM10" s="1645"/>
      <c r="HN10" s="1645"/>
      <c r="HO10" s="1645"/>
      <c r="HP10" s="1645"/>
      <c r="HQ10" s="1645"/>
      <c r="HR10" s="1645"/>
      <c r="HS10" s="1645"/>
      <c r="HT10" s="1645"/>
      <c r="HU10" s="1645"/>
      <c r="HV10" s="1645"/>
      <c r="HW10" s="1645"/>
      <c r="HX10" s="1645"/>
      <c r="HY10" s="1645"/>
      <c r="HZ10" s="1645"/>
      <c r="IA10" s="1645"/>
      <c r="IB10" s="1645"/>
      <c r="IC10" s="1645"/>
      <c r="ID10" s="1645"/>
      <c r="IE10" s="1645"/>
      <c r="IF10" s="1645"/>
      <c r="IG10" s="1645"/>
      <c r="IH10" s="1645"/>
      <c r="II10" s="1645"/>
      <c r="IJ10" s="1645"/>
      <c r="IK10" s="1645"/>
      <c r="IL10" s="1645"/>
      <c r="IM10" s="1645"/>
      <c r="IN10" s="1645"/>
      <c r="IO10" s="1645"/>
      <c r="IP10" s="1645"/>
      <c r="IQ10" s="1645"/>
      <c r="IR10" s="1645"/>
      <c r="IS10" s="1645"/>
      <c r="IT10" s="1645"/>
      <c r="IU10" s="1645"/>
      <c r="IV10" s="1645"/>
    </row>
    <row r="11" spans="1:257">
      <c r="A11" s="1646"/>
      <c r="B11" s="1647" t="s">
        <v>1302</v>
      </c>
      <c r="C11" s="1648" t="s">
        <v>1303</v>
      </c>
      <c r="D11" s="1649" t="s">
        <v>1304</v>
      </c>
      <c r="E11" s="1650"/>
      <c r="F11" s="1649" t="s">
        <v>1305</v>
      </c>
      <c r="G11" s="1651"/>
      <c r="H11" s="1650"/>
      <c r="I11" s="1649" t="s">
        <v>1306</v>
      </c>
      <c r="J11" s="1650"/>
      <c r="K11" s="1646"/>
      <c r="L11" s="1647" t="s">
        <v>1302</v>
      </c>
      <c r="M11" s="1648" t="s">
        <v>1303</v>
      </c>
      <c r="N11" s="1647" t="s">
        <v>1307</v>
      </c>
      <c r="O11" s="1649" t="s">
        <v>1308</v>
      </c>
      <c r="P11" s="1651"/>
      <c r="Q11" s="1651"/>
      <c r="R11" s="1651"/>
      <c r="S11" s="1651"/>
      <c r="T11" s="1650"/>
      <c r="U11" s="1649" t="s">
        <v>1309</v>
      </c>
      <c r="V11" s="1651"/>
      <c r="W11" s="1650"/>
      <c r="X11" s="1647" t="s">
        <v>1310</v>
      </c>
      <c r="Y11" s="1647" t="s">
        <v>1311</v>
      </c>
      <c r="Z11" s="1647" t="s">
        <v>1312</v>
      </c>
      <c r="AA11" s="1652"/>
      <c r="AB11" s="1652"/>
      <c r="AC11" s="1652"/>
      <c r="AD11" s="1652"/>
      <c r="AE11" s="1652"/>
      <c r="AF11" s="1652"/>
      <c r="AG11" s="1652"/>
      <c r="AH11" s="1652"/>
      <c r="AI11" s="1652"/>
      <c r="AJ11" s="1652"/>
      <c r="AK11" s="1652"/>
      <c r="AL11" s="1652"/>
      <c r="AM11" s="1652"/>
      <c r="AN11" s="1652"/>
      <c r="AO11" s="1652"/>
      <c r="AP11" s="1652"/>
      <c r="AQ11" s="1652"/>
      <c r="AR11" s="1652"/>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c r="BP11" s="1652"/>
      <c r="BQ11" s="1652"/>
      <c r="BR11" s="1652"/>
      <c r="BS11" s="1652"/>
      <c r="BT11" s="1652"/>
      <c r="BU11" s="1652"/>
      <c r="BV11" s="1652"/>
      <c r="BW11" s="1652"/>
      <c r="BX11" s="1652"/>
      <c r="BY11" s="1652"/>
      <c r="BZ11" s="1652"/>
      <c r="CA11" s="1652"/>
      <c r="CB11" s="1652"/>
      <c r="CC11" s="1652"/>
      <c r="CD11" s="1652"/>
      <c r="CE11" s="1652"/>
      <c r="CF11" s="1652"/>
      <c r="CG11" s="1652"/>
      <c r="CH11" s="1652"/>
      <c r="CI11" s="1652"/>
      <c r="CJ11" s="1652"/>
      <c r="CK11" s="1652"/>
      <c r="CL11" s="1652"/>
      <c r="CM11" s="1652"/>
      <c r="CN11" s="1652"/>
      <c r="CO11" s="1652"/>
      <c r="CP11" s="1652"/>
      <c r="CQ11" s="1652"/>
      <c r="CR11" s="1652"/>
      <c r="CS11" s="1652"/>
      <c r="CT11" s="1652"/>
      <c r="CU11" s="1652"/>
      <c r="CV11" s="1652"/>
      <c r="CW11" s="1652"/>
      <c r="CX11" s="1652"/>
      <c r="CY11" s="1652"/>
      <c r="CZ11" s="1652"/>
      <c r="DA11" s="1652"/>
      <c r="DB11" s="1652"/>
      <c r="DC11" s="1652"/>
      <c r="DD11" s="1652"/>
      <c r="DE11" s="1652"/>
      <c r="DF11" s="1652"/>
      <c r="DG11" s="1652"/>
      <c r="DH11" s="1652"/>
      <c r="DI11" s="1652"/>
      <c r="DJ11" s="1652"/>
      <c r="DK11" s="1652"/>
      <c r="DL11" s="1652"/>
      <c r="DM11" s="1652"/>
      <c r="DN11" s="1652"/>
      <c r="DO11" s="1652"/>
      <c r="DP11" s="1652"/>
      <c r="DQ11" s="1652"/>
      <c r="DR11" s="1652"/>
      <c r="DS11" s="1652"/>
      <c r="DT11" s="1652"/>
      <c r="DU11" s="1652"/>
      <c r="DV11" s="1652"/>
      <c r="DW11" s="1652"/>
      <c r="DX11" s="1652"/>
      <c r="DY11" s="1652"/>
      <c r="DZ11" s="1652"/>
      <c r="EA11" s="1652"/>
      <c r="EB11" s="1652"/>
      <c r="EC11" s="1652"/>
      <c r="ED11" s="1652"/>
      <c r="EE11" s="1652"/>
      <c r="EF11" s="1652"/>
      <c r="EG11" s="1652"/>
      <c r="EH11" s="1652"/>
      <c r="EI11" s="1652"/>
      <c r="EJ11" s="1652"/>
      <c r="EK11" s="1652"/>
      <c r="EL11" s="1652"/>
      <c r="EM11" s="1652"/>
      <c r="EN11" s="1652"/>
      <c r="EO11" s="1652"/>
      <c r="EP11" s="1652"/>
      <c r="EQ11" s="1652"/>
      <c r="ER11" s="1652"/>
      <c r="ES11" s="1652"/>
      <c r="ET11" s="1652"/>
      <c r="EU11" s="1652"/>
      <c r="EV11" s="1652"/>
      <c r="EW11" s="1652"/>
      <c r="EX11" s="1652"/>
      <c r="EY11" s="1652"/>
      <c r="EZ11" s="1652"/>
      <c r="FA11" s="1652"/>
      <c r="FB11" s="1652"/>
      <c r="FC11" s="1652"/>
      <c r="FD11" s="1652"/>
      <c r="FE11" s="1652"/>
      <c r="FF11" s="1652"/>
      <c r="FG11" s="1652"/>
      <c r="FH11" s="1652"/>
      <c r="FI11" s="1652"/>
      <c r="FJ11" s="1652"/>
      <c r="FK11" s="1652"/>
      <c r="FL11" s="1652"/>
      <c r="FM11" s="1652"/>
      <c r="FN11" s="1652"/>
      <c r="FO11" s="1652"/>
      <c r="FP11" s="1652"/>
      <c r="FQ11" s="1652"/>
      <c r="FR11" s="1652"/>
      <c r="FS11" s="1652"/>
      <c r="FT11" s="1652"/>
      <c r="FU11" s="1652"/>
      <c r="FV11" s="1652"/>
      <c r="FW11" s="1652"/>
      <c r="FX11" s="1652"/>
      <c r="FY11" s="1652"/>
      <c r="FZ11" s="1652"/>
      <c r="GA11" s="1652"/>
      <c r="GB11" s="1652"/>
      <c r="GC11" s="1652"/>
      <c r="GD11" s="1652"/>
      <c r="GE11" s="1652"/>
      <c r="GF11" s="1652"/>
      <c r="GG11" s="1652"/>
      <c r="GH11" s="1652"/>
      <c r="GI11" s="1652"/>
      <c r="GJ11" s="1652"/>
      <c r="GK11" s="1652"/>
      <c r="GL11" s="1652"/>
      <c r="GM11" s="1652"/>
      <c r="GN11" s="1652"/>
      <c r="GO11" s="1652"/>
      <c r="GP11" s="1652"/>
      <c r="GQ11" s="1652"/>
      <c r="GR11" s="1652"/>
      <c r="GS11" s="1652"/>
      <c r="GT11" s="1652"/>
      <c r="GU11" s="1652"/>
      <c r="GV11" s="1652"/>
      <c r="GW11" s="1652"/>
      <c r="GX11" s="1652"/>
      <c r="GY11" s="1652"/>
      <c r="GZ11" s="1652"/>
      <c r="HA11" s="1652"/>
      <c r="HB11" s="1652"/>
      <c r="HC11" s="1652"/>
      <c r="HD11" s="1652"/>
      <c r="HE11" s="1652"/>
      <c r="HF11" s="1652"/>
      <c r="HG11" s="1652"/>
      <c r="HH11" s="1652"/>
      <c r="HI11" s="1652"/>
      <c r="HJ11" s="1652"/>
      <c r="HK11" s="1652"/>
      <c r="HL11" s="1652"/>
      <c r="HM11" s="1652"/>
      <c r="HN11" s="1652"/>
      <c r="HO11" s="1652"/>
      <c r="HP11" s="1652"/>
      <c r="HQ11" s="1652"/>
      <c r="HR11" s="1652"/>
      <c r="HS11" s="1652"/>
      <c r="HT11" s="1652"/>
      <c r="HU11" s="1652"/>
      <c r="HV11" s="1652"/>
      <c r="HW11" s="1652"/>
      <c r="HX11" s="1652"/>
      <c r="HY11" s="1652"/>
      <c r="HZ11" s="1652"/>
      <c r="IA11" s="1652"/>
      <c r="IB11" s="1652"/>
      <c r="IC11" s="1652"/>
      <c r="ID11" s="1652"/>
      <c r="IE11" s="1652"/>
      <c r="IF11" s="1652"/>
      <c r="IG11" s="1652"/>
      <c r="IH11" s="1652"/>
      <c r="II11" s="1652"/>
      <c r="IJ11" s="1652"/>
      <c r="IK11" s="1652"/>
      <c r="IL11" s="1652"/>
      <c r="IM11" s="1652"/>
      <c r="IN11" s="1652"/>
      <c r="IO11" s="1652"/>
      <c r="IP11" s="1652"/>
      <c r="IQ11" s="1652"/>
      <c r="IR11" s="1652"/>
      <c r="IS11" s="1652"/>
      <c r="IT11" s="1652"/>
      <c r="IU11" s="1652"/>
      <c r="IV11" s="1652"/>
    </row>
    <row r="12" spans="1:257">
      <c r="A12" s="1653"/>
      <c r="B12" s="1654"/>
      <c r="C12" s="1655"/>
      <c r="D12" s="1656" t="s">
        <v>1313</v>
      </c>
      <c r="E12" s="1656" t="s">
        <v>1314</v>
      </c>
      <c r="F12" s="1656" t="s">
        <v>1315</v>
      </c>
      <c r="G12" s="1656" t="s">
        <v>1316</v>
      </c>
      <c r="H12" s="1656" t="s">
        <v>1298</v>
      </c>
      <c r="I12" s="1657" t="s">
        <v>1317</v>
      </c>
      <c r="J12" s="1657" t="s">
        <v>1317</v>
      </c>
      <c r="K12" s="1653"/>
      <c r="L12" s="1654"/>
      <c r="M12" s="1655"/>
      <c r="N12" s="1654"/>
      <c r="O12" s="1657" t="s">
        <v>1318</v>
      </c>
      <c r="P12" s="1657">
        <v>0.5</v>
      </c>
      <c r="Q12" s="1657">
        <v>1</v>
      </c>
      <c r="R12" s="1657">
        <v>2</v>
      </c>
      <c r="S12" s="1657">
        <v>3</v>
      </c>
      <c r="T12" s="1657">
        <v>5</v>
      </c>
      <c r="U12" s="1657">
        <v>1</v>
      </c>
      <c r="V12" s="1657">
        <v>3</v>
      </c>
      <c r="W12" s="1657">
        <v>5</v>
      </c>
      <c r="X12" s="1654"/>
      <c r="Y12" s="1654"/>
      <c r="Z12" s="1654"/>
      <c r="AA12" s="1658"/>
      <c r="AB12" s="1658"/>
      <c r="AC12" s="1658"/>
      <c r="AD12" s="1658"/>
      <c r="AE12" s="1658"/>
      <c r="AF12" s="1658"/>
      <c r="AG12" s="1658"/>
      <c r="AH12" s="1658"/>
      <c r="AI12" s="1658"/>
      <c r="AJ12" s="1658"/>
      <c r="AK12" s="1658"/>
      <c r="AL12" s="1658"/>
      <c r="AM12" s="1658"/>
      <c r="AN12" s="1658"/>
      <c r="AO12" s="1658"/>
      <c r="AP12" s="1658"/>
      <c r="AQ12" s="1658"/>
      <c r="AR12" s="1658"/>
      <c r="AS12" s="1658"/>
      <c r="AT12" s="1658"/>
      <c r="AU12" s="1658"/>
      <c r="AV12" s="1658"/>
      <c r="AW12" s="1658"/>
      <c r="AX12" s="1658"/>
      <c r="AY12" s="1658"/>
      <c r="AZ12" s="1658"/>
      <c r="BA12" s="1658"/>
      <c r="BB12" s="1658"/>
      <c r="BC12" s="1658"/>
      <c r="BD12" s="1658"/>
      <c r="BE12" s="1658"/>
      <c r="BF12" s="1658"/>
      <c r="BG12" s="1658"/>
      <c r="BH12" s="1658"/>
      <c r="BI12" s="1658"/>
      <c r="BJ12" s="1658"/>
      <c r="BK12" s="1658"/>
      <c r="BL12" s="1658"/>
      <c r="BM12" s="1658"/>
      <c r="BN12" s="1658"/>
      <c r="BO12" s="1658"/>
      <c r="BP12" s="1658"/>
      <c r="BQ12" s="1658"/>
      <c r="BR12" s="1658"/>
      <c r="BS12" s="1658"/>
      <c r="BT12" s="1658"/>
      <c r="BU12" s="1658"/>
      <c r="BV12" s="1658"/>
      <c r="BW12" s="1658"/>
      <c r="BX12" s="1658"/>
      <c r="BY12" s="1658"/>
      <c r="BZ12" s="1658"/>
      <c r="CA12" s="1658"/>
      <c r="CB12" s="1658"/>
      <c r="CC12" s="1658"/>
      <c r="CD12" s="1658"/>
      <c r="CE12" s="1658"/>
      <c r="CF12" s="1658"/>
      <c r="CG12" s="1658"/>
      <c r="CH12" s="1658"/>
      <c r="CI12" s="1658"/>
      <c r="CJ12" s="1658"/>
      <c r="CK12" s="1658"/>
      <c r="CL12" s="1658"/>
      <c r="CM12" s="1658"/>
      <c r="CN12" s="1658"/>
      <c r="CO12" s="1658"/>
      <c r="CP12" s="1658"/>
      <c r="CQ12" s="1658"/>
      <c r="CR12" s="1658"/>
      <c r="CS12" s="1658"/>
      <c r="CT12" s="1658"/>
      <c r="CU12" s="1658"/>
      <c r="CV12" s="1658"/>
      <c r="CW12" s="1658"/>
      <c r="CX12" s="1658"/>
      <c r="CY12" s="1658"/>
      <c r="CZ12" s="1658"/>
      <c r="DA12" s="1658"/>
      <c r="DB12" s="1658"/>
      <c r="DC12" s="1658"/>
      <c r="DD12" s="1658"/>
      <c r="DE12" s="1658"/>
      <c r="DF12" s="1658"/>
      <c r="DG12" s="1658"/>
      <c r="DH12" s="1658"/>
      <c r="DI12" s="1658"/>
      <c r="DJ12" s="1658"/>
      <c r="DK12" s="1658"/>
      <c r="DL12" s="1658"/>
      <c r="DM12" s="1658"/>
      <c r="DN12" s="1658"/>
      <c r="DO12" s="1658"/>
      <c r="DP12" s="1658"/>
      <c r="DQ12" s="1658"/>
      <c r="DR12" s="1658"/>
      <c r="DS12" s="1658"/>
      <c r="DT12" s="1658"/>
      <c r="DU12" s="1658"/>
      <c r="DV12" s="1658"/>
      <c r="DW12" s="1658"/>
      <c r="DX12" s="1658"/>
      <c r="DY12" s="1658"/>
      <c r="DZ12" s="1658"/>
      <c r="EA12" s="1658"/>
      <c r="EB12" s="1658"/>
      <c r="EC12" s="1658"/>
      <c r="ED12" s="1658"/>
      <c r="EE12" s="1658"/>
      <c r="EF12" s="1658"/>
      <c r="EG12" s="1658"/>
      <c r="EH12" s="1658"/>
      <c r="EI12" s="1658"/>
      <c r="EJ12" s="1658"/>
      <c r="EK12" s="1658"/>
      <c r="EL12" s="1658"/>
      <c r="EM12" s="1658"/>
      <c r="EN12" s="1658"/>
      <c r="EO12" s="1658"/>
      <c r="EP12" s="1658"/>
      <c r="EQ12" s="1658"/>
      <c r="ER12" s="1658"/>
      <c r="ES12" s="1658"/>
      <c r="ET12" s="1658"/>
      <c r="EU12" s="1658"/>
      <c r="EV12" s="1658"/>
      <c r="EW12" s="1658"/>
      <c r="EX12" s="1658"/>
      <c r="EY12" s="1658"/>
      <c r="EZ12" s="1658"/>
      <c r="FA12" s="1658"/>
      <c r="FB12" s="1658"/>
      <c r="FC12" s="1658"/>
      <c r="FD12" s="1658"/>
      <c r="FE12" s="1658"/>
      <c r="FF12" s="1658"/>
      <c r="FG12" s="1658"/>
      <c r="FH12" s="1658"/>
      <c r="FI12" s="1658"/>
      <c r="FJ12" s="1658"/>
      <c r="FK12" s="1658"/>
      <c r="FL12" s="1658"/>
      <c r="FM12" s="1658"/>
      <c r="FN12" s="1658"/>
      <c r="FO12" s="1658"/>
      <c r="FP12" s="1658"/>
      <c r="FQ12" s="1658"/>
      <c r="FR12" s="1658"/>
      <c r="FS12" s="1658"/>
      <c r="FT12" s="1658"/>
      <c r="FU12" s="1658"/>
      <c r="FV12" s="1658"/>
      <c r="FW12" s="1658"/>
      <c r="FX12" s="1658"/>
      <c r="FY12" s="1658"/>
      <c r="FZ12" s="1658"/>
      <c r="GA12" s="1658"/>
      <c r="GB12" s="1658"/>
      <c r="GC12" s="1658"/>
      <c r="GD12" s="1658"/>
      <c r="GE12" s="1658"/>
      <c r="GF12" s="1658"/>
      <c r="GG12" s="1658"/>
      <c r="GH12" s="1658"/>
      <c r="GI12" s="1658"/>
      <c r="GJ12" s="1658"/>
      <c r="GK12" s="1658"/>
      <c r="GL12" s="1658"/>
      <c r="GM12" s="1658"/>
      <c r="GN12" s="1658"/>
      <c r="GO12" s="1658"/>
      <c r="GP12" s="1658"/>
      <c r="GQ12" s="1658"/>
      <c r="GR12" s="1658"/>
      <c r="GS12" s="1658"/>
      <c r="GT12" s="1658"/>
      <c r="GU12" s="1658"/>
      <c r="GV12" s="1658"/>
      <c r="GW12" s="1658"/>
      <c r="GX12" s="1658"/>
      <c r="GY12" s="1658"/>
      <c r="GZ12" s="1658"/>
      <c r="HA12" s="1658"/>
      <c r="HB12" s="1658"/>
      <c r="HC12" s="1658"/>
      <c r="HD12" s="1658"/>
      <c r="HE12" s="1658"/>
      <c r="HF12" s="1658"/>
      <c r="HG12" s="1658"/>
      <c r="HH12" s="1658"/>
      <c r="HI12" s="1658"/>
      <c r="HJ12" s="1658"/>
      <c r="HK12" s="1658"/>
      <c r="HL12" s="1658"/>
      <c r="HM12" s="1658"/>
      <c r="HN12" s="1658"/>
      <c r="HO12" s="1658"/>
      <c r="HP12" s="1658"/>
      <c r="HQ12" s="1658"/>
      <c r="HR12" s="1658"/>
      <c r="HS12" s="1658"/>
      <c r="HT12" s="1658"/>
      <c r="HU12" s="1658"/>
      <c r="HV12" s="1658"/>
      <c r="HW12" s="1658"/>
      <c r="HX12" s="1658"/>
      <c r="HY12" s="1658"/>
      <c r="HZ12" s="1658"/>
      <c r="IA12" s="1658"/>
      <c r="IB12" s="1658"/>
      <c r="IC12" s="1658"/>
      <c r="ID12" s="1658"/>
      <c r="IE12" s="1658"/>
      <c r="IF12" s="1658"/>
      <c r="IG12" s="1658"/>
      <c r="IH12" s="1658"/>
      <c r="II12" s="1658"/>
      <c r="IJ12" s="1658"/>
      <c r="IK12" s="1658"/>
      <c r="IL12" s="1658"/>
      <c r="IM12" s="1658"/>
      <c r="IN12" s="1658"/>
      <c r="IO12" s="1658"/>
      <c r="IP12" s="1658"/>
      <c r="IQ12" s="1658"/>
      <c r="IR12" s="1658"/>
      <c r="IS12" s="1658"/>
      <c r="IT12" s="1658"/>
      <c r="IU12" s="1658"/>
      <c r="IV12" s="1658"/>
    </row>
    <row r="13" spans="1:257" ht="31.2">
      <c r="A13" s="1659"/>
      <c r="B13" s="1660" t="s">
        <v>1319</v>
      </c>
      <c r="C13" s="1661">
        <v>42301</v>
      </c>
      <c r="D13" s="1662">
        <v>4.3499999999999996</v>
      </c>
      <c r="E13" s="1662">
        <v>4.3499999999999996</v>
      </c>
      <c r="F13" s="1662">
        <v>4.75</v>
      </c>
      <c r="G13" s="1662">
        <v>4.75</v>
      </c>
      <c r="H13" s="1662">
        <v>4.9000000000000004</v>
      </c>
      <c r="I13" s="1662">
        <v>2.75</v>
      </c>
      <c r="J13" s="1662">
        <v>3.25</v>
      </c>
      <c r="K13" s="1659"/>
      <c r="L13" s="1660" t="s">
        <v>1319</v>
      </c>
      <c r="M13" s="1663">
        <v>42301</v>
      </c>
      <c r="N13" s="1662">
        <v>0.35</v>
      </c>
      <c r="O13" s="1662">
        <v>1.1000000000000001</v>
      </c>
      <c r="P13" s="1662">
        <v>1.3</v>
      </c>
      <c r="Q13" s="1662">
        <v>1.5</v>
      </c>
      <c r="R13" s="1662">
        <v>2.1</v>
      </c>
      <c r="S13" s="1662">
        <v>2.75</v>
      </c>
      <c r="T13" s="1662"/>
      <c r="U13" s="1662"/>
      <c r="V13" s="1662"/>
      <c r="W13" s="1662"/>
      <c r="X13" s="1662"/>
      <c r="Y13" s="1662"/>
      <c r="Z13" s="1662"/>
      <c r="AA13" s="1664"/>
      <c r="AB13" s="1664"/>
      <c r="AC13" s="1664"/>
      <c r="AD13" s="1664"/>
      <c r="AE13" s="1664"/>
      <c r="AF13" s="1664"/>
      <c r="AG13" s="1664"/>
      <c r="AH13" s="1664"/>
      <c r="AI13" s="1664"/>
      <c r="AJ13" s="1664"/>
      <c r="AK13" s="1664"/>
      <c r="AL13" s="1664"/>
      <c r="AM13" s="1664"/>
      <c r="AN13" s="1664"/>
      <c r="AO13" s="1664"/>
      <c r="AP13" s="1664"/>
      <c r="AQ13" s="1664"/>
      <c r="AR13" s="1664"/>
      <c r="AS13" s="1664"/>
      <c r="AT13" s="1664"/>
      <c r="AU13" s="1664"/>
      <c r="AV13" s="1664"/>
      <c r="AW13" s="1664"/>
      <c r="AX13" s="1664"/>
      <c r="AY13" s="1664"/>
      <c r="AZ13" s="1664"/>
      <c r="BA13" s="1664"/>
      <c r="BB13" s="1664"/>
      <c r="BC13" s="1664"/>
      <c r="BD13" s="1664"/>
      <c r="BE13" s="1664"/>
      <c r="BF13" s="1664"/>
      <c r="BG13" s="1664"/>
      <c r="BH13" s="1664"/>
      <c r="BI13" s="1664"/>
      <c r="BJ13" s="1664"/>
      <c r="BK13" s="1664"/>
      <c r="BL13" s="1664"/>
      <c r="BM13" s="1664"/>
      <c r="BN13" s="1664"/>
      <c r="BO13" s="1664"/>
      <c r="BP13" s="1664"/>
      <c r="BQ13" s="1664"/>
      <c r="BR13" s="1664"/>
      <c r="BS13" s="1664"/>
      <c r="BT13" s="1664"/>
      <c r="BU13" s="1664"/>
      <c r="BV13" s="1664"/>
      <c r="BW13" s="1664"/>
      <c r="BX13" s="1664"/>
      <c r="BY13" s="1664"/>
      <c r="BZ13" s="1664"/>
      <c r="CA13" s="1664"/>
      <c r="CB13" s="1664"/>
      <c r="CC13" s="1664"/>
      <c r="CD13" s="1664"/>
      <c r="CE13" s="1664"/>
      <c r="CF13" s="1664"/>
      <c r="CG13" s="1664"/>
      <c r="CH13" s="1664"/>
      <c r="CI13" s="1664"/>
      <c r="CJ13" s="1664"/>
      <c r="CK13" s="1664"/>
      <c r="CL13" s="1664"/>
      <c r="CM13" s="1664"/>
      <c r="CN13" s="1664"/>
      <c r="CO13" s="1664"/>
      <c r="CP13" s="1664"/>
      <c r="CQ13" s="1664"/>
      <c r="CR13" s="1664"/>
      <c r="CS13" s="1664"/>
      <c r="CT13" s="1664"/>
      <c r="CU13" s="1664"/>
      <c r="CV13" s="1664"/>
      <c r="CW13" s="1664"/>
      <c r="CX13" s="1664"/>
      <c r="CY13" s="1664"/>
      <c r="CZ13" s="1664"/>
      <c r="DA13" s="1664"/>
      <c r="DB13" s="1664"/>
      <c r="DC13" s="1664"/>
      <c r="DD13" s="1664"/>
      <c r="DE13" s="1664"/>
      <c r="DF13" s="1664"/>
      <c r="DG13" s="1664"/>
      <c r="DH13" s="1664"/>
      <c r="DI13" s="1664"/>
      <c r="DJ13" s="1664"/>
      <c r="DK13" s="1664"/>
      <c r="DL13" s="1664"/>
      <c r="DM13" s="1664"/>
      <c r="DN13" s="1664"/>
      <c r="DO13" s="1664"/>
      <c r="DP13" s="1664"/>
      <c r="DQ13" s="1664"/>
      <c r="DR13" s="1664"/>
      <c r="DS13" s="1664"/>
      <c r="DT13" s="1664"/>
      <c r="DU13" s="1664"/>
      <c r="DV13" s="1664"/>
      <c r="DW13" s="1664"/>
      <c r="DX13" s="1664"/>
      <c r="DY13" s="1664"/>
      <c r="DZ13" s="1664"/>
      <c r="EA13" s="1664"/>
      <c r="EB13" s="1664"/>
      <c r="EC13" s="1664"/>
      <c r="ED13" s="1664"/>
      <c r="EE13" s="1664"/>
      <c r="EF13" s="1664"/>
      <c r="EG13" s="1664"/>
      <c r="EH13" s="1664"/>
      <c r="EI13" s="1664"/>
      <c r="EJ13" s="1664"/>
      <c r="EK13" s="1664"/>
      <c r="EL13" s="1664"/>
      <c r="EM13" s="1664"/>
      <c r="EN13" s="1664"/>
      <c r="EO13" s="1664"/>
      <c r="EP13" s="1664"/>
      <c r="EQ13" s="1664"/>
      <c r="ER13" s="1664"/>
      <c r="ES13" s="1664"/>
      <c r="ET13" s="1664"/>
      <c r="EU13" s="1664"/>
      <c r="EV13" s="1664"/>
      <c r="EW13" s="1664"/>
      <c r="EX13" s="1664"/>
      <c r="EY13" s="1664"/>
      <c r="EZ13" s="1664"/>
      <c r="FA13" s="1664"/>
      <c r="FB13" s="1664"/>
      <c r="FC13" s="1664"/>
      <c r="FD13" s="1664"/>
      <c r="FE13" s="1664"/>
      <c r="FF13" s="1664"/>
      <c r="FG13" s="1664"/>
      <c r="FH13" s="1664"/>
      <c r="FI13" s="1664"/>
      <c r="FJ13" s="1664"/>
      <c r="FK13" s="1664"/>
      <c r="FL13" s="1664"/>
      <c r="FM13" s="1664"/>
      <c r="FN13" s="1664"/>
      <c r="FO13" s="1664"/>
      <c r="FP13" s="1664"/>
      <c r="FQ13" s="1664"/>
      <c r="FR13" s="1664"/>
      <c r="FS13" s="1664"/>
      <c r="FT13" s="1664"/>
      <c r="FU13" s="1664"/>
      <c r="FV13" s="1664"/>
      <c r="FW13" s="1664"/>
      <c r="FX13" s="1664"/>
      <c r="FY13" s="1664"/>
      <c r="FZ13" s="1664"/>
      <c r="GA13" s="1664"/>
      <c r="GB13" s="1664"/>
      <c r="GC13" s="1664"/>
      <c r="GD13" s="1664"/>
      <c r="GE13" s="1664"/>
      <c r="GF13" s="1664"/>
      <c r="GG13" s="1664"/>
      <c r="GH13" s="1664"/>
      <c r="GI13" s="1664"/>
      <c r="GJ13" s="1664"/>
      <c r="GK13" s="1664"/>
      <c r="GL13" s="1664"/>
      <c r="GM13" s="1664"/>
      <c r="GN13" s="1664"/>
      <c r="GO13" s="1664"/>
      <c r="GP13" s="1664"/>
      <c r="GQ13" s="1664"/>
      <c r="GR13" s="1664"/>
      <c r="GS13" s="1664"/>
      <c r="GT13" s="1664"/>
      <c r="GU13" s="1664"/>
      <c r="GV13" s="1664"/>
      <c r="GW13" s="1664"/>
      <c r="GX13" s="1664"/>
      <c r="GY13" s="1664"/>
      <c r="GZ13" s="1664"/>
      <c r="HA13" s="1664"/>
      <c r="HB13" s="1664"/>
      <c r="HC13" s="1664"/>
      <c r="HD13" s="1664"/>
      <c r="HE13" s="1664"/>
      <c r="HF13" s="1664"/>
      <c r="HG13" s="1664"/>
      <c r="HH13" s="1664"/>
      <c r="HI13" s="1664"/>
      <c r="HJ13" s="1664"/>
      <c r="HK13" s="1664"/>
      <c r="HL13" s="1664"/>
      <c r="HM13" s="1664"/>
      <c r="HN13" s="1664"/>
      <c r="HO13" s="1664"/>
      <c r="HP13" s="1664"/>
      <c r="HQ13" s="1664"/>
      <c r="HR13" s="1664"/>
      <c r="HS13" s="1664"/>
      <c r="HT13" s="1664"/>
      <c r="HU13" s="1664"/>
      <c r="HV13" s="1664"/>
      <c r="HW13" s="1664"/>
      <c r="HX13" s="1664"/>
      <c r="HY13" s="1664"/>
      <c r="HZ13" s="1664"/>
      <c r="IA13" s="1664"/>
      <c r="IB13" s="1664"/>
      <c r="IC13" s="1664"/>
      <c r="ID13" s="1664"/>
      <c r="IE13" s="1664"/>
      <c r="IF13" s="1664"/>
      <c r="IG13" s="1664"/>
      <c r="IH13" s="1664"/>
      <c r="II13" s="1664"/>
      <c r="IJ13" s="1664"/>
      <c r="IK13" s="1664"/>
      <c r="IL13" s="1664"/>
      <c r="IM13" s="1664"/>
      <c r="IN13" s="1664"/>
      <c r="IO13" s="1664"/>
      <c r="IP13" s="1664"/>
      <c r="IQ13" s="1664"/>
      <c r="IR13" s="1664"/>
      <c r="IS13" s="1664"/>
      <c r="IT13" s="1664"/>
      <c r="IU13" s="1664"/>
      <c r="IV13" s="1664"/>
      <c r="IW13" s="1665"/>
    </row>
    <row r="14" spans="1:257">
      <c r="B14" s="1666"/>
      <c r="C14" s="1667">
        <v>42242</v>
      </c>
      <c r="D14" s="1666">
        <v>4.5999999999999996</v>
      </c>
      <c r="E14" s="1666">
        <v>4.5999999999999996</v>
      </c>
      <c r="F14" s="1666">
        <v>5</v>
      </c>
      <c r="G14" s="1666">
        <v>5</v>
      </c>
      <c r="H14" s="1666">
        <v>5.15</v>
      </c>
      <c r="I14" s="1666">
        <v>2.75</v>
      </c>
      <c r="J14" s="1666">
        <v>3.25</v>
      </c>
      <c r="L14" s="1666"/>
      <c r="M14" s="1667">
        <v>42242</v>
      </c>
      <c r="N14" s="1666">
        <v>0.35</v>
      </c>
      <c r="O14" s="1666">
        <v>1.35</v>
      </c>
      <c r="P14" s="1666">
        <v>1.55</v>
      </c>
      <c r="Q14" s="1666">
        <v>1.75</v>
      </c>
      <c r="R14" s="1666">
        <v>2.35</v>
      </c>
      <c r="S14" s="1666">
        <v>3</v>
      </c>
      <c r="T14" s="1666"/>
      <c r="U14" s="1666"/>
      <c r="V14" s="1666"/>
      <c r="W14" s="1666"/>
      <c r="X14" s="1666"/>
      <c r="Y14" s="1666"/>
      <c r="Z14" s="1666"/>
    </row>
    <row r="15" spans="1:257">
      <c r="B15" s="1666"/>
      <c r="C15" s="1667">
        <v>42183</v>
      </c>
      <c r="D15" s="1666">
        <v>4.8499999999999996</v>
      </c>
      <c r="E15" s="1666">
        <v>4.8499999999999996</v>
      </c>
      <c r="F15" s="1666">
        <v>5.25</v>
      </c>
      <c r="G15" s="1666">
        <v>5.25</v>
      </c>
      <c r="H15" s="1666">
        <v>5.4</v>
      </c>
      <c r="I15" s="1666">
        <v>3</v>
      </c>
      <c r="J15" s="1666">
        <v>3.5</v>
      </c>
      <c r="L15" s="1666"/>
      <c r="M15" s="1667">
        <v>42183</v>
      </c>
      <c r="N15" s="1666">
        <v>0.35</v>
      </c>
      <c r="O15" s="1666">
        <v>1.6</v>
      </c>
      <c r="P15" s="1666">
        <v>1.8</v>
      </c>
      <c r="Q15" s="1666">
        <v>2</v>
      </c>
      <c r="R15" s="1666">
        <v>2.6</v>
      </c>
      <c r="S15" s="1666">
        <v>3.25</v>
      </c>
      <c r="T15" s="1666"/>
      <c r="U15" s="1666"/>
      <c r="V15" s="1666"/>
      <c r="W15" s="1666"/>
      <c r="X15" s="1666"/>
      <c r="Y15" s="1666"/>
      <c r="Z15" s="1666"/>
    </row>
    <row r="16" spans="1:257">
      <c r="B16" s="1666"/>
      <c r="C16" s="1667">
        <v>42135</v>
      </c>
      <c r="D16" s="1666">
        <v>5.0999999999999996</v>
      </c>
      <c r="E16" s="1666">
        <v>5.0999999999999996</v>
      </c>
      <c r="F16" s="1666">
        <v>5.5</v>
      </c>
      <c r="G16" s="1666">
        <v>5.5</v>
      </c>
      <c r="H16" s="1666">
        <v>5.65</v>
      </c>
      <c r="I16" s="1666">
        <v>3.25</v>
      </c>
      <c r="J16" s="1666">
        <v>3.75</v>
      </c>
      <c r="L16" s="1666"/>
      <c r="M16" s="1667">
        <v>42135</v>
      </c>
      <c r="N16" s="1666">
        <v>0.35</v>
      </c>
      <c r="O16" s="1666">
        <v>1.85</v>
      </c>
      <c r="P16" s="1666">
        <v>2.0499999999999998</v>
      </c>
      <c r="Q16" s="1666">
        <v>2.25</v>
      </c>
      <c r="R16" s="1666">
        <v>2.85</v>
      </c>
      <c r="S16" s="1666">
        <v>3.5</v>
      </c>
      <c r="T16" s="1666"/>
      <c r="U16" s="1666"/>
      <c r="V16" s="1666"/>
      <c r="W16" s="1666"/>
      <c r="X16" s="1666"/>
      <c r="Y16" s="1666"/>
      <c r="Z16" s="1666"/>
    </row>
    <row r="17" spans="2:26">
      <c r="B17" s="1666"/>
      <c r="C17" s="1667">
        <v>42064</v>
      </c>
      <c r="D17" s="1666">
        <v>5.35</v>
      </c>
      <c r="E17" s="1666">
        <v>5.35</v>
      </c>
      <c r="F17" s="1666">
        <v>5.75</v>
      </c>
      <c r="G17" s="1666">
        <v>5.75</v>
      </c>
      <c r="H17" s="1666">
        <v>5.9</v>
      </c>
      <c r="I17" s="1666"/>
      <c r="J17" s="1666"/>
      <c r="L17" s="1666"/>
      <c r="M17" s="1667">
        <v>42064</v>
      </c>
      <c r="N17" s="1666">
        <v>0.35</v>
      </c>
      <c r="O17" s="1666">
        <v>2.1</v>
      </c>
      <c r="P17" s="1666">
        <v>2.2999999999999998</v>
      </c>
      <c r="Q17" s="1666">
        <v>2.5</v>
      </c>
      <c r="R17" s="1666">
        <v>3.1</v>
      </c>
      <c r="S17" s="1666">
        <v>3.75</v>
      </c>
      <c r="T17" s="1666">
        <v>4.5</v>
      </c>
      <c r="U17" s="1666">
        <v>2.35</v>
      </c>
      <c r="V17" s="1666">
        <v>2.5499999999999998</v>
      </c>
      <c r="W17" s="1666">
        <v>2.75</v>
      </c>
      <c r="X17" s="1666"/>
      <c r="Y17" s="1666">
        <v>0.8</v>
      </c>
      <c r="Z17" s="1666">
        <v>1.35</v>
      </c>
    </row>
    <row r="18" spans="2:26" ht="16.8">
      <c r="B18" s="1666"/>
      <c r="C18" s="1667">
        <v>41965</v>
      </c>
      <c r="D18" s="1666">
        <v>5.6</v>
      </c>
      <c r="E18" s="1666">
        <v>5.6</v>
      </c>
      <c r="F18" s="1666">
        <v>6</v>
      </c>
      <c r="G18" s="1666">
        <v>6</v>
      </c>
      <c r="H18" s="1666">
        <v>6.15</v>
      </c>
      <c r="I18" s="1666"/>
      <c r="J18" s="1666"/>
      <c r="L18" s="1666"/>
      <c r="M18" s="1667">
        <v>41965</v>
      </c>
      <c r="N18" s="1666">
        <v>0.35</v>
      </c>
      <c r="O18" s="1666">
        <v>2.35</v>
      </c>
      <c r="P18" s="1666">
        <v>2.5499999999999998</v>
      </c>
      <c r="Q18" s="1666">
        <v>2.75</v>
      </c>
      <c r="R18" s="1666">
        <v>3.35</v>
      </c>
      <c r="S18" s="1666">
        <v>4</v>
      </c>
      <c r="T18" s="1666">
        <v>4.75</v>
      </c>
      <c r="U18" s="1668">
        <v>2.35</v>
      </c>
      <c r="V18" s="1668">
        <v>2.5499999999999998</v>
      </c>
      <c r="W18" s="1668">
        <v>2.75</v>
      </c>
      <c r="X18" s="1666"/>
      <c r="Y18" s="1668">
        <v>0.8</v>
      </c>
      <c r="Z18" s="1668">
        <v>1.35</v>
      </c>
    </row>
    <row r="19" spans="2:26">
      <c r="B19" s="1666"/>
      <c r="C19" s="1667">
        <v>41096</v>
      </c>
      <c r="D19" s="1666">
        <v>5.6</v>
      </c>
      <c r="E19" s="1666">
        <v>6</v>
      </c>
      <c r="F19" s="1666">
        <v>6.15</v>
      </c>
      <c r="G19" s="1666">
        <v>6.4</v>
      </c>
      <c r="H19" s="1666">
        <v>6.55</v>
      </c>
      <c r="I19" s="1666">
        <v>4</v>
      </c>
      <c r="J19" s="1666">
        <v>4.5</v>
      </c>
      <c r="L19" s="1666"/>
      <c r="M19" s="1667">
        <v>41096</v>
      </c>
      <c r="N19" s="1666">
        <v>0.35</v>
      </c>
      <c r="O19" s="1666">
        <v>2.6</v>
      </c>
      <c r="P19" s="1666">
        <v>2.8</v>
      </c>
      <c r="Q19" s="1666">
        <v>3</v>
      </c>
      <c r="R19" s="1666">
        <v>3.75</v>
      </c>
      <c r="S19" s="1666">
        <v>4.25</v>
      </c>
      <c r="T19" s="1666">
        <v>4.75</v>
      </c>
      <c r="U19" s="1666">
        <v>2.85</v>
      </c>
      <c r="V19" s="1666">
        <v>2.9</v>
      </c>
      <c r="W19" s="1666">
        <v>3</v>
      </c>
      <c r="X19" s="1666">
        <v>1.1499999999999999</v>
      </c>
      <c r="Y19" s="1666">
        <v>0.8</v>
      </c>
      <c r="Z19" s="1666">
        <v>1.35</v>
      </c>
    </row>
    <row r="20" spans="2:26">
      <c r="B20" s="1666"/>
      <c r="C20" s="1667">
        <v>41068</v>
      </c>
      <c r="D20" s="1666">
        <v>5.85</v>
      </c>
      <c r="E20" s="1666">
        <v>6.31</v>
      </c>
      <c r="F20" s="1666">
        <v>6.4</v>
      </c>
      <c r="G20" s="1666">
        <v>6.65</v>
      </c>
      <c r="H20" s="1666">
        <v>6.8</v>
      </c>
      <c r="I20" s="1666">
        <v>4.2</v>
      </c>
      <c r="J20" s="1666">
        <v>4.7</v>
      </c>
      <c r="L20" s="1666"/>
      <c r="M20" s="1667">
        <v>41068</v>
      </c>
      <c r="N20" s="1666">
        <v>0.4</v>
      </c>
      <c r="O20" s="1666">
        <v>2.85</v>
      </c>
      <c r="P20" s="1666">
        <v>3.05</v>
      </c>
      <c r="Q20" s="1666">
        <v>3.25</v>
      </c>
      <c r="R20" s="1666">
        <v>4.0999999999999996</v>
      </c>
      <c r="S20" s="1666">
        <v>4.6500000000000004</v>
      </c>
      <c r="T20" s="1666">
        <v>5.0999999999999996</v>
      </c>
      <c r="U20" s="1666">
        <v>3.1</v>
      </c>
      <c r="V20" s="1666">
        <v>3.15</v>
      </c>
      <c r="W20" s="1666">
        <v>3.25</v>
      </c>
      <c r="X20" s="1666">
        <v>1.31</v>
      </c>
      <c r="Y20" s="1666">
        <v>0.94</v>
      </c>
      <c r="Z20" s="1666">
        <v>1.49</v>
      </c>
    </row>
    <row r="21" spans="2:26">
      <c r="B21" s="1666"/>
      <c r="C21" s="1667">
        <v>40731</v>
      </c>
      <c r="D21" s="1666">
        <v>6.1</v>
      </c>
      <c r="E21" s="1666">
        <v>6.56</v>
      </c>
      <c r="F21" s="1666">
        <v>6.65</v>
      </c>
      <c r="G21" s="1666">
        <v>6.9</v>
      </c>
      <c r="H21" s="1666">
        <v>7.05</v>
      </c>
      <c r="I21" s="1666">
        <v>4.45</v>
      </c>
      <c r="J21" s="1666">
        <v>4.9000000000000004</v>
      </c>
      <c r="L21" s="1666"/>
      <c r="M21" s="1667">
        <v>40731</v>
      </c>
      <c r="N21" s="1666">
        <v>0.5</v>
      </c>
      <c r="O21" s="1666">
        <v>3.1</v>
      </c>
      <c r="P21" s="1666">
        <v>3.3</v>
      </c>
      <c r="Q21" s="1666">
        <v>3.5</v>
      </c>
      <c r="R21" s="1666">
        <v>4.4000000000000004</v>
      </c>
      <c r="S21" s="1666">
        <v>5</v>
      </c>
      <c r="T21" s="1666">
        <v>5.5</v>
      </c>
      <c r="U21" s="1666">
        <v>3.1</v>
      </c>
      <c r="V21" s="1666">
        <v>3.3</v>
      </c>
      <c r="W21" s="1666">
        <v>3.5</v>
      </c>
      <c r="X21" s="1666">
        <v>1.31</v>
      </c>
      <c r="Y21" s="1666">
        <v>0.95</v>
      </c>
      <c r="Z21" s="1666">
        <v>1.49</v>
      </c>
    </row>
    <row r="22" spans="2:26">
      <c r="B22" s="1666"/>
      <c r="C22" s="1667">
        <v>40639</v>
      </c>
      <c r="D22" s="1666">
        <v>5.85</v>
      </c>
      <c r="E22" s="1666">
        <v>6.31</v>
      </c>
      <c r="F22" s="1666">
        <v>6.4</v>
      </c>
      <c r="G22" s="1666">
        <v>6.65</v>
      </c>
      <c r="H22" s="1666">
        <v>6.8</v>
      </c>
      <c r="I22" s="1666">
        <v>4.2</v>
      </c>
      <c r="J22" s="1666">
        <v>4.7</v>
      </c>
      <c r="L22" s="1666"/>
      <c r="M22" s="1667">
        <v>40639</v>
      </c>
      <c r="N22" s="1666">
        <v>0.5</v>
      </c>
      <c r="O22" s="1666">
        <v>2.85</v>
      </c>
      <c r="P22" s="1666">
        <v>3.05</v>
      </c>
      <c r="Q22" s="1666">
        <v>3.25</v>
      </c>
      <c r="R22" s="1666">
        <v>4.1500000000000004</v>
      </c>
      <c r="S22" s="1666">
        <v>4.75</v>
      </c>
      <c r="T22" s="1666">
        <v>5.25</v>
      </c>
      <c r="U22" s="1666">
        <v>2.85</v>
      </c>
      <c r="V22" s="1666">
        <v>3.05</v>
      </c>
      <c r="W22" s="1666">
        <v>3.25</v>
      </c>
      <c r="X22" s="1666">
        <v>1.31</v>
      </c>
      <c r="Y22" s="1666">
        <v>0.95</v>
      </c>
      <c r="Z22" s="1666">
        <v>1.49</v>
      </c>
    </row>
    <row r="23" spans="2:26">
      <c r="B23" s="1666"/>
      <c r="C23" s="1667">
        <v>40583</v>
      </c>
      <c r="D23" s="1666">
        <v>5.6</v>
      </c>
      <c r="E23" s="1666">
        <v>6.06</v>
      </c>
      <c r="F23" s="1666">
        <v>6.1</v>
      </c>
      <c r="G23" s="1666">
        <v>6.45</v>
      </c>
      <c r="H23" s="1666">
        <v>6.6</v>
      </c>
      <c r="I23" s="1666">
        <v>4</v>
      </c>
      <c r="J23" s="1666">
        <v>4.5</v>
      </c>
      <c r="L23" s="1666"/>
      <c r="M23" s="1667">
        <v>40583</v>
      </c>
      <c r="N23" s="1666">
        <v>0.4</v>
      </c>
      <c r="O23" s="1666">
        <v>2.6</v>
      </c>
      <c r="P23" s="1666">
        <v>2.8</v>
      </c>
      <c r="Q23" s="1666">
        <v>3</v>
      </c>
      <c r="R23" s="1666">
        <v>3.9</v>
      </c>
      <c r="S23" s="1666">
        <v>4.5</v>
      </c>
      <c r="T23" s="1666">
        <v>5</v>
      </c>
      <c r="U23" s="1666">
        <v>2.6</v>
      </c>
      <c r="V23" s="1666">
        <v>2.8</v>
      </c>
      <c r="W23" s="1666">
        <v>3</v>
      </c>
      <c r="X23" s="1666">
        <v>1.21</v>
      </c>
      <c r="Y23" s="1666">
        <v>0.85</v>
      </c>
      <c r="Z23" s="1666">
        <v>1.39</v>
      </c>
    </row>
    <row r="24" spans="2:26">
      <c r="B24" s="1666"/>
      <c r="C24" s="1667">
        <v>40538</v>
      </c>
      <c r="D24" s="1666">
        <v>5.35</v>
      </c>
      <c r="E24" s="1666">
        <v>5.81</v>
      </c>
      <c r="F24" s="1666">
        <v>5.85</v>
      </c>
      <c r="G24" s="1666">
        <v>6.22</v>
      </c>
      <c r="H24" s="1666">
        <v>6.4</v>
      </c>
      <c r="I24" s="1666">
        <v>3.75</v>
      </c>
      <c r="J24" s="1666">
        <v>4.3</v>
      </c>
      <c r="L24" s="1666"/>
      <c r="M24" s="1667">
        <v>40538</v>
      </c>
      <c r="N24" s="1666">
        <v>0.36</v>
      </c>
      <c r="O24" s="1666">
        <v>2.25</v>
      </c>
      <c r="P24" s="1666">
        <v>2.5</v>
      </c>
      <c r="Q24" s="1666">
        <v>2.75</v>
      </c>
      <c r="R24" s="1666">
        <v>3.55</v>
      </c>
      <c r="S24" s="1666">
        <v>4.1500000000000004</v>
      </c>
      <c r="T24" s="1666">
        <v>4.55</v>
      </c>
      <c r="U24" s="1666">
        <v>2.16</v>
      </c>
      <c r="V24" s="1666">
        <v>2.5</v>
      </c>
      <c r="W24" s="1666">
        <v>2.85</v>
      </c>
      <c r="X24" s="1666">
        <v>1.17</v>
      </c>
      <c r="Y24" s="1666">
        <v>0.81</v>
      </c>
      <c r="Z24" s="1666">
        <v>1.35</v>
      </c>
    </row>
    <row r="25" spans="2:26">
      <c r="B25" s="1666"/>
      <c r="C25" s="1667">
        <v>40471</v>
      </c>
      <c r="D25" s="1666">
        <v>5.0999999999999996</v>
      </c>
      <c r="E25" s="1666">
        <v>5.56</v>
      </c>
      <c r="F25" s="1666">
        <v>5.6</v>
      </c>
      <c r="G25" s="1666">
        <v>5.96</v>
      </c>
      <c r="H25" s="1666">
        <v>6.14</v>
      </c>
      <c r="I25" s="1666">
        <v>3.5</v>
      </c>
      <c r="J25" s="1666">
        <v>4.05</v>
      </c>
      <c r="L25" s="1666"/>
      <c r="M25" s="1667">
        <v>40471</v>
      </c>
      <c r="N25" s="1666">
        <v>0.36</v>
      </c>
      <c r="O25" s="1666">
        <v>1.91</v>
      </c>
      <c r="P25" s="1666">
        <v>2.2000000000000002</v>
      </c>
      <c r="Q25" s="1666">
        <v>2.5</v>
      </c>
      <c r="R25" s="1666">
        <v>3.25</v>
      </c>
      <c r="S25" s="1666">
        <v>3.85</v>
      </c>
      <c r="T25" s="1666">
        <v>4.2</v>
      </c>
      <c r="U25" s="1666">
        <v>1.91</v>
      </c>
      <c r="V25" s="1666">
        <v>2.2000000000000002</v>
      </c>
      <c r="W25" s="1666">
        <v>2.5</v>
      </c>
      <c r="X25" s="1666">
        <v>1.17</v>
      </c>
      <c r="Y25" s="1666">
        <v>0.81</v>
      </c>
      <c r="Z25" s="1666">
        <v>1.35</v>
      </c>
    </row>
    <row r="26" spans="2:26">
      <c r="B26" s="1666"/>
      <c r="C26" s="1667">
        <v>39805</v>
      </c>
      <c r="D26" s="1666">
        <v>4.8600000000000003</v>
      </c>
      <c r="E26" s="1666">
        <v>5.31</v>
      </c>
      <c r="F26" s="1666">
        <v>5.4</v>
      </c>
      <c r="G26" s="1666">
        <v>5.76</v>
      </c>
      <c r="H26" s="1666">
        <v>5.94</v>
      </c>
      <c r="I26" s="1666">
        <v>3.33</v>
      </c>
      <c r="J26" s="1666">
        <v>3.87</v>
      </c>
      <c r="L26" s="1666"/>
      <c r="M26" s="1667">
        <v>39805</v>
      </c>
      <c r="N26" s="1666">
        <v>0.36</v>
      </c>
      <c r="O26" s="1666">
        <v>1.71</v>
      </c>
      <c r="P26" s="1666">
        <v>1.98</v>
      </c>
      <c r="Q26" s="1666">
        <v>2.25</v>
      </c>
      <c r="R26" s="1666">
        <v>2.79</v>
      </c>
      <c r="S26" s="1666">
        <v>3.33</v>
      </c>
      <c r="T26" s="1666">
        <v>3.6</v>
      </c>
      <c r="U26" s="1666">
        <v>1.71</v>
      </c>
      <c r="V26" s="1666">
        <v>1.98</v>
      </c>
      <c r="W26" s="1666">
        <v>2.25</v>
      </c>
      <c r="X26" s="1666">
        <v>1.17</v>
      </c>
      <c r="Y26" s="1666">
        <v>0.81</v>
      </c>
      <c r="Z26" s="1666">
        <v>1.35</v>
      </c>
    </row>
    <row r="27" spans="2:26">
      <c r="B27" s="1666"/>
      <c r="C27" s="1667">
        <v>39779</v>
      </c>
      <c r="D27" s="1666">
        <v>5.04</v>
      </c>
      <c r="E27" s="1666">
        <v>5.58</v>
      </c>
      <c r="F27" s="1666">
        <v>5.67</v>
      </c>
      <c r="G27" s="1666">
        <v>5.94</v>
      </c>
      <c r="H27" s="1666">
        <v>6.12</v>
      </c>
      <c r="I27" s="1666">
        <v>3.51</v>
      </c>
      <c r="J27" s="1666">
        <v>4.05</v>
      </c>
      <c r="L27" s="1666"/>
      <c r="M27" s="1667">
        <v>39779</v>
      </c>
      <c r="N27" s="1666">
        <v>0.36</v>
      </c>
      <c r="O27" s="1666">
        <v>1.98</v>
      </c>
      <c r="P27" s="1666">
        <v>2.25</v>
      </c>
      <c r="Q27" s="1666">
        <v>2.52</v>
      </c>
      <c r="R27" s="1666">
        <v>3.06</v>
      </c>
      <c r="S27" s="1666">
        <v>3.6</v>
      </c>
      <c r="T27" s="1666">
        <v>3.87</v>
      </c>
      <c r="U27" s="1666">
        <v>1.98</v>
      </c>
      <c r="V27" s="1666">
        <v>2.25</v>
      </c>
      <c r="W27" s="1666">
        <v>2.52</v>
      </c>
      <c r="X27" s="1666">
        <v>1.17</v>
      </c>
      <c r="Y27" s="1666">
        <v>0.81</v>
      </c>
      <c r="Z27" s="1666">
        <v>1.35</v>
      </c>
    </row>
    <row r="28" spans="2:26">
      <c r="B28" s="1666"/>
      <c r="C28" s="1667">
        <v>39751</v>
      </c>
      <c r="D28" s="1666">
        <v>6.03</v>
      </c>
      <c r="E28" s="1666">
        <v>6.66</v>
      </c>
      <c r="F28" s="1666">
        <v>6.75</v>
      </c>
      <c r="G28" s="1666">
        <v>7.02</v>
      </c>
      <c r="H28" s="1666">
        <v>7.2</v>
      </c>
      <c r="I28" s="1666">
        <v>4.05</v>
      </c>
      <c r="J28" s="1666">
        <v>4.59</v>
      </c>
      <c r="L28" s="1666"/>
      <c r="M28" s="1667">
        <v>39751</v>
      </c>
      <c r="N28" s="1666">
        <v>0.72</v>
      </c>
      <c r="O28" s="1666">
        <v>2.88</v>
      </c>
      <c r="P28" s="1666">
        <v>3.24</v>
      </c>
      <c r="Q28" s="1666">
        <v>3.6</v>
      </c>
      <c r="R28" s="1666">
        <v>4.1399999999999997</v>
      </c>
      <c r="S28" s="1666">
        <v>4.7699999999999996</v>
      </c>
      <c r="T28" s="1666">
        <v>5.13</v>
      </c>
      <c r="U28" s="1666">
        <v>2.88</v>
      </c>
      <c r="V28" s="1666">
        <v>3.24</v>
      </c>
      <c r="W28" s="1666">
        <v>3.6</v>
      </c>
      <c r="X28" s="1666">
        <v>1.53</v>
      </c>
      <c r="Y28" s="1666">
        <v>1.17</v>
      </c>
      <c r="Z28" s="1666">
        <v>1.71</v>
      </c>
    </row>
    <row r="29" spans="2:26">
      <c r="B29" s="1666"/>
      <c r="C29" s="1669">
        <v>39748</v>
      </c>
      <c r="D29" s="1666">
        <v>6.12</v>
      </c>
      <c r="E29" s="1666">
        <v>6.93</v>
      </c>
      <c r="F29" s="1666">
        <v>7.02</v>
      </c>
      <c r="G29" s="1666">
        <v>7.29</v>
      </c>
      <c r="H29" s="1666">
        <v>7.47</v>
      </c>
      <c r="I29" s="1666">
        <v>4.05</v>
      </c>
      <c r="J29" s="1666">
        <v>4.59</v>
      </c>
      <c r="L29" s="1666"/>
      <c r="M29" s="1669">
        <v>39736</v>
      </c>
      <c r="N29" s="1666">
        <v>0.72</v>
      </c>
      <c r="O29" s="1666">
        <v>3.15</v>
      </c>
      <c r="P29" s="1666">
        <v>3.51</v>
      </c>
      <c r="Q29" s="1666">
        <v>3.87</v>
      </c>
      <c r="R29" s="1666">
        <v>4.41</v>
      </c>
      <c r="S29" s="1666">
        <v>5.13</v>
      </c>
      <c r="T29" s="1666">
        <v>5.58</v>
      </c>
      <c r="U29" s="1666">
        <v>3.15</v>
      </c>
      <c r="V29" s="1666">
        <v>3.51</v>
      </c>
      <c r="W29" s="1666">
        <v>3.87</v>
      </c>
      <c r="X29" s="1666">
        <v>1.53</v>
      </c>
      <c r="Y29" s="1666">
        <v>1.17</v>
      </c>
      <c r="Z29" s="1666">
        <v>1.71</v>
      </c>
    </row>
    <row r="30" spans="2:26">
      <c r="B30" s="1666"/>
      <c r="C30" s="1667">
        <v>39730</v>
      </c>
      <c r="D30" s="1666">
        <v>6.12</v>
      </c>
      <c r="E30" s="1666">
        <v>6.93</v>
      </c>
      <c r="F30" s="1666">
        <v>7.02</v>
      </c>
      <c r="G30" s="1666">
        <v>7.29</v>
      </c>
      <c r="H30" s="1666">
        <v>7.47</v>
      </c>
      <c r="I30" s="1666">
        <v>4.32</v>
      </c>
      <c r="J30" s="1666">
        <v>4.8600000000000003</v>
      </c>
      <c r="L30" s="1666"/>
      <c r="M30" s="1667">
        <v>39730</v>
      </c>
      <c r="N30" s="1666">
        <v>0.72</v>
      </c>
      <c r="O30" s="1666">
        <v>3.15</v>
      </c>
      <c r="P30" s="1666">
        <v>3.51</v>
      </c>
      <c r="Q30" s="1666">
        <v>3.87</v>
      </c>
      <c r="R30" s="1666">
        <v>4.41</v>
      </c>
      <c r="S30" s="1666">
        <v>5.13</v>
      </c>
      <c r="T30" s="1666">
        <v>5.58</v>
      </c>
      <c r="U30" s="1666">
        <v>3.15</v>
      </c>
      <c r="V30" s="1666">
        <v>3.51</v>
      </c>
      <c r="W30" s="1666">
        <v>3.87</v>
      </c>
      <c r="X30" s="1666">
        <v>1.53</v>
      </c>
      <c r="Y30" s="1666">
        <v>1.17</v>
      </c>
      <c r="Z30" s="1666">
        <v>1.71</v>
      </c>
    </row>
    <row r="31" spans="2:26">
      <c r="B31" s="1666"/>
      <c r="C31" s="1667">
        <v>39707</v>
      </c>
      <c r="D31" s="1666">
        <v>6.21</v>
      </c>
      <c r="E31" s="1666">
        <v>7.2</v>
      </c>
      <c r="F31" s="1666">
        <v>7.29</v>
      </c>
      <c r="G31" s="1666">
        <v>7.56</v>
      </c>
      <c r="H31" s="1666">
        <v>7.74</v>
      </c>
      <c r="I31" s="1666">
        <v>4.59</v>
      </c>
      <c r="J31" s="1666">
        <v>5.13</v>
      </c>
      <c r="L31" s="1666"/>
      <c r="M31" s="1667">
        <v>39437</v>
      </c>
      <c r="N31" s="1666">
        <v>0.72</v>
      </c>
      <c r="O31" s="1666">
        <v>3.33</v>
      </c>
      <c r="P31" s="1666">
        <v>3.78</v>
      </c>
      <c r="Q31" s="1666">
        <v>4.1399999999999997</v>
      </c>
      <c r="R31" s="1666">
        <v>4.68</v>
      </c>
      <c r="S31" s="1666">
        <v>5.4</v>
      </c>
      <c r="T31" s="1666">
        <v>5.85</v>
      </c>
      <c r="U31" s="1666">
        <v>3.33</v>
      </c>
      <c r="V31" s="1666">
        <v>3.78</v>
      </c>
      <c r="W31" s="1666">
        <v>4.1399999999999997</v>
      </c>
      <c r="X31" s="1666">
        <v>1.53</v>
      </c>
      <c r="Y31" s="1666">
        <v>1.17</v>
      </c>
      <c r="Z31" s="1666">
        <v>1.71</v>
      </c>
    </row>
    <row r="32" spans="2:26">
      <c r="B32" s="1666"/>
      <c r="C32" s="1667">
        <v>39437</v>
      </c>
      <c r="D32" s="1666">
        <v>6.57</v>
      </c>
      <c r="E32" s="1666">
        <v>7.47</v>
      </c>
      <c r="F32" s="1666">
        <v>7.56</v>
      </c>
      <c r="G32" s="1666">
        <v>7.74</v>
      </c>
      <c r="H32" s="1666">
        <v>7.83</v>
      </c>
      <c r="I32" s="1666">
        <v>4.7699999999999996</v>
      </c>
      <c r="J32" s="1666">
        <v>5.22</v>
      </c>
      <c r="L32" s="1666"/>
      <c r="M32" s="1667">
        <v>39340</v>
      </c>
      <c r="N32" s="1666">
        <v>0.81</v>
      </c>
      <c r="O32" s="1666">
        <v>2.88</v>
      </c>
      <c r="P32" s="1666">
        <v>3.42</v>
      </c>
      <c r="Q32" s="1666">
        <v>3.87</v>
      </c>
      <c r="R32" s="1666">
        <v>4.5</v>
      </c>
      <c r="S32" s="1666">
        <v>5.22</v>
      </c>
      <c r="T32" s="1666">
        <v>5.76</v>
      </c>
      <c r="U32" s="1666">
        <v>2.88</v>
      </c>
      <c r="V32" s="1666">
        <v>3.42</v>
      </c>
      <c r="W32" s="1666">
        <v>3.87</v>
      </c>
      <c r="X32" s="1666">
        <v>1.53</v>
      </c>
      <c r="Y32" s="1666">
        <v>1.17</v>
      </c>
      <c r="Z32" s="1666">
        <v>1.71</v>
      </c>
    </row>
    <row r="33" spans="2:26">
      <c r="B33" s="1666"/>
      <c r="C33" s="1667">
        <v>39340</v>
      </c>
      <c r="D33" s="1666">
        <v>6.48</v>
      </c>
      <c r="E33" s="1666">
        <v>7.29</v>
      </c>
      <c r="F33" s="1666">
        <v>7.47</v>
      </c>
      <c r="G33" s="1666">
        <v>7.65</v>
      </c>
      <c r="H33" s="1666">
        <v>7.83</v>
      </c>
      <c r="I33" s="1666">
        <v>4.7699999999999996</v>
      </c>
      <c r="J33" s="1666">
        <v>5.22</v>
      </c>
      <c r="L33" s="1666"/>
      <c r="M33" s="1667">
        <v>39316</v>
      </c>
      <c r="N33" s="1666">
        <v>0.81</v>
      </c>
      <c r="O33" s="1666">
        <v>2.61</v>
      </c>
      <c r="P33" s="1666">
        <v>3.15</v>
      </c>
      <c r="Q33" s="1666">
        <v>3.6</v>
      </c>
      <c r="R33" s="1666">
        <v>4.2300000000000004</v>
      </c>
      <c r="S33" s="1666">
        <v>4.95</v>
      </c>
      <c r="T33" s="1666">
        <v>5.49</v>
      </c>
      <c r="U33" s="1666">
        <v>2.61</v>
      </c>
      <c r="V33" s="1666">
        <v>3.15</v>
      </c>
      <c r="W33" s="1666">
        <v>3.6</v>
      </c>
      <c r="X33" s="1666">
        <v>1.53</v>
      </c>
      <c r="Y33" s="1666">
        <v>1.17</v>
      </c>
      <c r="Z33" s="1666">
        <v>1.71</v>
      </c>
    </row>
    <row r="34" spans="2:26">
      <c r="B34" s="1666"/>
      <c r="C34" s="1667">
        <v>39316</v>
      </c>
      <c r="D34" s="1666">
        <v>6.21</v>
      </c>
      <c r="E34" s="1666">
        <v>7.02</v>
      </c>
      <c r="F34" s="1666">
        <v>7.2</v>
      </c>
      <c r="G34" s="1666">
        <v>7.38</v>
      </c>
      <c r="H34" s="1666">
        <v>7.56</v>
      </c>
      <c r="I34" s="1666">
        <v>4.59</v>
      </c>
      <c r="J34" s="1666">
        <v>5.04</v>
      </c>
      <c r="L34" s="1666"/>
      <c r="M34" s="1667">
        <v>39284</v>
      </c>
      <c r="N34" s="1666">
        <v>0.81</v>
      </c>
      <c r="O34" s="1666">
        <v>2.34</v>
      </c>
      <c r="P34" s="1666">
        <v>2.88</v>
      </c>
      <c r="Q34" s="1666">
        <v>3.33</v>
      </c>
      <c r="R34" s="1666">
        <v>3.96</v>
      </c>
      <c r="S34" s="1666">
        <v>4.68</v>
      </c>
      <c r="T34" s="1666">
        <v>5.22</v>
      </c>
      <c r="U34" s="1666">
        <v>2.34</v>
      </c>
      <c r="V34" s="1666">
        <v>2.88</v>
      </c>
      <c r="W34" s="1666">
        <v>3.33</v>
      </c>
      <c r="X34" s="1666">
        <v>1.53</v>
      </c>
      <c r="Y34" s="1666">
        <v>1.17</v>
      </c>
      <c r="Z34" s="1666">
        <v>1.71</v>
      </c>
    </row>
    <row r="35" spans="2:26">
      <c r="B35" s="1666"/>
      <c r="C35" s="1667">
        <v>39284</v>
      </c>
      <c r="D35" s="1666">
        <v>6.03</v>
      </c>
      <c r="E35" s="1666">
        <v>6.84</v>
      </c>
      <c r="F35" s="1666">
        <v>7.02</v>
      </c>
      <c r="G35" s="1666">
        <v>7.2</v>
      </c>
      <c r="H35" s="1666">
        <v>7.38</v>
      </c>
      <c r="I35" s="1666">
        <v>4.5</v>
      </c>
      <c r="J35" s="1666">
        <v>4.95</v>
      </c>
      <c r="L35" s="1666"/>
      <c r="M35" s="1667">
        <v>39221</v>
      </c>
      <c r="N35" s="1666">
        <v>0.72</v>
      </c>
      <c r="O35" s="1666">
        <v>2.0699999999999998</v>
      </c>
      <c r="P35" s="1666">
        <v>2.61</v>
      </c>
      <c r="Q35" s="1666">
        <v>3.06</v>
      </c>
      <c r="R35" s="1666">
        <v>3.69</v>
      </c>
      <c r="S35" s="1666">
        <v>4.41</v>
      </c>
      <c r="T35" s="1666">
        <v>4.95</v>
      </c>
      <c r="U35" s="1666">
        <v>2.0699999999999998</v>
      </c>
      <c r="V35" s="1666">
        <v>2.61</v>
      </c>
      <c r="W35" s="1666">
        <v>3.06</v>
      </c>
      <c r="X35" s="1666">
        <v>1.44</v>
      </c>
      <c r="Y35" s="1666">
        <v>1.08</v>
      </c>
      <c r="Z35" s="1666">
        <v>1.62</v>
      </c>
    </row>
    <row r="36" spans="2:26">
      <c r="B36" s="1666"/>
      <c r="C36" s="1667">
        <v>39221</v>
      </c>
      <c r="D36" s="1666">
        <v>5.85</v>
      </c>
      <c r="E36" s="1666">
        <v>6.57</v>
      </c>
      <c r="F36" s="1666">
        <v>6.75</v>
      </c>
      <c r="G36" s="1666">
        <v>6.93</v>
      </c>
      <c r="H36" s="1666">
        <v>7.2</v>
      </c>
      <c r="I36" s="1666">
        <v>4.41</v>
      </c>
      <c r="J36" s="1666">
        <v>4.8600000000000003</v>
      </c>
      <c r="L36" s="1666"/>
      <c r="M36" s="1667">
        <v>39159</v>
      </c>
      <c r="N36" s="1666">
        <v>0.72</v>
      </c>
      <c r="O36" s="1666">
        <v>1.98</v>
      </c>
      <c r="P36" s="1666">
        <v>2.4300000000000002</v>
      </c>
      <c r="Q36" s="1666">
        <v>2.79</v>
      </c>
      <c r="R36" s="1666">
        <v>3.33</v>
      </c>
      <c r="S36" s="1666">
        <v>3.96</v>
      </c>
      <c r="T36" s="1666">
        <v>4.41</v>
      </c>
      <c r="U36" s="1666">
        <v>1.98</v>
      </c>
      <c r="V36" s="1666">
        <v>2.4300000000000002</v>
      </c>
      <c r="W36" s="1666">
        <v>2.79</v>
      </c>
      <c r="X36" s="1666">
        <v>1.44</v>
      </c>
      <c r="Y36" s="1666">
        <v>1.08</v>
      </c>
      <c r="Z36" s="1666">
        <v>1.62</v>
      </c>
    </row>
    <row r="37" spans="2:26">
      <c r="B37" s="1666"/>
      <c r="C37" s="1667">
        <v>39159</v>
      </c>
      <c r="D37" s="1666">
        <v>5.67</v>
      </c>
      <c r="E37" s="1666">
        <v>6.39</v>
      </c>
      <c r="F37" s="1666">
        <v>6.57</v>
      </c>
      <c r="G37" s="1666">
        <v>6.75</v>
      </c>
      <c r="H37" s="1666">
        <v>7.11</v>
      </c>
      <c r="I37" s="1666">
        <v>4.32</v>
      </c>
      <c r="J37" s="1666">
        <v>4.7699999999999996</v>
      </c>
      <c r="L37" s="1666"/>
      <c r="M37" s="1667">
        <v>38948</v>
      </c>
      <c r="N37" s="1666">
        <v>0.72</v>
      </c>
      <c r="O37" s="1666">
        <v>1.8</v>
      </c>
      <c r="P37" s="1666">
        <v>2.25</v>
      </c>
      <c r="Q37" s="1666">
        <v>2.52</v>
      </c>
      <c r="R37" s="1666">
        <v>3.06</v>
      </c>
      <c r="S37" s="1666">
        <v>3.69</v>
      </c>
      <c r="T37" s="1666">
        <v>4.1399999999999997</v>
      </c>
      <c r="U37" s="1666">
        <v>1.8</v>
      </c>
      <c r="V37" s="1666">
        <v>2.25</v>
      </c>
      <c r="W37" s="1666">
        <v>2.52</v>
      </c>
      <c r="X37" s="1666">
        <v>1.44</v>
      </c>
      <c r="Y37" s="1666">
        <v>1.08</v>
      </c>
      <c r="Z37" s="1666">
        <v>1.62</v>
      </c>
    </row>
    <row r="38" spans="2:26">
      <c r="B38" s="1666"/>
      <c r="C38" s="1667">
        <v>38948</v>
      </c>
      <c r="D38" s="1666">
        <v>5.58</v>
      </c>
      <c r="E38" s="1666">
        <v>6.12</v>
      </c>
      <c r="F38" s="1666">
        <v>6.3</v>
      </c>
      <c r="G38" s="1666">
        <v>6.48</v>
      </c>
      <c r="H38" s="1666">
        <v>6.84</v>
      </c>
      <c r="I38" s="1666">
        <v>4.1399999999999997</v>
      </c>
      <c r="J38" s="1666">
        <v>4.59</v>
      </c>
      <c r="L38" s="1666"/>
      <c r="M38" s="1667">
        <v>38289</v>
      </c>
      <c r="N38" s="1666">
        <v>0.72</v>
      </c>
      <c r="O38" s="1666">
        <v>1.71</v>
      </c>
      <c r="P38" s="1666">
        <v>2.0699999999999998</v>
      </c>
      <c r="Q38" s="1666">
        <v>2.25</v>
      </c>
      <c r="R38" s="1666">
        <v>2.7</v>
      </c>
      <c r="S38" s="1666">
        <v>3.24</v>
      </c>
      <c r="T38" s="1666">
        <v>3.6</v>
      </c>
      <c r="U38" s="1666">
        <v>1.71</v>
      </c>
      <c r="V38" s="1666">
        <v>2.0699999999999998</v>
      </c>
      <c r="W38" s="1666">
        <v>2.25</v>
      </c>
      <c r="X38" s="1666">
        <v>1.44</v>
      </c>
      <c r="Y38" s="1666">
        <v>1.08</v>
      </c>
      <c r="Z38" s="1666">
        <v>1.62</v>
      </c>
    </row>
    <row r="39" spans="2:26">
      <c r="B39" s="1666"/>
      <c r="C39" s="1667">
        <v>38835</v>
      </c>
      <c r="D39" s="1666">
        <v>5.4</v>
      </c>
      <c r="E39" s="1666">
        <v>5.85</v>
      </c>
      <c r="F39" s="1666">
        <v>6.03</v>
      </c>
      <c r="G39" s="1666">
        <v>6.12</v>
      </c>
      <c r="H39" s="1666">
        <v>6.39</v>
      </c>
      <c r="I39" s="1666">
        <v>4.1399999999999997</v>
      </c>
      <c r="J39" s="1666">
        <v>4.59</v>
      </c>
      <c r="L39" s="1666"/>
      <c r="M39" s="1667">
        <v>37308</v>
      </c>
      <c r="N39" s="1666">
        <v>0.72</v>
      </c>
      <c r="O39" s="1666">
        <v>1.71</v>
      </c>
      <c r="P39" s="1666">
        <v>1.89</v>
      </c>
      <c r="Q39" s="1666">
        <v>1.98</v>
      </c>
      <c r="R39" s="1666">
        <v>2.25</v>
      </c>
      <c r="S39" s="1666">
        <v>2.52</v>
      </c>
      <c r="T39" s="1666">
        <v>2.79</v>
      </c>
      <c r="U39" s="1666">
        <v>1.71</v>
      </c>
      <c r="V39" s="1666">
        <v>1.89</v>
      </c>
      <c r="W39" s="1666">
        <v>1.98</v>
      </c>
      <c r="X39" s="1666">
        <v>1.44</v>
      </c>
      <c r="Y39" s="1666">
        <v>1.08</v>
      </c>
      <c r="Z39" s="1666">
        <v>1.62</v>
      </c>
    </row>
    <row r="40" spans="2:26">
      <c r="B40" s="1666"/>
      <c r="C40" s="1667">
        <v>38428</v>
      </c>
      <c r="D40" s="1666">
        <v>5.22</v>
      </c>
      <c r="E40" s="1666">
        <v>5.58</v>
      </c>
      <c r="F40" s="1666">
        <v>5.76</v>
      </c>
      <c r="G40" s="1666">
        <v>5.85</v>
      </c>
      <c r="H40" s="1666">
        <v>6.12</v>
      </c>
      <c r="I40" s="1666">
        <v>3.96</v>
      </c>
      <c r="J40" s="1666">
        <v>4.41</v>
      </c>
      <c r="L40" s="1666"/>
      <c r="M40" s="1667">
        <v>36321</v>
      </c>
      <c r="N40" s="1666">
        <v>0.99</v>
      </c>
      <c r="O40" s="1666">
        <v>1.98</v>
      </c>
      <c r="P40" s="1666">
        <v>2.16</v>
      </c>
      <c r="Q40" s="1666">
        <v>2.25</v>
      </c>
      <c r="R40" s="1666">
        <v>2.4300000000000002</v>
      </c>
      <c r="S40" s="1666">
        <v>2.7</v>
      </c>
      <c r="T40" s="1666">
        <v>2.88</v>
      </c>
      <c r="U40" s="1666">
        <v>1.98</v>
      </c>
      <c r="V40" s="1666">
        <v>2.16</v>
      </c>
      <c r="W40" s="1666">
        <v>2.25</v>
      </c>
      <c r="X40" s="1666">
        <v>1.71</v>
      </c>
      <c r="Y40" s="1666">
        <v>1.35</v>
      </c>
      <c r="Z40" s="1666">
        <v>1.89</v>
      </c>
    </row>
    <row r="41" spans="2:26">
      <c r="B41" s="1666"/>
      <c r="C41" s="1667">
        <v>38289</v>
      </c>
      <c r="D41" s="1666">
        <v>5.22</v>
      </c>
      <c r="E41" s="1666">
        <v>5.58</v>
      </c>
      <c r="F41" s="1666">
        <v>5.76</v>
      </c>
      <c r="G41" s="1666">
        <v>5.85</v>
      </c>
      <c r="H41" s="1666">
        <v>6.12</v>
      </c>
      <c r="I41" s="1666">
        <v>3.78</v>
      </c>
      <c r="J41" s="1666">
        <v>4.2300000000000004</v>
      </c>
      <c r="L41" s="1666"/>
      <c r="M41" s="1667">
        <v>36136</v>
      </c>
      <c r="N41" s="1666">
        <v>1.44</v>
      </c>
      <c r="O41" s="1666">
        <v>2.79</v>
      </c>
      <c r="P41" s="1666">
        <v>3.33</v>
      </c>
      <c r="Q41" s="1666">
        <v>3.78</v>
      </c>
      <c r="R41" s="1666">
        <v>3.96</v>
      </c>
      <c r="S41" s="1666">
        <v>4.1399999999999997</v>
      </c>
      <c r="T41" s="1666">
        <v>4.5</v>
      </c>
      <c r="U41" s="1666">
        <v>3.33</v>
      </c>
      <c r="V41" s="1666">
        <v>3.78</v>
      </c>
      <c r="W41" s="1666">
        <v>4.1399999999999997</v>
      </c>
      <c r="X41" s="1666">
        <v>2.16</v>
      </c>
      <c r="Y41" s="1666">
        <v>1.8</v>
      </c>
      <c r="Z41" s="1666">
        <v>2.34</v>
      </c>
    </row>
    <row r="42" spans="2:26">
      <c r="B42" s="1666"/>
      <c r="C42" s="1667">
        <v>37308</v>
      </c>
      <c r="D42" s="1666">
        <v>5.04</v>
      </c>
      <c r="E42" s="1666">
        <v>5.31</v>
      </c>
      <c r="F42" s="1666">
        <v>5.49</v>
      </c>
      <c r="G42" s="1666">
        <v>5.58</v>
      </c>
      <c r="H42" s="1666">
        <v>5.76</v>
      </c>
      <c r="I42" s="1666">
        <v>3.6</v>
      </c>
      <c r="J42" s="1666">
        <v>4.05</v>
      </c>
      <c r="L42" s="1666"/>
      <c r="M42" s="1667">
        <v>35977</v>
      </c>
      <c r="N42" s="1666">
        <v>1.44</v>
      </c>
      <c r="O42" s="1666">
        <v>2.79</v>
      </c>
      <c r="P42" s="1666">
        <v>3.96</v>
      </c>
      <c r="Q42" s="1666">
        <v>4.7699999999999996</v>
      </c>
      <c r="R42" s="1666">
        <v>4.8600000000000003</v>
      </c>
      <c r="S42" s="1666">
        <v>4.95</v>
      </c>
      <c r="T42" s="1666">
        <v>5.22</v>
      </c>
      <c r="U42" s="1666">
        <v>3.96</v>
      </c>
      <c r="V42" s="1666">
        <v>4.7699999999999996</v>
      </c>
      <c r="W42" s="1666">
        <v>4.95</v>
      </c>
      <c r="X42" s="1666" t="s">
        <v>1320</v>
      </c>
      <c r="Y42" s="1666" t="s">
        <v>1320</v>
      </c>
      <c r="Z42" s="1666" t="s">
        <v>1320</v>
      </c>
    </row>
    <row r="43" spans="2:26">
      <c r="B43" s="1666"/>
      <c r="C43" s="1667">
        <v>36321</v>
      </c>
      <c r="D43" s="1666">
        <v>5.58</v>
      </c>
      <c r="E43" s="1666">
        <v>5.85</v>
      </c>
      <c r="F43" s="1666">
        <v>5.94</v>
      </c>
      <c r="G43" s="1666">
        <v>6.03</v>
      </c>
      <c r="H43" s="1666">
        <v>6.21</v>
      </c>
      <c r="I43" s="1666">
        <v>4.1399999999999997</v>
      </c>
      <c r="J43" s="1666">
        <v>4.59</v>
      </c>
      <c r="L43" s="1666"/>
      <c r="M43" s="1667">
        <v>35879</v>
      </c>
      <c r="N43" s="1666">
        <v>1.71</v>
      </c>
      <c r="O43" s="1666">
        <v>2.88</v>
      </c>
      <c r="P43" s="1666">
        <v>4.1399999999999997</v>
      </c>
      <c r="Q43" s="1666">
        <v>5.22</v>
      </c>
      <c r="R43" s="1666">
        <v>5.58</v>
      </c>
      <c r="S43" s="1666">
        <v>6.21</v>
      </c>
      <c r="T43" s="1666">
        <v>6.66</v>
      </c>
      <c r="U43" s="1666">
        <v>4.1399999999999997</v>
      </c>
      <c r="V43" s="1666">
        <v>5.22</v>
      </c>
      <c r="W43" s="1666">
        <v>6.21</v>
      </c>
      <c r="X43" s="1666" t="s">
        <v>1320</v>
      </c>
      <c r="Y43" s="1666" t="s">
        <v>1320</v>
      </c>
      <c r="Z43" s="1666" t="s">
        <v>1320</v>
      </c>
    </row>
    <row r="44" spans="2:26">
      <c r="B44" s="1666"/>
      <c r="C44" s="1667">
        <v>36136</v>
      </c>
      <c r="D44" s="1666">
        <v>6.12</v>
      </c>
      <c r="E44" s="1666">
        <v>6.39</v>
      </c>
      <c r="F44" s="1666">
        <v>6.66</v>
      </c>
      <c r="G44" s="1666">
        <v>7.2</v>
      </c>
      <c r="H44" s="1666">
        <v>7.56</v>
      </c>
      <c r="I44" s="1666">
        <v>0</v>
      </c>
      <c r="J44" s="1666">
        <v>0</v>
      </c>
      <c r="L44" s="1666"/>
      <c r="M44" s="1667">
        <v>35726</v>
      </c>
      <c r="N44" s="1666">
        <v>1.71</v>
      </c>
      <c r="O44" s="1666">
        <v>2.88</v>
      </c>
      <c r="P44" s="1666">
        <v>4.1399999999999997</v>
      </c>
      <c r="Q44" s="1666">
        <v>5.67</v>
      </c>
      <c r="R44" s="1666">
        <v>5.94</v>
      </c>
      <c r="S44" s="1666">
        <v>6.21</v>
      </c>
      <c r="T44" s="1666">
        <v>6.66</v>
      </c>
      <c r="U44" s="1666">
        <v>4.1399999999999997</v>
      </c>
      <c r="V44" s="1666">
        <v>5.67</v>
      </c>
      <c r="W44" s="1666">
        <v>6.21</v>
      </c>
      <c r="X44" s="1666" t="s">
        <v>1320</v>
      </c>
      <c r="Y44" s="1666" t="s">
        <v>1320</v>
      </c>
      <c r="Z44" s="1666" t="s">
        <v>1320</v>
      </c>
    </row>
    <row r="45" spans="2:26">
      <c r="B45" s="1666"/>
      <c r="C45" s="1667">
        <v>35977</v>
      </c>
      <c r="D45" s="1666">
        <v>6.57</v>
      </c>
      <c r="E45" s="1666">
        <v>6.93</v>
      </c>
      <c r="F45" s="1666">
        <v>7.11</v>
      </c>
      <c r="G45" s="1666">
        <v>7.65</v>
      </c>
      <c r="H45" s="1666">
        <v>8.01</v>
      </c>
      <c r="I45" s="1666">
        <v>0</v>
      </c>
      <c r="J45" s="1666">
        <v>0</v>
      </c>
      <c r="L45" s="1666"/>
      <c r="M45" s="1667">
        <v>35300</v>
      </c>
      <c r="N45" s="1666">
        <v>1.98</v>
      </c>
      <c r="O45" s="1666">
        <v>3.33</v>
      </c>
      <c r="P45" s="1666">
        <v>5.4</v>
      </c>
      <c r="Q45" s="1666">
        <v>7.47</v>
      </c>
      <c r="R45" s="1666">
        <v>7.92</v>
      </c>
      <c r="S45" s="1666">
        <v>8.2799999999999994</v>
      </c>
      <c r="T45" s="1666">
        <v>9</v>
      </c>
      <c r="U45" s="1666">
        <v>5.4</v>
      </c>
      <c r="V45" s="1666">
        <v>7.47</v>
      </c>
      <c r="W45" s="1666">
        <v>8.2799999999999994</v>
      </c>
      <c r="X45" s="1666" t="s">
        <v>1320</v>
      </c>
      <c r="Y45" s="1666" t="s">
        <v>1320</v>
      </c>
      <c r="Z45" s="1666" t="s">
        <v>1320</v>
      </c>
    </row>
    <row r="46" spans="2:26">
      <c r="B46" s="1666"/>
      <c r="C46" s="1667">
        <v>35879</v>
      </c>
      <c r="D46" s="1666">
        <v>7.02</v>
      </c>
      <c r="E46" s="1666">
        <v>7.92</v>
      </c>
      <c r="F46" s="1666">
        <v>9</v>
      </c>
      <c r="G46" s="1666">
        <v>9.7200000000000006</v>
      </c>
      <c r="H46" s="1666">
        <v>10.35</v>
      </c>
      <c r="I46" s="1666">
        <v>0</v>
      </c>
      <c r="J46" s="1666">
        <v>0</v>
      </c>
      <c r="L46" s="1666"/>
      <c r="M46" s="1667">
        <v>35186</v>
      </c>
      <c r="N46" s="1666">
        <v>2.97</v>
      </c>
      <c r="O46" s="1666">
        <v>4.8600000000000003</v>
      </c>
      <c r="P46" s="1666">
        <v>7.2</v>
      </c>
      <c r="Q46" s="1666">
        <v>9.18</v>
      </c>
      <c r="R46" s="1666">
        <v>9.9</v>
      </c>
      <c r="S46" s="1666">
        <v>10.8</v>
      </c>
      <c r="T46" s="1666">
        <v>12.06</v>
      </c>
      <c r="U46" s="1666">
        <v>7.2</v>
      </c>
      <c r="V46" s="1666">
        <v>9.18</v>
      </c>
      <c r="W46" s="1666">
        <v>10.8</v>
      </c>
      <c r="X46" s="1666" t="s">
        <v>1320</v>
      </c>
      <c r="Y46" s="1666" t="s">
        <v>1320</v>
      </c>
      <c r="Z46" s="1666" t="s">
        <v>1320</v>
      </c>
    </row>
    <row r="47" spans="2:26">
      <c r="B47" s="1666"/>
      <c r="C47" s="1667">
        <v>35726</v>
      </c>
      <c r="D47" s="1666">
        <v>7.65</v>
      </c>
      <c r="E47" s="1666">
        <v>8.64</v>
      </c>
      <c r="F47" s="1666">
        <v>9.36</v>
      </c>
      <c r="G47" s="1666">
        <v>9.9</v>
      </c>
      <c r="H47" s="1666">
        <v>10.53</v>
      </c>
      <c r="I47" s="1666">
        <v>0</v>
      </c>
      <c r="J47" s="1666">
        <v>0</v>
      </c>
      <c r="L47" s="1666"/>
      <c r="M47" s="1667">
        <v>34161</v>
      </c>
      <c r="N47" s="1666">
        <v>3.15</v>
      </c>
      <c r="O47" s="1666">
        <v>6.66</v>
      </c>
      <c r="P47" s="1666">
        <v>9</v>
      </c>
      <c r="Q47" s="1666">
        <v>10.98</v>
      </c>
      <c r="R47" s="1666">
        <v>11.7</v>
      </c>
      <c r="S47" s="1666">
        <v>12.24</v>
      </c>
      <c r="T47" s="1666">
        <v>13.86</v>
      </c>
      <c r="U47" s="1666">
        <v>9</v>
      </c>
      <c r="V47" s="1666">
        <v>10.98</v>
      </c>
      <c r="W47" s="1666">
        <v>12.24</v>
      </c>
      <c r="X47" s="1666" t="s">
        <v>1320</v>
      </c>
      <c r="Y47" s="1666" t="s">
        <v>1320</v>
      </c>
      <c r="Z47" s="1666" t="s">
        <v>1320</v>
      </c>
    </row>
    <row r="48" spans="2:26">
      <c r="B48" s="1666"/>
      <c r="C48" s="1667">
        <v>35300</v>
      </c>
      <c r="D48" s="1666">
        <v>9.18</v>
      </c>
      <c r="E48" s="1666">
        <v>10.08</v>
      </c>
      <c r="F48" s="1666">
        <v>10.98</v>
      </c>
      <c r="G48" s="1666">
        <v>11.7</v>
      </c>
      <c r="H48" s="1666">
        <v>12.42</v>
      </c>
      <c r="I48" s="1666">
        <v>0</v>
      </c>
      <c r="J48" s="1666">
        <v>0</v>
      </c>
      <c r="L48" s="1666"/>
      <c r="M48" s="1667">
        <v>34104</v>
      </c>
      <c r="N48" s="1666">
        <v>2.16</v>
      </c>
      <c r="O48" s="1666">
        <v>4.8600000000000003</v>
      </c>
      <c r="P48" s="1666">
        <v>7.2</v>
      </c>
      <c r="Q48" s="1666">
        <v>9.18</v>
      </c>
      <c r="R48" s="1666">
        <v>9.9</v>
      </c>
      <c r="S48" s="1666">
        <v>10.8</v>
      </c>
      <c r="T48" s="1666">
        <v>12.06</v>
      </c>
      <c r="U48" s="1666">
        <v>7.2</v>
      </c>
      <c r="V48" s="1666">
        <v>9.18</v>
      </c>
      <c r="W48" s="1666">
        <v>10.8</v>
      </c>
      <c r="X48" s="1666" t="s">
        <v>1320</v>
      </c>
      <c r="Y48" s="1666" t="s">
        <v>1320</v>
      </c>
      <c r="Z48" s="1666" t="s">
        <v>1320</v>
      </c>
    </row>
    <row r="49" spans="2:26">
      <c r="B49" s="1666"/>
      <c r="C49" s="1667">
        <v>35186</v>
      </c>
      <c r="D49" s="1666">
        <v>9.7200000000000006</v>
      </c>
      <c r="E49" s="1666">
        <v>10.98</v>
      </c>
      <c r="F49" s="1666">
        <v>13.14</v>
      </c>
      <c r="G49" s="1666">
        <v>14.94</v>
      </c>
      <c r="H49" s="1666">
        <v>15.12</v>
      </c>
      <c r="I49" s="1666">
        <v>0</v>
      </c>
      <c r="J49" s="1666">
        <v>0</v>
      </c>
      <c r="L49" s="1666"/>
      <c r="M49" s="1667">
        <v>33349</v>
      </c>
      <c r="N49" s="1666">
        <v>1.8</v>
      </c>
      <c r="O49" s="1666">
        <v>3.24</v>
      </c>
      <c r="P49" s="1666">
        <v>5.4</v>
      </c>
      <c r="Q49" s="1666">
        <v>7.56</v>
      </c>
      <c r="R49" s="1666">
        <v>7.92</v>
      </c>
      <c r="S49" s="1666">
        <v>8.2799999999999994</v>
      </c>
      <c r="T49" s="1666">
        <v>9</v>
      </c>
      <c r="U49" s="1666">
        <v>6.12</v>
      </c>
      <c r="V49" s="1666">
        <v>6.84</v>
      </c>
      <c r="W49" s="1666">
        <v>7.56</v>
      </c>
      <c r="X49" s="1666" t="s">
        <v>1320</v>
      </c>
      <c r="Y49" s="1666" t="s">
        <v>1320</v>
      </c>
      <c r="Z49" s="1666" t="s">
        <v>1320</v>
      </c>
    </row>
    <row r="50" spans="2:26">
      <c r="B50" s="1666"/>
      <c r="C50" s="1667">
        <v>34881</v>
      </c>
      <c r="D50" s="1666">
        <v>10.08</v>
      </c>
      <c r="E50" s="1666">
        <v>12.06</v>
      </c>
      <c r="F50" s="1666">
        <v>13.5</v>
      </c>
      <c r="G50" s="1666">
        <v>15.12</v>
      </c>
      <c r="H50" s="1666">
        <v>15.3</v>
      </c>
      <c r="I50" s="1666">
        <v>0</v>
      </c>
      <c r="J50" s="1666">
        <v>0</v>
      </c>
      <c r="L50" s="1666"/>
      <c r="M50" s="1667">
        <v>33106</v>
      </c>
      <c r="N50" s="1666">
        <v>2.16</v>
      </c>
      <c r="O50" s="1666">
        <v>4.32</v>
      </c>
      <c r="P50" s="1666">
        <v>6.48</v>
      </c>
      <c r="Q50" s="1666">
        <v>8.64</v>
      </c>
      <c r="R50" s="1666">
        <v>9.36</v>
      </c>
      <c r="S50" s="1666">
        <v>10.08</v>
      </c>
      <c r="T50" s="1666">
        <v>11.52</v>
      </c>
      <c r="U50" s="1666">
        <v>7.2</v>
      </c>
      <c r="V50" s="1666">
        <v>8.64</v>
      </c>
      <c r="W50" s="1666">
        <v>10.08</v>
      </c>
      <c r="X50" s="1666" t="s">
        <v>1320</v>
      </c>
      <c r="Y50" s="1666" t="s">
        <v>1320</v>
      </c>
      <c r="Z50" s="1666" t="s">
        <v>1320</v>
      </c>
    </row>
    <row r="51" spans="2:26">
      <c r="B51" s="1666"/>
      <c r="C51" s="1667">
        <v>34700</v>
      </c>
      <c r="D51" s="1666">
        <v>9</v>
      </c>
      <c r="E51" s="1666">
        <v>10.98</v>
      </c>
      <c r="F51" s="1666">
        <v>12.96</v>
      </c>
      <c r="G51" s="1666">
        <v>14.58</v>
      </c>
      <c r="H51" s="1666">
        <v>14.76</v>
      </c>
      <c r="I51" s="1666">
        <v>0</v>
      </c>
      <c r="J51" s="1666">
        <v>0</v>
      </c>
      <c r="L51" s="1666"/>
      <c r="M51" s="1667">
        <v>32978</v>
      </c>
      <c r="N51" s="1666">
        <v>2.88</v>
      </c>
      <c r="O51" s="1666">
        <v>6.3</v>
      </c>
      <c r="P51" s="1666">
        <v>7.74</v>
      </c>
      <c r="Q51" s="1666">
        <v>10.08</v>
      </c>
      <c r="R51" s="1666">
        <v>10.98</v>
      </c>
      <c r="S51" s="1666">
        <v>11.88</v>
      </c>
      <c r="T51" s="1666">
        <v>13.68</v>
      </c>
      <c r="U51" s="1666" t="s">
        <v>1320</v>
      </c>
      <c r="V51" s="1666" t="s">
        <v>1320</v>
      </c>
      <c r="W51" s="1666" t="s">
        <v>1320</v>
      </c>
      <c r="X51" s="1666" t="s">
        <v>1320</v>
      </c>
      <c r="Y51" s="1666" t="s">
        <v>1320</v>
      </c>
      <c r="Z51" s="1666" t="s">
        <v>1320</v>
      </c>
    </row>
    <row r="52" spans="2:26">
      <c r="B52" s="1666"/>
      <c r="C52" s="1667">
        <v>34161</v>
      </c>
      <c r="D52" s="1666">
        <v>9</v>
      </c>
      <c r="E52" s="1666">
        <v>10.98</v>
      </c>
      <c r="F52" s="1666">
        <v>12.24</v>
      </c>
      <c r="G52" s="1666">
        <v>13.86</v>
      </c>
      <c r="H52" s="1666">
        <v>14.04</v>
      </c>
      <c r="I52" s="1666">
        <v>0</v>
      </c>
      <c r="J52" s="1666">
        <v>0</v>
      </c>
      <c r="L52" s="1666"/>
      <c r="M52" s="1667"/>
      <c r="N52" s="1666"/>
      <c r="O52" s="1666"/>
      <c r="P52" s="1666"/>
      <c r="Q52" s="1666"/>
      <c r="R52" s="1666"/>
      <c r="S52" s="1666"/>
      <c r="T52" s="1666"/>
      <c r="U52" s="1666"/>
      <c r="V52" s="1666"/>
      <c r="W52" s="1666"/>
      <c r="X52" s="1666"/>
      <c r="Y52" s="1666"/>
      <c r="Z52" s="1666"/>
    </row>
    <row r="53" spans="2:26">
      <c r="B53" s="1666"/>
      <c r="C53" s="1667">
        <v>34104</v>
      </c>
      <c r="D53" s="1666">
        <v>8.82</v>
      </c>
      <c r="E53" s="1666">
        <v>9.36</v>
      </c>
      <c r="F53" s="1666">
        <v>10.8</v>
      </c>
      <c r="G53" s="1666">
        <v>12.06</v>
      </c>
      <c r="H53" s="1666">
        <v>12.24</v>
      </c>
      <c r="I53" s="1666">
        <v>0</v>
      </c>
      <c r="J53" s="1666">
        <v>0</v>
      </c>
      <c r="L53" s="1666"/>
      <c r="M53" s="1667"/>
      <c r="N53" s="1666"/>
      <c r="O53" s="1666"/>
      <c r="P53" s="1666"/>
      <c r="Q53" s="1666"/>
      <c r="R53" s="1666"/>
      <c r="S53" s="1666"/>
      <c r="T53" s="1666"/>
      <c r="U53" s="1666"/>
      <c r="V53" s="1666"/>
      <c r="W53" s="1666"/>
      <c r="X53" s="1666"/>
      <c r="Y53" s="1666"/>
      <c r="Z53" s="1666"/>
    </row>
    <row r="54" spans="2:26">
      <c r="B54" s="1666"/>
      <c r="C54" s="1667">
        <v>33349</v>
      </c>
      <c r="D54" s="1666">
        <v>8.1</v>
      </c>
      <c r="E54" s="1666">
        <v>8.64</v>
      </c>
      <c r="F54" s="1666">
        <v>9</v>
      </c>
      <c r="G54" s="1666">
        <v>9.5399999999999991</v>
      </c>
      <c r="H54" s="1666">
        <v>9.7200000000000006</v>
      </c>
      <c r="I54" s="1666">
        <v>0</v>
      </c>
      <c r="J54" s="1666">
        <v>0</v>
      </c>
      <c r="L54" s="1666"/>
      <c r="M54" s="1667"/>
      <c r="N54" s="1666"/>
      <c r="O54" s="1666"/>
      <c r="P54" s="1666"/>
      <c r="Q54" s="1666"/>
      <c r="R54" s="1666"/>
      <c r="S54" s="1666"/>
      <c r="T54" s="1666"/>
      <c r="U54" s="1666"/>
      <c r="V54" s="1666"/>
      <c r="W54" s="1666"/>
      <c r="X54" s="1666"/>
      <c r="Y54" s="1666"/>
      <c r="Z54" s="1666"/>
    </row>
    <row r="55" spans="2:26">
      <c r="B55" s="1666"/>
      <c r="C55" s="1667">
        <v>33318</v>
      </c>
      <c r="D55" s="1666">
        <v>9</v>
      </c>
      <c r="E55" s="1666">
        <v>10.08</v>
      </c>
      <c r="F55" s="1666">
        <v>10.8</v>
      </c>
      <c r="G55" s="1666">
        <v>11.52</v>
      </c>
      <c r="H55" s="1666">
        <v>11.88</v>
      </c>
      <c r="I55" s="1666" t="s">
        <v>1320</v>
      </c>
      <c r="J55" s="1666" t="s">
        <v>1320</v>
      </c>
      <c r="L55" s="1666"/>
      <c r="M55" s="1667"/>
      <c r="N55" s="1666"/>
      <c r="O55" s="1666"/>
      <c r="P55" s="1666"/>
      <c r="Q55" s="1666"/>
      <c r="R55" s="1666"/>
      <c r="S55" s="1666"/>
      <c r="T55" s="1666"/>
      <c r="U55" s="1666"/>
      <c r="V55" s="1666"/>
      <c r="W55" s="1666"/>
      <c r="X55" s="1666"/>
      <c r="Y55" s="1666"/>
      <c r="Z55" s="1666"/>
    </row>
    <row r="56" spans="2:26">
      <c r="B56" s="1666"/>
      <c r="C56" s="1667">
        <v>33106</v>
      </c>
      <c r="D56" s="1666">
        <v>8.64</v>
      </c>
      <c r="E56" s="1666">
        <v>9.36</v>
      </c>
      <c r="F56" s="1666">
        <v>10.08</v>
      </c>
      <c r="G56" s="1666">
        <v>10.8</v>
      </c>
      <c r="H56" s="1666">
        <v>11.16</v>
      </c>
      <c r="I56" s="1666">
        <v>0</v>
      </c>
      <c r="J56" s="1666">
        <v>0</v>
      </c>
      <c r="L56" s="1666"/>
      <c r="M56" s="1667"/>
      <c r="N56" s="1666"/>
      <c r="O56" s="1666"/>
      <c r="P56" s="1666"/>
      <c r="Q56" s="1666"/>
      <c r="R56" s="1666"/>
      <c r="S56" s="1666"/>
      <c r="T56" s="1666"/>
      <c r="U56" s="1666"/>
      <c r="V56" s="1666"/>
      <c r="W56" s="1666"/>
      <c r="X56" s="1666"/>
      <c r="Y56" s="1666"/>
      <c r="Z56" s="1666"/>
    </row>
    <row r="57" spans="2:26">
      <c r="B57" s="1666"/>
      <c r="C57" s="1667">
        <v>32540</v>
      </c>
      <c r="D57" s="1666">
        <v>11.34</v>
      </c>
      <c r="E57" s="1666">
        <v>11.34</v>
      </c>
      <c r="F57" s="1666">
        <v>12.78</v>
      </c>
      <c r="G57" s="1666">
        <v>14.4</v>
      </c>
      <c r="H57" s="1666">
        <v>19.260000000000002</v>
      </c>
      <c r="I57" s="1666">
        <v>0</v>
      </c>
      <c r="J57" s="1666">
        <v>0</v>
      </c>
      <c r="L57" s="1666"/>
      <c r="M57" s="1667"/>
      <c r="N57" s="1666"/>
      <c r="O57" s="1666"/>
      <c r="P57" s="1666"/>
      <c r="Q57" s="1666"/>
      <c r="R57" s="1666"/>
      <c r="S57" s="1666"/>
      <c r="T57" s="1666"/>
      <c r="U57" s="1666"/>
      <c r="V57" s="1666"/>
      <c r="W57" s="1666"/>
      <c r="X57" s="1666"/>
      <c r="Y57" s="1666"/>
      <c r="Z57" s="1666"/>
    </row>
    <row r="58" spans="2:26">
      <c r="B58" s="1666"/>
      <c r="C58" s="1667"/>
      <c r="D58" s="1666"/>
      <c r="E58" s="1666"/>
      <c r="F58" s="1666"/>
      <c r="G58" s="1666"/>
      <c r="H58" s="1666"/>
      <c r="I58" s="1666"/>
      <c r="J58" s="1666"/>
    </row>
    <row r="59" spans="2:26">
      <c r="B59" s="1670"/>
      <c r="C59" s="1671"/>
      <c r="D59" s="1670"/>
      <c r="E59" s="1670"/>
      <c r="F59" s="1670"/>
      <c r="G59" s="1670"/>
      <c r="H59" s="1670"/>
      <c r="I59" s="1670"/>
      <c r="J59" s="1670"/>
    </row>
    <row r="60" spans="2:26">
      <c r="B60" s="1670"/>
      <c r="C60" s="1671"/>
      <c r="D60" s="1670"/>
      <c r="E60" s="1670"/>
      <c r="F60" s="1670"/>
      <c r="G60" s="1670"/>
      <c r="H60" s="1670"/>
      <c r="I60" s="1670"/>
      <c r="J60" s="1670"/>
    </row>
    <row r="61" spans="2:26">
      <c r="B61" s="1670"/>
      <c r="C61" s="1671"/>
      <c r="D61" s="1670"/>
      <c r="E61" s="1670"/>
      <c r="F61" s="1670"/>
      <c r="G61" s="1670"/>
      <c r="H61" s="1670"/>
      <c r="I61" s="1670"/>
      <c r="J61" s="1670"/>
    </row>
    <row r="62" spans="2:26">
      <c r="B62" s="1617"/>
      <c r="C62" s="1617"/>
      <c r="D62" s="1617"/>
      <c r="E62" s="1617"/>
      <c r="F62" s="1617"/>
      <c r="G62" s="1617"/>
      <c r="H62" s="1617"/>
      <c r="I62" s="1617"/>
      <c r="J62" s="1617"/>
    </row>
    <row r="63" spans="2:26">
      <c r="B63" s="1617"/>
      <c r="C63" s="1617"/>
      <c r="D63" s="1617"/>
      <c r="E63" s="1617"/>
      <c r="F63" s="1617"/>
      <c r="G63" s="1617"/>
      <c r="H63" s="1617"/>
      <c r="I63" s="1617"/>
      <c r="J63" s="161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17"/>
  <sheetViews>
    <sheetView workbookViewId="0">
      <selection activeCell="K25" sqref="K25"/>
    </sheetView>
  </sheetViews>
  <sheetFormatPr defaultRowHeight="14.4"/>
  <sheetData>
    <row r="1" spans="1:13" ht="27.6">
      <c r="A1" s="1760" t="s">
        <v>1357</v>
      </c>
      <c r="E1" s="1754" t="s">
        <v>1361</v>
      </c>
      <c r="F1" s="1755" t="s">
        <v>1365</v>
      </c>
    </row>
    <row r="2" spans="1:13" ht="19.8">
      <c r="A2" s="1761" t="s">
        <v>1358</v>
      </c>
    </row>
    <row r="3" spans="1:13" ht="15.6">
      <c r="A3" s="1762" t="s">
        <v>1359</v>
      </c>
    </row>
    <row r="4" spans="1:13">
      <c r="A4" s="1752" t="s">
        <v>1360</v>
      </c>
      <c r="B4" s="1757" t="s">
        <v>1362</v>
      </c>
      <c r="C4" s="1758"/>
      <c r="D4" s="1759"/>
      <c r="E4" s="1757" t="s">
        <v>27</v>
      </c>
      <c r="F4" s="1758"/>
      <c r="G4" s="1759"/>
      <c r="H4" s="1757" t="s">
        <v>1363</v>
      </c>
      <c r="I4" s="1758"/>
      <c r="J4" s="1759"/>
      <c r="K4" s="1757" t="s">
        <v>6</v>
      </c>
      <c r="L4" s="1758"/>
      <c r="M4" s="1759"/>
    </row>
    <row r="5" spans="1:13">
      <c r="A5" s="1753" t="s">
        <v>1364</v>
      </c>
      <c r="B5" s="1752" t="s">
        <v>1366</v>
      </c>
      <c r="C5" s="1752" t="s">
        <v>1367</v>
      </c>
      <c r="D5" s="1752" t="s">
        <v>1368</v>
      </c>
      <c r="E5" s="1752" t="s">
        <v>1366</v>
      </c>
      <c r="F5" s="1752" t="s">
        <v>1367</v>
      </c>
      <c r="G5" s="1752" t="s">
        <v>1368</v>
      </c>
      <c r="H5" s="1752" t="s">
        <v>1366</v>
      </c>
      <c r="I5" s="1752" t="s">
        <v>1367</v>
      </c>
      <c r="J5" s="1752" t="s">
        <v>1368</v>
      </c>
      <c r="K5" s="1752" t="s">
        <v>1366</v>
      </c>
      <c r="L5" s="1752" t="s">
        <v>1367</v>
      </c>
      <c r="M5" s="1752" t="s">
        <v>1368</v>
      </c>
    </row>
    <row r="6" spans="1:13">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4"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0" customWidth="1"/>
    <col min="3" max="10" width="12.44140625" style="1920" customWidth="1"/>
    <col min="11" max="16384" width="9" style="1920"/>
  </cols>
  <sheetData>
    <row r="1" spans="1:10" ht="17.399999999999999">
      <c r="A1" s="1953" t="s">
        <v>867</v>
      </c>
      <c r="B1" s="1964"/>
      <c r="C1" s="1964"/>
      <c r="D1" s="1964"/>
      <c r="E1" s="1964"/>
      <c r="F1" s="1964"/>
      <c r="G1" s="1964"/>
      <c r="H1" s="1964"/>
      <c r="I1" s="1964"/>
      <c r="J1" s="1964"/>
    </row>
    <row r="2" spans="1:10" ht="17.399999999999999">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0" customWidth="1"/>
    <col min="2" max="16384" width="14.44140625" style="1952"/>
  </cols>
  <sheetData>
    <row r="1" spans="1:7" s="1967" customFormat="1" ht="17.399999999999999">
      <c r="A1" s="1966" t="s">
        <v>1647</v>
      </c>
    </row>
    <row r="3" spans="1:7">
      <c r="A3" s="1968" t="s">
        <v>82</v>
      </c>
      <c r="B3" s="1952" t="s">
        <v>1648</v>
      </c>
      <c r="G3" s="1969"/>
    </row>
    <row r="4" spans="1:7">
      <c r="G4" s="1969"/>
    </row>
    <row r="5" spans="1:7">
      <c r="A5" s="1971" t="s">
        <v>73</v>
      </c>
      <c r="B5" s="1952" t="s">
        <v>1649</v>
      </c>
      <c r="G5" s="1969"/>
    </row>
    <row r="6" spans="1:7">
      <c r="G6" s="1969"/>
    </row>
    <row r="7" spans="1:7">
      <c r="A7" s="1972" t="s">
        <v>135</v>
      </c>
      <c r="B7" s="1952" t="s">
        <v>1650</v>
      </c>
      <c r="G7" s="1969"/>
    </row>
    <row r="8" spans="1:7">
      <c r="G8" s="1969"/>
    </row>
    <row r="9" spans="1:7">
      <c r="A9" s="1973" t="s">
        <v>74</v>
      </c>
      <c r="B9" s="1952" t="s">
        <v>1651</v>
      </c>
    </row>
    <row r="11" spans="1:7">
      <c r="A11" s="1974" t="s">
        <v>75</v>
      </c>
      <c r="B11" s="1975" t="s">
        <v>72</v>
      </c>
    </row>
    <row r="13" spans="1:7">
      <c r="A13" s="1976" t="s">
        <v>1652</v>
      </c>
    </row>
    <row r="15" spans="1:7" ht="14.4">
      <c r="A15" s="3479" t="s">
        <v>1653</v>
      </c>
      <c r="B15" s="3474" t="s">
        <v>136</v>
      </c>
      <c r="C15" s="3475"/>
    </row>
    <row r="16" spans="1:7" ht="14.4">
      <c r="A16" s="3480"/>
      <c r="B16" s="3474" t="s">
        <v>69</v>
      </c>
      <c r="C16" s="3475"/>
    </row>
    <row r="17" spans="1:3" ht="14.4">
      <c r="A17" s="3480"/>
      <c r="B17" s="3477" t="s">
        <v>1654</v>
      </c>
      <c r="C17" s="1977" t="s">
        <v>1653</v>
      </c>
    </row>
    <row r="18" spans="1:3" ht="14.4">
      <c r="A18" s="3480"/>
      <c r="B18" s="3477"/>
      <c r="C18" s="1977" t="s">
        <v>1655</v>
      </c>
    </row>
    <row r="19" spans="1:3" ht="14.4">
      <c r="A19" s="3480"/>
      <c r="B19" s="3477"/>
      <c r="C19" s="1977" t="s">
        <v>1656</v>
      </c>
    </row>
    <row r="20" spans="1:3" ht="14.4">
      <c r="A20" s="3481"/>
      <c r="B20" s="3476" t="s">
        <v>1657</v>
      </c>
      <c r="C20" s="3475"/>
    </row>
    <row r="21" spans="1:3" ht="14.4">
      <c r="A21" s="1978" t="s">
        <v>1658</v>
      </c>
      <c r="B21" s="1979"/>
      <c r="C21" s="1980"/>
    </row>
    <row r="22" spans="1:3" ht="14.4">
      <c r="A22" s="3478" t="s">
        <v>1659</v>
      </c>
      <c r="B22" s="3476" t="s">
        <v>1660</v>
      </c>
      <c r="C22" s="3475"/>
    </row>
    <row r="23" spans="1:3" ht="14.4">
      <c r="A23" s="3478"/>
      <c r="B23" s="3476" t="s">
        <v>1661</v>
      </c>
      <c r="C23" s="3475"/>
    </row>
    <row r="24" spans="1:3" ht="14.4">
      <c r="A24" s="3478"/>
      <c r="B24" s="3476" t="s">
        <v>1662</v>
      </c>
      <c r="C24" s="3475"/>
    </row>
    <row r="25" spans="1:3" ht="14.4">
      <c r="A25" s="3478"/>
      <c r="B25" s="3477" t="s">
        <v>1663</v>
      </c>
      <c r="C25" s="1977" t="s">
        <v>1664</v>
      </c>
    </row>
    <row r="26" spans="1:3" ht="14.4">
      <c r="A26" s="3478"/>
      <c r="B26" s="3477"/>
      <c r="C26" s="1977" t="s">
        <v>1665</v>
      </c>
    </row>
    <row r="27" spans="1:3" ht="14.4">
      <c r="A27" s="3478"/>
      <c r="B27" s="3477"/>
      <c r="C27" s="1977" t="s">
        <v>1666</v>
      </c>
    </row>
    <row r="28" spans="1:3" ht="14.4">
      <c r="A28" s="3478"/>
      <c r="B28" s="3477"/>
      <c r="C28" s="1977" t="s">
        <v>1667</v>
      </c>
    </row>
    <row r="29" spans="1:3" ht="14.4">
      <c r="A29" s="3478"/>
      <c r="B29" s="3477"/>
      <c r="C29" s="1977" t="s">
        <v>1668</v>
      </c>
    </row>
    <row r="30" spans="1:3" ht="14.4">
      <c r="A30" s="3478"/>
      <c r="B30" s="3477"/>
      <c r="C30" s="1977" t="s">
        <v>1669</v>
      </c>
    </row>
    <row r="31" spans="1:3" ht="14.4">
      <c r="A31" s="3478"/>
      <c r="B31" s="3477"/>
      <c r="C31" s="1977" t="s">
        <v>1670</v>
      </c>
    </row>
    <row r="32" spans="1:3" ht="14.4">
      <c r="A32" s="3478"/>
      <c r="B32" s="3477"/>
      <c r="C32" s="1977" t="s">
        <v>1671</v>
      </c>
    </row>
    <row r="33" spans="1:3" ht="14.4">
      <c r="A33" s="3478"/>
      <c r="B33" s="3477"/>
      <c r="C33" s="1977" t="s">
        <v>1672</v>
      </c>
    </row>
    <row r="34" spans="1:3">
      <c r="A34" s="1981" t="s">
        <v>76</v>
      </c>
    </row>
    <row r="37" spans="1:3">
      <c r="A37" s="1981" t="s">
        <v>1673</v>
      </c>
    </row>
    <row r="38" spans="1:3" ht="14.4">
      <c r="A38" s="1982" t="s">
        <v>77</v>
      </c>
    </row>
    <row r="39" spans="1:3" ht="14.4">
      <c r="A39" s="1982" t="s">
        <v>78</v>
      </c>
    </row>
    <row r="40" spans="1:3" ht="14.4">
      <c r="A40" s="1982" t="s">
        <v>79</v>
      </c>
    </row>
    <row r="41" spans="1:3" ht="14.4">
      <c r="A41" s="1983" t="s">
        <v>80</v>
      </c>
    </row>
    <row r="42" spans="1:3" ht="14.4">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4"/>
    <col min="3" max="3" width="32.21875" style="1004" customWidth="1"/>
    <col min="4" max="5" width="22.6640625" style="1004"/>
    <col min="6" max="6" width="25.6640625" style="1004" customWidth="1"/>
    <col min="7" max="16384" width="22.6640625" style="1004"/>
  </cols>
  <sheetData>
    <row r="2" spans="1:6" ht="24" customHeight="1">
      <c r="A2" s="1006" t="s">
        <v>825</v>
      </c>
      <c r="B2" s="1007">
        <f ca="1">TODAY()</f>
        <v>43906</v>
      </c>
      <c r="C2" s="1008" t="s">
        <v>826</v>
      </c>
      <c r="D2" s="1008"/>
    </row>
    <row r="3" spans="1:6" ht="24" customHeight="1">
      <c r="A3" s="1009" t="s">
        <v>827</v>
      </c>
      <c r="B3" s="1010" t="s">
        <v>828</v>
      </c>
      <c r="C3" s="2318" t="s">
        <v>829</v>
      </c>
      <c r="D3" s="2321" t="s">
        <v>830</v>
      </c>
      <c r="E3" s="1011" t="s">
        <v>831</v>
      </c>
      <c r="F3" s="1010" t="s">
        <v>829</v>
      </c>
    </row>
    <row r="4" spans="1:6" ht="24" customHeight="1">
      <c r="A4" s="1681" t="s">
        <v>832</v>
      </c>
      <c r="B4" s="1011" t="str">
        <f ca="1">IF(C4&lt;B2,"已过期",1119970066)</f>
        <v>已过期</v>
      </c>
      <c r="C4" s="2319">
        <v>43849</v>
      </c>
      <c r="D4" s="2322" t="s">
        <v>832</v>
      </c>
      <c r="E4" s="1011">
        <f ca="1">IF(F4&lt;B2,"已过期",96010014)</f>
        <v>96010014</v>
      </c>
      <c r="F4" s="1019">
        <v>47118</v>
      </c>
    </row>
    <row r="5" spans="1:6" ht="24" customHeight="1">
      <c r="A5" s="1681" t="s">
        <v>833</v>
      </c>
      <c r="B5" s="1011" t="str">
        <f ca="1">IF(C5&lt;B2,"已过期",1119970074)</f>
        <v>已过期</v>
      </c>
      <c r="C5" s="2319">
        <v>43849</v>
      </c>
      <c r="D5" s="2322" t="s">
        <v>833</v>
      </c>
      <c r="E5" s="1011">
        <f ca="1">IF(F5&lt;B2,"已过期",2002110027)</f>
        <v>2002110027</v>
      </c>
      <c r="F5" s="1019">
        <v>46752</v>
      </c>
    </row>
    <row r="6" spans="1:6" ht="24" customHeight="1">
      <c r="A6" s="1681" t="s">
        <v>834</v>
      </c>
      <c r="B6" s="1011" t="str">
        <f ca="1">IF(C6&lt;B2,"已过期",1119970111)</f>
        <v>已过期</v>
      </c>
      <c r="C6" s="2319">
        <v>43849</v>
      </c>
      <c r="D6" s="2322" t="s">
        <v>834</v>
      </c>
      <c r="E6" s="1011">
        <f ca="1">IF(F6&lt;B2,"已过期",94010078)</f>
        <v>94010078</v>
      </c>
      <c r="F6" s="1019">
        <v>46387</v>
      </c>
    </row>
    <row r="7" spans="1:6" ht="24" customHeight="1">
      <c r="A7" s="1681" t="s">
        <v>835</v>
      </c>
      <c r="B7" s="1011">
        <f ca="1">IF(C7&lt;B2,"已过期",1120050019)</f>
        <v>1120050019</v>
      </c>
      <c r="C7" s="2319">
        <v>44395</v>
      </c>
      <c r="D7" s="2322" t="s">
        <v>835</v>
      </c>
      <c r="E7" s="1011">
        <f ca="1">IF(F7&lt;B2,"已过期",2002110030)</f>
        <v>2002110030</v>
      </c>
      <c r="F7" s="1019">
        <v>46387</v>
      </c>
    </row>
    <row r="8" spans="1:6" ht="24" customHeight="1">
      <c r="A8" s="1681" t="s">
        <v>836</v>
      </c>
      <c r="B8" s="1011" t="str">
        <f ca="1">IF(C8&lt;B2,"已过期",1120000080)</f>
        <v>已过期</v>
      </c>
      <c r="C8" s="2319">
        <v>43849</v>
      </c>
      <c r="D8" s="2322" t="s">
        <v>836</v>
      </c>
      <c r="E8" s="1011">
        <f ca="1">IF(F8&lt;B2,"已过期",2000110082)</f>
        <v>2000110082</v>
      </c>
      <c r="F8" s="1019">
        <v>46387</v>
      </c>
    </row>
    <row r="9" spans="1:6" ht="24" customHeight="1">
      <c r="A9" s="1681" t="s">
        <v>837</v>
      </c>
      <c r="B9" s="1011" t="str">
        <f ca="1">IF(C9&lt;B2,"已过期",1419970001)</f>
        <v>已过期</v>
      </c>
      <c r="C9" s="2319">
        <v>43867</v>
      </c>
      <c r="D9" s="2322" t="s">
        <v>837</v>
      </c>
      <c r="E9" s="1011">
        <f ca="1">IF(F9&lt;B2,"已过期",2002110125)</f>
        <v>2002110125</v>
      </c>
      <c r="F9" s="1019">
        <v>47118</v>
      </c>
    </row>
    <row r="10" spans="1:6" ht="24" customHeight="1">
      <c r="A10" s="1681" t="s">
        <v>838</v>
      </c>
      <c r="B10" s="1011">
        <f ca="1">IF(C10&lt;B2,"已过期",1120060040)</f>
        <v>1120060040</v>
      </c>
      <c r="C10" s="2319">
        <v>44554</v>
      </c>
      <c r="D10" s="2322" t="s">
        <v>838</v>
      </c>
      <c r="E10" s="1011">
        <f ca="1">IF(F10&lt;B2,"已过期",2004110096)</f>
        <v>2004110096</v>
      </c>
      <c r="F10" s="1019">
        <v>47118</v>
      </c>
    </row>
    <row r="11" spans="1:6" ht="24" customHeight="1">
      <c r="A11" s="1681" t="s">
        <v>839</v>
      </c>
      <c r="B11" s="1011">
        <f ca="1">IF(C11&lt;B2,"已过期",1120100036)</f>
        <v>1120100036</v>
      </c>
      <c r="C11" s="2319">
        <v>44675</v>
      </c>
      <c r="D11" s="2322" t="s">
        <v>839</v>
      </c>
      <c r="E11" s="1011">
        <f ca="1">IF(F11&lt;B2,"已过期",2010110070)</f>
        <v>2010110070</v>
      </c>
      <c r="F11" s="1019">
        <v>47907</v>
      </c>
    </row>
    <row r="12" spans="1:6" ht="24" customHeight="1">
      <c r="A12" s="1681"/>
      <c r="B12" s="1011"/>
      <c r="C12" s="2896"/>
      <c r="D12" s="1681"/>
      <c r="E12" s="1011"/>
      <c r="F12" s="1019"/>
    </row>
    <row r="13" spans="1:6" ht="24" customHeight="1">
      <c r="A13" s="1681" t="s">
        <v>840</v>
      </c>
      <c r="B13" s="1011" t="str">
        <f ca="1">IF(C13&lt;B2,"已过期",1120070131)</f>
        <v>已过期</v>
      </c>
      <c r="C13" s="2319">
        <v>43814</v>
      </c>
      <c r="D13" s="2322" t="s">
        <v>840</v>
      </c>
      <c r="E13" s="1011">
        <f ca="1">IF(F13&lt;B2,"已过期",2014110011)</f>
        <v>2014110011</v>
      </c>
      <c r="F13" s="1019">
        <v>49302</v>
      </c>
    </row>
    <row r="14" spans="1:6" ht="24" customHeight="1">
      <c r="A14" s="1681" t="s">
        <v>3013</v>
      </c>
      <c r="B14" s="1011" t="str">
        <f ca="1">IF(C14&lt;B2,"已过期",1120040230)</f>
        <v>已过期</v>
      </c>
      <c r="C14" s="2319">
        <v>43835</v>
      </c>
      <c r="D14" s="2322" t="s">
        <v>3013</v>
      </c>
      <c r="E14" s="1011">
        <f ca="1">IF(F14&lt;B2,"已过期",98030020)</f>
        <v>98030020</v>
      </c>
      <c r="F14" s="1019">
        <v>47118</v>
      </c>
    </row>
    <row r="15" spans="1:6" ht="24" customHeight="1">
      <c r="A15" s="1682" t="s">
        <v>3014</v>
      </c>
      <c r="B15" s="1011" t="str">
        <f ca="1">IF(C15&lt;B2,"已过期",1120070085)</f>
        <v>已过期</v>
      </c>
      <c r="C15" s="2319">
        <v>43814</v>
      </c>
      <c r="D15" s="2323" t="s">
        <v>3014</v>
      </c>
      <c r="E15" s="1011">
        <f ca="1">IF(F15&lt;B2,"已过期",2004110128)</f>
        <v>2004110128</v>
      </c>
      <c r="F15" s="1012">
        <v>47118</v>
      </c>
    </row>
    <row r="16" spans="1:6" ht="24" customHeight="1">
      <c r="A16" s="1681" t="s">
        <v>3015</v>
      </c>
      <c r="B16" s="1011">
        <f ca="1">IF(C16&lt;B2,"已过期",1120140022)</f>
        <v>1120140022</v>
      </c>
      <c r="C16" s="2896">
        <v>44029</v>
      </c>
      <c r="D16" s="2322" t="s">
        <v>3015</v>
      </c>
      <c r="E16" s="1011">
        <f ca="1">IF(F16&lt;B2,"已过期",2008110059)</f>
        <v>2008110059</v>
      </c>
      <c r="F16" s="1019">
        <v>47177</v>
      </c>
    </row>
    <row r="17" spans="1:7" ht="24" customHeight="1">
      <c r="A17" s="1681"/>
      <c r="B17" s="1011"/>
      <c r="C17" s="2319"/>
      <c r="D17" s="2322" t="s">
        <v>3016</v>
      </c>
      <c r="E17" s="1011">
        <f ca="1">IF(F17&lt;B2,"已过期",2014110076)</f>
        <v>2014110076</v>
      </c>
      <c r="F17" s="1019">
        <v>49302</v>
      </c>
    </row>
    <row r="18" spans="1:7" ht="24" customHeight="1">
      <c r="A18" s="1681" t="s">
        <v>3024</v>
      </c>
      <c r="B18" s="1011">
        <v>1120190079</v>
      </c>
      <c r="C18" s="2896">
        <v>44826</v>
      </c>
      <c r="D18" s="2322"/>
      <c r="E18" s="1011"/>
      <c r="F18" s="1019"/>
    </row>
    <row r="19" spans="1:7" ht="24" customHeight="1">
      <c r="A19" s="1681"/>
      <c r="B19" s="1011"/>
      <c r="C19" s="2319"/>
      <c r="D19" s="2322"/>
      <c r="E19" s="1011"/>
      <c r="F19" s="1011"/>
    </row>
    <row r="20" spans="1:7" ht="24" customHeight="1">
      <c r="A20" s="1681"/>
      <c r="B20" s="1011"/>
      <c r="C20" s="2319"/>
      <c r="D20" s="2322"/>
      <c r="E20" s="1011"/>
      <c r="F20" s="1011"/>
    </row>
    <row r="21" spans="1:7" ht="24" customHeight="1">
      <c r="A21" s="1681"/>
      <c r="B21" s="1011"/>
      <c r="C21" s="2319"/>
      <c r="D21" s="2322" t="s">
        <v>841</v>
      </c>
      <c r="E21" s="1011">
        <f ca="1">IF(F21&lt;B2,"已过期",2011110090)</f>
        <v>2011110090</v>
      </c>
      <c r="F21" s="1019">
        <v>48302</v>
      </c>
    </row>
    <row r="22" spans="1:7" ht="24" customHeight="1">
      <c r="A22" s="1681" t="s">
        <v>842</v>
      </c>
      <c r="B22" s="1011">
        <f ca="1">IF(C22&lt;B2,"已过期",1120020033)</f>
        <v>1120020033</v>
      </c>
      <c r="C22" s="2896">
        <v>44339</v>
      </c>
      <c r="D22" s="2322" t="s">
        <v>842</v>
      </c>
      <c r="E22" s="1011">
        <f ca="1">IF(F22&lt;B2,"已过期",2000110137)</f>
        <v>2000110137</v>
      </c>
      <c r="F22" s="1019">
        <v>46387</v>
      </c>
    </row>
    <row r="23" spans="1:7" ht="24" customHeight="1">
      <c r="A23" s="1681"/>
      <c r="B23" s="1011"/>
      <c r="C23" s="2319"/>
      <c r="D23" s="2322"/>
      <c r="E23" s="1011"/>
      <c r="F23" s="1011"/>
    </row>
    <row r="24" spans="1:7" s="1013" customFormat="1" ht="24" customHeight="1">
      <c r="A24" s="1682" t="s">
        <v>1322</v>
      </c>
      <c r="B24" s="1682" t="s">
        <v>1322</v>
      </c>
      <c r="C24" s="2320" t="s">
        <v>1322</v>
      </c>
      <c r="D24" s="2323" t="s">
        <v>1322</v>
      </c>
      <c r="E24" s="1682" t="s">
        <v>1322</v>
      </c>
      <c r="F24" s="1682" t="s">
        <v>1322</v>
      </c>
    </row>
    <row r="25" spans="1:7" ht="24" customHeight="1">
      <c r="A25" s="3482" t="s">
        <v>843</v>
      </c>
      <c r="B25" s="3482"/>
      <c r="C25" s="3482"/>
      <c r="D25" s="3482"/>
      <c r="E25" s="3482"/>
      <c r="F25" s="3482"/>
      <c r="G25" s="3482"/>
    </row>
    <row r="26" spans="1:7" s="1014" customFormat="1" ht="24" customHeight="1">
      <c r="A26" s="3483" t="s">
        <v>844</v>
      </c>
      <c r="B26" s="3483"/>
      <c r="C26" s="3484"/>
      <c r="D26" s="3485" t="s">
        <v>845</v>
      </c>
      <c r="E26" s="3483"/>
      <c r="F26" s="3483"/>
    </row>
    <row r="27" spans="1:7" s="1016" customFormat="1" ht="24" customHeight="1">
      <c r="A27" s="1015" t="s">
        <v>846</v>
      </c>
      <c r="B27" s="1010" t="s">
        <v>847</v>
      </c>
      <c r="C27" s="2318" t="s">
        <v>848</v>
      </c>
      <c r="D27" s="2325" t="s">
        <v>846</v>
      </c>
      <c r="E27" s="1010" t="s">
        <v>847</v>
      </c>
      <c r="F27" s="1010" t="s">
        <v>848</v>
      </c>
    </row>
    <row r="28" spans="1:7" s="1016" customFormat="1" ht="24" customHeight="1">
      <c r="A28" s="1017" t="s">
        <v>849</v>
      </c>
      <c r="B28" s="1018" t="s">
        <v>850</v>
      </c>
      <c r="C28" s="1019">
        <v>44820</v>
      </c>
      <c r="D28" s="2326" t="s">
        <v>851</v>
      </c>
      <c r="E28" s="1017" t="s">
        <v>852</v>
      </c>
      <c r="F28" s="1047">
        <v>44377</v>
      </c>
    </row>
    <row r="29" spans="1:7" s="1016" customFormat="1" ht="24" customHeight="1">
      <c r="A29" s="1017"/>
      <c r="B29" s="1017"/>
      <c r="C29" s="2324"/>
      <c r="D29" s="2326" t="s">
        <v>853</v>
      </c>
      <c r="E29" s="1183" t="s">
        <v>3025</v>
      </c>
      <c r="F29" s="1184">
        <v>44012</v>
      </c>
    </row>
    <row r="30" spans="1:7" ht="24" customHeight="1">
      <c r="C30" s="1020"/>
      <c r="D30" s="1020"/>
    </row>
  </sheetData>
  <sheetProtection sheet="1" objects="1" scenarios="1"/>
  <mergeCells count="3">
    <mergeCell ref="A25:G25"/>
    <mergeCell ref="A26:C26"/>
    <mergeCell ref="D26:F26"/>
  </mergeCells>
  <phoneticPr fontId="87"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定义</vt:lpstr>
      <vt:lpstr>面积表</vt:lpstr>
      <vt:lpstr>数据-基础表</vt:lpstr>
      <vt:lpstr>抵押物清单（分楼）</vt:lpstr>
      <vt:lpstr>数据-汇总表</vt:lpstr>
      <vt:lpstr>数据-取费表</vt:lpstr>
      <vt:lpstr>房天下</vt:lpstr>
      <vt:lpstr>市场分析</vt:lpstr>
      <vt:lpstr>估价对象房地状况</vt:lpstr>
      <vt:lpstr>系统读取表</vt:lpstr>
      <vt:lpstr>结果一览表</vt:lpstr>
      <vt:lpstr>结果表商</vt:lpstr>
      <vt:lpstr>成本法商租</vt:lpstr>
      <vt:lpstr>比较法-商业</vt:lpstr>
      <vt:lpstr>典型户型修正</vt:lpstr>
      <vt:lpstr>成本法商自</vt:lpstr>
      <vt:lpstr>收益法商</vt:lpstr>
      <vt:lpstr>收益法商自</vt:lpstr>
      <vt:lpstr>收益法商（汇总）</vt:lpstr>
      <vt:lpstr>结果表办</vt:lpstr>
      <vt:lpstr>比较法-办公</vt:lpstr>
      <vt:lpstr>成本法 (元)</vt:lpstr>
      <vt:lpstr>假设开发法</vt:lpstr>
      <vt:lpstr>收益法 (元)</vt:lpstr>
      <vt:lpstr>典型户型修正办</vt:lpstr>
      <vt:lpstr>收益法办</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土地比较法-住宅、综合</vt:lpstr>
      <vt:lpstr>土地案例</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收益法办!Print_Area</vt:lpstr>
      <vt:lpstr>收益法办自!Print_Area</vt:lpstr>
      <vt:lpstr>收益法车库!Print_Area</vt:lpstr>
      <vt:lpstr>收益法酒店!Print_Area</vt:lpstr>
      <vt:lpstr>收益法商!Print_Area</vt:lpstr>
      <vt:lpstr>收益法商自!Print_Area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2020-03-16T06:25:58Z</dcterms:modified>
</cp:coreProperties>
</file>