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  <sheet name="Sheet1" sheetId="69" r:id="rId21"/>
  </sheets>
  <externalReferences>
    <externalReference r:id="rId22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地价!$A$1:$V$71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地价!$A$3:$A$22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 concurrentCalc="0"/>
</workbook>
</file>

<file path=xl/calcChain.xml><?xml version="1.0" encoding="utf-8"?>
<calcChain xmlns="http://schemas.openxmlformats.org/spreadsheetml/2006/main">
  <c r="G2" i="63" l="1"/>
  <c r="E2" i="63"/>
  <c r="L1" i="60"/>
  <c r="K1" i="60"/>
  <c r="G3" i="63"/>
  <c r="E12" i="63"/>
  <c r="G12" i="63"/>
  <c r="F12" i="63"/>
  <c r="D12" i="63"/>
  <c r="C11" i="63"/>
  <c r="I4" i="67"/>
  <c r="L4" i="67"/>
  <c r="K4" i="67"/>
  <c r="J4" i="67"/>
  <c r="Q6" i="67"/>
  <c r="P6" i="67"/>
  <c r="O6" i="67"/>
  <c r="N6" i="67"/>
  <c r="N7" i="67"/>
  <c r="O7" i="67"/>
  <c r="P7" i="67"/>
  <c r="Q7" i="67"/>
  <c r="B15" i="59"/>
  <c r="H9" i="63"/>
  <c r="N19" i="67"/>
  <c r="B20" i="67"/>
  <c r="O19" i="67"/>
  <c r="C20" i="67"/>
  <c r="D20" i="67"/>
  <c r="P19" i="67"/>
  <c r="E20" i="67"/>
  <c r="Q19" i="67"/>
  <c r="F20" i="67"/>
  <c r="N20" i="67"/>
  <c r="B21" i="67"/>
  <c r="O20" i="67"/>
  <c r="C21" i="67"/>
  <c r="D21" i="67"/>
  <c r="P20" i="67"/>
  <c r="E21" i="67"/>
  <c r="Q20" i="67"/>
  <c r="F21" i="67"/>
  <c r="N21" i="67"/>
  <c r="B22" i="67"/>
  <c r="O21" i="67"/>
  <c r="C22" i="67"/>
  <c r="D22" i="67"/>
  <c r="P21" i="67"/>
  <c r="E22" i="67"/>
  <c r="Q21" i="67"/>
  <c r="F22" i="67"/>
  <c r="D23" i="67"/>
  <c r="N23" i="67"/>
  <c r="B24" i="67"/>
  <c r="O23" i="67"/>
  <c r="C24" i="67"/>
  <c r="D24" i="67"/>
  <c r="P23" i="67"/>
  <c r="E24" i="67"/>
  <c r="Q23" i="67"/>
  <c r="F24" i="67"/>
  <c r="N24" i="67"/>
  <c r="B25" i="67"/>
  <c r="O24" i="67"/>
  <c r="C25" i="67"/>
  <c r="D25" i="67"/>
  <c r="P24" i="67"/>
  <c r="E25" i="67"/>
  <c r="Q24" i="67"/>
  <c r="F25" i="67"/>
  <c r="N25" i="67"/>
  <c r="B26" i="67"/>
  <c r="O25" i="67"/>
  <c r="C26" i="67"/>
  <c r="D26" i="67"/>
  <c r="P25" i="67"/>
  <c r="E26" i="67"/>
  <c r="Q25" i="67"/>
  <c r="F26" i="67"/>
  <c r="D27" i="67"/>
  <c r="N27" i="67"/>
  <c r="B28" i="67"/>
  <c r="O27" i="67"/>
  <c r="C28" i="67"/>
  <c r="D28" i="67"/>
  <c r="P27" i="67"/>
  <c r="E28" i="67"/>
  <c r="Q27" i="67"/>
  <c r="F28" i="67"/>
  <c r="N28" i="67"/>
  <c r="B29" i="67"/>
  <c r="O28" i="67"/>
  <c r="C29" i="67"/>
  <c r="D29" i="67"/>
  <c r="P28" i="67"/>
  <c r="E29" i="67"/>
  <c r="Q28" i="67"/>
  <c r="F29" i="67"/>
  <c r="N29" i="67"/>
  <c r="B30" i="67"/>
  <c r="D30" i="67"/>
  <c r="P29" i="67"/>
  <c r="E30" i="67"/>
  <c r="Q29" i="67"/>
  <c r="F30" i="67"/>
  <c r="D31" i="67"/>
  <c r="N31" i="67"/>
  <c r="B32" i="67"/>
  <c r="O31" i="67"/>
  <c r="C32" i="67"/>
  <c r="D32" i="67"/>
  <c r="P31" i="67"/>
  <c r="E32" i="67"/>
  <c r="Q31" i="67"/>
  <c r="F32" i="67"/>
  <c r="N32" i="67"/>
  <c r="B33" i="67"/>
  <c r="O32" i="67"/>
  <c r="C33" i="67"/>
  <c r="D33" i="67"/>
  <c r="P32" i="67"/>
  <c r="E33" i="67"/>
  <c r="Q32" i="67"/>
  <c r="F33" i="67"/>
  <c r="N33" i="67"/>
  <c r="B34" i="67"/>
  <c r="O33" i="67"/>
  <c r="C34" i="67"/>
  <c r="D34" i="67"/>
  <c r="P33" i="67"/>
  <c r="E34" i="67"/>
  <c r="Q33" i="67"/>
  <c r="F34" i="67"/>
  <c r="D35" i="67"/>
  <c r="N35" i="67"/>
  <c r="B36" i="67"/>
  <c r="O35" i="67"/>
  <c r="C36" i="67"/>
  <c r="D36" i="67"/>
  <c r="P35" i="67"/>
  <c r="E36" i="67"/>
  <c r="Q35" i="67"/>
  <c r="F36" i="67"/>
  <c r="N36" i="67"/>
  <c r="B37" i="67"/>
  <c r="O36" i="67"/>
  <c r="C37" i="67"/>
  <c r="D37" i="67"/>
  <c r="P36" i="67"/>
  <c r="E37" i="67"/>
  <c r="Q36" i="67"/>
  <c r="F37" i="67"/>
  <c r="N37" i="67"/>
  <c r="B38" i="67"/>
  <c r="O37" i="67"/>
  <c r="C38" i="67"/>
  <c r="D38" i="67"/>
  <c r="P37" i="67"/>
  <c r="E38" i="67"/>
  <c r="Q37" i="67"/>
  <c r="F38" i="67"/>
  <c r="D39" i="67"/>
  <c r="N39" i="67"/>
  <c r="B40" i="67"/>
  <c r="O39" i="67"/>
  <c r="C40" i="67"/>
  <c r="D40" i="67"/>
  <c r="P39" i="67"/>
  <c r="E40" i="67"/>
  <c r="Q39" i="67"/>
  <c r="F40" i="67"/>
  <c r="N40" i="67"/>
  <c r="B41" i="67"/>
  <c r="O40" i="67"/>
  <c r="C41" i="67"/>
  <c r="D41" i="67"/>
  <c r="P40" i="67"/>
  <c r="E41" i="67"/>
  <c r="Q40" i="67"/>
  <c r="F41" i="67"/>
  <c r="N41" i="67"/>
  <c r="B42" i="67"/>
  <c r="O41" i="67"/>
  <c r="C42" i="67"/>
  <c r="D42" i="67"/>
  <c r="P41" i="67"/>
  <c r="E42" i="67"/>
  <c r="Q41" i="67"/>
  <c r="F42" i="67"/>
  <c r="D43" i="67"/>
  <c r="N43" i="67"/>
  <c r="B44" i="67"/>
  <c r="O43" i="67"/>
  <c r="C44" i="67"/>
  <c r="D44" i="67"/>
  <c r="P43" i="67"/>
  <c r="E44" i="67"/>
  <c r="Q43" i="67"/>
  <c r="F44" i="67"/>
  <c r="N44" i="67"/>
  <c r="B45" i="67"/>
  <c r="O44" i="67"/>
  <c r="C45" i="67"/>
  <c r="D45" i="67"/>
  <c r="P44" i="67"/>
  <c r="E45" i="67"/>
  <c r="Q44" i="67"/>
  <c r="F45" i="67"/>
  <c r="N45" i="67"/>
  <c r="B46" i="67"/>
  <c r="O45" i="67"/>
  <c r="C46" i="67"/>
  <c r="D46" i="67"/>
  <c r="P45" i="67"/>
  <c r="E46" i="67"/>
  <c r="Q45" i="67"/>
  <c r="F46" i="67"/>
  <c r="D47" i="67"/>
  <c r="B50" i="67"/>
  <c r="B49" i="67"/>
  <c r="B48" i="67"/>
  <c r="C50" i="67"/>
  <c r="C49" i="67"/>
  <c r="C48" i="67"/>
  <c r="D48" i="67"/>
  <c r="E50" i="67"/>
  <c r="E49" i="67"/>
  <c r="E48" i="67"/>
  <c r="F50" i="67"/>
  <c r="F49" i="67"/>
  <c r="F48" i="67"/>
  <c r="D49" i="67"/>
  <c r="D50" i="67"/>
  <c r="D51" i="67"/>
  <c r="B54" i="67"/>
  <c r="B53" i="67"/>
  <c r="B52" i="67"/>
  <c r="C54" i="67"/>
  <c r="C53" i="67"/>
  <c r="C52" i="67"/>
  <c r="D52" i="67"/>
  <c r="E54" i="67"/>
  <c r="E53" i="67"/>
  <c r="E52" i="67"/>
  <c r="F54" i="67"/>
  <c r="F53" i="67"/>
  <c r="F52" i="67"/>
  <c r="D53" i="67"/>
  <c r="D54" i="67"/>
  <c r="D55" i="67"/>
  <c r="B58" i="67"/>
  <c r="B57" i="67"/>
  <c r="B56" i="67"/>
  <c r="C58" i="67"/>
  <c r="C57" i="67"/>
  <c r="C56" i="67"/>
  <c r="D56" i="67"/>
  <c r="E58" i="67"/>
  <c r="E57" i="67"/>
  <c r="E56" i="67"/>
  <c r="F58" i="67"/>
  <c r="F57" i="67"/>
  <c r="F56" i="67"/>
  <c r="D57" i="67"/>
  <c r="D58" i="67"/>
  <c r="D59" i="67"/>
  <c r="B62" i="67"/>
  <c r="B61" i="67"/>
  <c r="B60" i="67"/>
  <c r="C62" i="67"/>
  <c r="C61" i="67"/>
  <c r="C60" i="67"/>
  <c r="D60" i="67"/>
  <c r="E62" i="67"/>
  <c r="E61" i="67"/>
  <c r="E60" i="67"/>
  <c r="F62" i="67"/>
  <c r="F61" i="67"/>
  <c r="F60" i="67"/>
  <c r="D61" i="67"/>
  <c r="D62" i="67"/>
  <c r="D63" i="67"/>
  <c r="B66" i="67"/>
  <c r="B65" i="67"/>
  <c r="B64" i="67"/>
  <c r="C66" i="67"/>
  <c r="C65" i="67"/>
  <c r="C64" i="67"/>
  <c r="D64" i="67"/>
  <c r="E66" i="67"/>
  <c r="E65" i="67"/>
  <c r="E64" i="67"/>
  <c r="F66" i="67"/>
  <c r="F65" i="67"/>
  <c r="F64" i="67"/>
  <c r="D65" i="67"/>
  <c r="D66" i="67"/>
  <c r="D67" i="67"/>
  <c r="B70" i="67"/>
  <c r="B69" i="67"/>
  <c r="B68" i="67"/>
  <c r="C70" i="67"/>
  <c r="C69" i="67"/>
  <c r="C68" i="67"/>
  <c r="D68" i="67"/>
  <c r="E70" i="67"/>
  <c r="E69" i="67"/>
  <c r="E68" i="67"/>
  <c r="F70" i="67"/>
  <c r="F69" i="67"/>
  <c r="F68" i="67"/>
  <c r="D69" i="67"/>
  <c r="D70" i="67"/>
  <c r="I9" i="63"/>
  <c r="F9" i="63"/>
  <c r="C9" i="63"/>
  <c r="G10" i="63"/>
  <c r="H10" i="63"/>
  <c r="C10" i="63"/>
  <c r="I3" i="63"/>
  <c r="E2" i="43"/>
  <c r="D5" i="43"/>
  <c r="N8" i="67"/>
  <c r="O8" i="67"/>
  <c r="P8" i="67"/>
  <c r="Q8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B7" i="68"/>
  <c r="C7" i="68"/>
  <c r="B3" i="68"/>
  <c r="B8" i="68"/>
  <c r="B6" i="68"/>
  <c r="B5" i="68"/>
  <c r="E14" i="68"/>
  <c r="F14" i="68"/>
  <c r="C6" i="68"/>
  <c r="C8" i="68"/>
  <c r="D5" i="68"/>
  <c r="D7" i="68"/>
  <c r="C5" i="68"/>
  <c r="D6" i="68"/>
  <c r="D8" i="68"/>
  <c r="N9" i="67"/>
  <c r="O9" i="67"/>
  <c r="P9" i="67"/>
  <c r="Q9" i="67"/>
  <c r="N10" i="67"/>
  <c r="O10" i="67"/>
  <c r="P10" i="67"/>
  <c r="Q10" i="67"/>
  <c r="C10" i="67"/>
  <c r="C9" i="67"/>
  <c r="C8" i="67"/>
  <c r="B10" i="67"/>
  <c r="S10" i="67"/>
  <c r="F10" i="67"/>
  <c r="V10" i="67"/>
  <c r="E10" i="67"/>
  <c r="U10" i="67"/>
  <c r="T10" i="67"/>
  <c r="D8" i="67"/>
  <c r="C7" i="67"/>
  <c r="D9" i="67"/>
  <c r="E9" i="67"/>
  <c r="E8" i="67"/>
  <c r="E7" i="67"/>
  <c r="E6" i="67"/>
  <c r="B9" i="67"/>
  <c r="B8" i="67"/>
  <c r="B7" i="67"/>
  <c r="B6" i="67"/>
  <c r="F9" i="67"/>
  <c r="F8" i="67"/>
  <c r="F7" i="67"/>
  <c r="F6" i="67"/>
  <c r="D10" i="67"/>
  <c r="D7" i="67"/>
  <c r="C6" i="67"/>
  <c r="D6" i="67"/>
  <c r="D71" i="67"/>
  <c r="D19" i="67"/>
  <c r="D15" i="67"/>
  <c r="D11" i="67"/>
  <c r="Q62" i="67"/>
  <c r="P62" i="67"/>
  <c r="O62" i="67"/>
  <c r="N62" i="67"/>
  <c r="V62" i="67"/>
  <c r="U62" i="67"/>
  <c r="T62" i="67"/>
  <c r="S62" i="67"/>
  <c r="Q61" i="67"/>
  <c r="P61" i="67"/>
  <c r="O61" i="67"/>
  <c r="N61" i="67"/>
  <c r="Q60" i="67"/>
  <c r="P60" i="67"/>
  <c r="O60" i="67"/>
  <c r="N60" i="67"/>
  <c r="Q59" i="67"/>
  <c r="P59" i="67"/>
  <c r="O59" i="67"/>
  <c r="N59" i="67"/>
  <c r="Q58" i="67"/>
  <c r="P58" i="67"/>
  <c r="O58" i="67"/>
  <c r="N58" i="67"/>
  <c r="V58" i="67"/>
  <c r="U58" i="67"/>
  <c r="T58" i="67"/>
  <c r="S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P54" i="67"/>
  <c r="O54" i="67"/>
  <c r="N54" i="67"/>
  <c r="V54" i="67"/>
  <c r="U54" i="67"/>
  <c r="T54" i="67"/>
  <c r="S54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V50" i="67"/>
  <c r="U50" i="67"/>
  <c r="T50" i="67"/>
  <c r="S50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P46" i="67"/>
  <c r="O46" i="67"/>
  <c r="N46" i="67"/>
  <c r="V46" i="67"/>
  <c r="U46" i="67"/>
  <c r="T46" i="67"/>
  <c r="S46" i="67"/>
  <c r="Q42" i="67"/>
  <c r="P42" i="67"/>
  <c r="O42" i="67"/>
  <c r="N42" i="67"/>
  <c r="V42" i="67"/>
  <c r="U42" i="67"/>
  <c r="T42" i="67"/>
  <c r="S42" i="67"/>
  <c r="Q38" i="67"/>
  <c r="P38" i="67"/>
  <c r="O38" i="67"/>
  <c r="N38" i="67"/>
  <c r="V38" i="67"/>
  <c r="U38" i="67"/>
  <c r="T38" i="67"/>
  <c r="S38" i="67"/>
  <c r="Q34" i="67"/>
  <c r="P34" i="67"/>
  <c r="O34" i="67"/>
  <c r="N34" i="67"/>
  <c r="V34" i="67"/>
  <c r="U34" i="67"/>
  <c r="T34" i="67"/>
  <c r="S34" i="67"/>
  <c r="T30" i="67"/>
  <c r="Q30" i="67"/>
  <c r="P30" i="67"/>
  <c r="O30" i="67"/>
  <c r="N30" i="67"/>
  <c r="O29" i="67"/>
  <c r="V30" i="67"/>
  <c r="U30" i="67"/>
  <c r="S30" i="67"/>
  <c r="Q26" i="67"/>
  <c r="P26" i="67"/>
  <c r="O26" i="67"/>
  <c r="N26" i="67"/>
  <c r="V26" i="67"/>
  <c r="U26" i="67"/>
  <c r="T26" i="67"/>
  <c r="S26" i="67"/>
  <c r="Q22" i="67"/>
  <c r="P22" i="67"/>
  <c r="O22" i="67"/>
  <c r="N22" i="67"/>
  <c r="V22" i="67"/>
  <c r="U22" i="67"/>
  <c r="T22" i="67"/>
  <c r="S22" i="67"/>
  <c r="Q18" i="67"/>
  <c r="P18" i="67"/>
  <c r="O18" i="67"/>
  <c r="N18" i="67"/>
  <c r="Q17" i="67"/>
  <c r="P17" i="67"/>
  <c r="O17" i="67"/>
  <c r="N17" i="67"/>
  <c r="Q16" i="67"/>
  <c r="P16" i="67"/>
  <c r="O16" i="67"/>
  <c r="N16" i="67"/>
  <c r="Q15" i="67"/>
  <c r="F16" i="67"/>
  <c r="F17" i="67"/>
  <c r="F18" i="67"/>
  <c r="V18" i="67"/>
  <c r="P15" i="67"/>
  <c r="E16" i="67"/>
  <c r="E17" i="67"/>
  <c r="E18" i="67"/>
  <c r="U18" i="67"/>
  <c r="O15" i="67"/>
  <c r="C16" i="67"/>
  <c r="C17" i="67"/>
  <c r="C18" i="67"/>
  <c r="T18" i="67"/>
  <c r="N15" i="67"/>
  <c r="B16" i="67"/>
  <c r="B17" i="67"/>
  <c r="B18" i="67"/>
  <c r="S18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F12" i="67"/>
  <c r="F13" i="67"/>
  <c r="F14" i="67"/>
  <c r="V14" i="67"/>
  <c r="P11" i="67"/>
  <c r="E12" i="67"/>
  <c r="E13" i="67"/>
  <c r="E14" i="67"/>
  <c r="U14" i="67"/>
  <c r="O11" i="67"/>
  <c r="C12" i="67"/>
  <c r="C13" i="67"/>
  <c r="C14" i="67"/>
  <c r="T14" i="67"/>
  <c r="N11" i="67"/>
  <c r="B12" i="67"/>
  <c r="B13" i="67"/>
  <c r="B14" i="67"/>
  <c r="S14" i="67"/>
  <c r="D12" i="67"/>
  <c r="D14" i="67"/>
  <c r="D16" i="67"/>
  <c r="D18" i="67"/>
  <c r="D13" i="67"/>
  <c r="D17" i="67"/>
  <c r="N50" i="67"/>
  <c r="P50" i="67"/>
  <c r="O50" i="67"/>
  <c r="Q50" i="67"/>
  <c r="Y63" i="66"/>
  <c r="Y62" i="66"/>
  <c r="A70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36" i="66"/>
  <c r="B37" i="66"/>
  <c r="B38" i="66"/>
  <c r="B39" i="66"/>
  <c r="B40" i="66"/>
  <c r="B41" i="66"/>
  <c r="B42" i="66"/>
  <c r="B43" i="66"/>
  <c r="B44" i="66"/>
  <c r="B45" i="66"/>
  <c r="B46" i="66"/>
  <c r="B47" i="66"/>
  <c r="B48" i="66"/>
  <c r="B49" i="66"/>
  <c r="B50" i="66"/>
  <c r="B51" i="66"/>
  <c r="B52" i="66"/>
  <c r="B53" i="66"/>
  <c r="B54" i="66"/>
  <c r="B55" i="66"/>
  <c r="B56" i="66"/>
  <c r="B57" i="66"/>
  <c r="B58" i="66"/>
  <c r="B59" i="66"/>
  <c r="Y61" i="66"/>
  <c r="T60" i="66"/>
  <c r="B60" i="66"/>
  <c r="T61" i="66"/>
  <c r="B61" i="66"/>
  <c r="T62" i="66"/>
  <c r="B62" i="66"/>
  <c r="T63" i="66"/>
  <c r="B63" i="66"/>
  <c r="Y67" i="66"/>
  <c r="Y66" i="66"/>
  <c r="Y65" i="66"/>
  <c r="T64" i="66"/>
  <c r="B64" i="66"/>
  <c r="T65" i="66"/>
  <c r="B65" i="66"/>
  <c r="T66" i="66"/>
  <c r="B66" i="66"/>
  <c r="L17" i="66"/>
  <c r="C17" i="66"/>
  <c r="C18" i="66"/>
  <c r="C19" i="66"/>
  <c r="C20" i="66"/>
  <c r="C21" i="66"/>
  <c r="C22" i="66"/>
  <c r="C23" i="66"/>
  <c r="C24" i="66"/>
  <c r="C25" i="66"/>
  <c r="C26" i="66"/>
  <c r="C27" i="66"/>
  <c r="C28" i="66"/>
  <c r="C29" i="66"/>
  <c r="C30" i="66"/>
  <c r="C31" i="66"/>
  <c r="C32" i="66"/>
  <c r="C33" i="66"/>
  <c r="C34" i="66"/>
  <c r="C35" i="66"/>
  <c r="C36" i="66"/>
  <c r="C37" i="66"/>
  <c r="C38" i="66"/>
  <c r="C39" i="66"/>
  <c r="C40" i="66"/>
  <c r="C41" i="66"/>
  <c r="C42" i="66"/>
  <c r="C43" i="66"/>
  <c r="C44" i="66"/>
  <c r="C45" i="66"/>
  <c r="C46" i="66"/>
  <c r="C47" i="66"/>
  <c r="C48" i="66"/>
  <c r="C49" i="66"/>
  <c r="C50" i="66"/>
  <c r="C51" i="66"/>
  <c r="C52" i="66"/>
  <c r="C53" i="66"/>
  <c r="C54" i="66"/>
  <c r="C55" i="66"/>
  <c r="C56" i="66"/>
  <c r="C57" i="66"/>
  <c r="C58" i="66"/>
  <c r="C59" i="66"/>
  <c r="Z63" i="66"/>
  <c r="Z62" i="66"/>
  <c r="Z61" i="66"/>
  <c r="U60" i="66"/>
  <c r="C60" i="66"/>
  <c r="U61" i="66"/>
  <c r="C61" i="66"/>
  <c r="U62" i="66"/>
  <c r="C62" i="66"/>
  <c r="U63" i="66"/>
  <c r="C63" i="66"/>
  <c r="Z67" i="66"/>
  <c r="Z66" i="66"/>
  <c r="Z65" i="66"/>
  <c r="U64" i="66"/>
  <c r="C64" i="66"/>
  <c r="U65" i="66"/>
  <c r="C65" i="66"/>
  <c r="U66" i="66"/>
  <c r="C66" i="66"/>
  <c r="M17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D32" i="66"/>
  <c r="D33" i="66"/>
  <c r="D34" i="66"/>
  <c r="D35" i="66"/>
  <c r="D36" i="66"/>
  <c r="D37" i="66"/>
  <c r="D38" i="66"/>
  <c r="D39" i="66"/>
  <c r="D40" i="66"/>
  <c r="D41" i="66"/>
  <c r="D42" i="66"/>
  <c r="D43" i="66"/>
  <c r="D44" i="66"/>
  <c r="D45" i="66"/>
  <c r="D46" i="66"/>
  <c r="D47" i="66"/>
  <c r="D48" i="66"/>
  <c r="D49" i="66"/>
  <c r="D50" i="66"/>
  <c r="D51" i="66"/>
  <c r="D52" i="66"/>
  <c r="D53" i="66"/>
  <c r="D54" i="66"/>
  <c r="D55" i="66"/>
  <c r="D56" i="66"/>
  <c r="D57" i="66"/>
  <c r="D58" i="66"/>
  <c r="D59" i="66"/>
  <c r="D60" i="66"/>
  <c r="D61" i="66"/>
  <c r="D62" i="66"/>
  <c r="D63" i="66"/>
  <c r="D64" i="66"/>
  <c r="D65" i="66"/>
  <c r="D66" i="66"/>
  <c r="N17" i="66"/>
  <c r="E17" i="66"/>
  <c r="E18" i="66"/>
  <c r="E19" i="66"/>
  <c r="E20" i="66"/>
  <c r="E21" i="66"/>
  <c r="E22" i="66"/>
  <c r="E23" i="66"/>
  <c r="E24" i="66"/>
  <c r="E25" i="66"/>
  <c r="E26" i="66"/>
  <c r="E27" i="66"/>
  <c r="E28" i="66"/>
  <c r="E29" i="66"/>
  <c r="E30" i="66"/>
  <c r="E31" i="66"/>
  <c r="E32" i="66"/>
  <c r="E33" i="66"/>
  <c r="E34" i="66"/>
  <c r="E35" i="66"/>
  <c r="E36" i="66"/>
  <c r="E37" i="66"/>
  <c r="E38" i="66"/>
  <c r="E39" i="66"/>
  <c r="E40" i="66"/>
  <c r="E41" i="66"/>
  <c r="E42" i="66"/>
  <c r="E43" i="66"/>
  <c r="E44" i="66"/>
  <c r="E45" i="66"/>
  <c r="E46" i="66"/>
  <c r="E47" i="66"/>
  <c r="E48" i="66"/>
  <c r="E49" i="66"/>
  <c r="E50" i="66"/>
  <c r="E51" i="66"/>
  <c r="E52" i="66"/>
  <c r="E53" i="66"/>
  <c r="E54" i="66"/>
  <c r="E55" i="66"/>
  <c r="E56" i="66"/>
  <c r="E57" i="66"/>
  <c r="E58" i="66"/>
  <c r="E59" i="66"/>
  <c r="AA63" i="66"/>
  <c r="AA62" i="66"/>
  <c r="AA61" i="66"/>
  <c r="V60" i="66"/>
  <c r="E60" i="66"/>
  <c r="V61" i="66"/>
  <c r="E61" i="66"/>
  <c r="V62" i="66"/>
  <c r="E62" i="66"/>
  <c r="V63" i="66"/>
  <c r="E63" i="66"/>
  <c r="AA67" i="66"/>
  <c r="AA66" i="66"/>
  <c r="AA65" i="66"/>
  <c r="V64" i="66"/>
  <c r="E64" i="66"/>
  <c r="V65" i="66"/>
  <c r="E65" i="66"/>
  <c r="V66" i="66"/>
  <c r="E66" i="66"/>
  <c r="O17" i="66"/>
  <c r="F17" i="66"/>
  <c r="F18" i="66"/>
  <c r="F19" i="66"/>
  <c r="F20" i="66"/>
  <c r="F21" i="66"/>
  <c r="F22" i="66"/>
  <c r="F23" i="66"/>
  <c r="F24" i="66"/>
  <c r="F25" i="66"/>
  <c r="F26" i="66"/>
  <c r="F27" i="66"/>
  <c r="F28" i="66"/>
  <c r="F29" i="66"/>
  <c r="F30" i="66"/>
  <c r="F31" i="66"/>
  <c r="F32" i="66"/>
  <c r="F33" i="66"/>
  <c r="F34" i="66"/>
  <c r="F35" i="66"/>
  <c r="F36" i="66"/>
  <c r="F37" i="66"/>
  <c r="F38" i="66"/>
  <c r="F39" i="66"/>
  <c r="F40" i="66"/>
  <c r="F41" i="66"/>
  <c r="F42" i="66"/>
  <c r="F43" i="66"/>
  <c r="F44" i="66"/>
  <c r="F45" i="66"/>
  <c r="F46" i="66"/>
  <c r="F47" i="66"/>
  <c r="F48" i="66"/>
  <c r="F49" i="66"/>
  <c r="F50" i="66"/>
  <c r="F51" i="66"/>
  <c r="F52" i="66"/>
  <c r="F53" i="66"/>
  <c r="F54" i="66"/>
  <c r="F55" i="66"/>
  <c r="F56" i="66"/>
  <c r="F57" i="66"/>
  <c r="F58" i="66"/>
  <c r="F59" i="66"/>
  <c r="AB63" i="66"/>
  <c r="AB62" i="66"/>
  <c r="AB61" i="66"/>
  <c r="W60" i="66"/>
  <c r="F60" i="66"/>
  <c r="W61" i="66"/>
  <c r="F61" i="66"/>
  <c r="W62" i="66"/>
  <c r="F62" i="66"/>
  <c r="W63" i="66"/>
  <c r="F63" i="66"/>
  <c r="AB67" i="66"/>
  <c r="AB66" i="66"/>
  <c r="AB65" i="66"/>
  <c r="W64" i="66"/>
  <c r="F64" i="66"/>
  <c r="W65" i="66"/>
  <c r="F65" i="66"/>
  <c r="W66" i="66"/>
  <c r="F66" i="66"/>
  <c r="P17" i="66"/>
  <c r="L18" i="66"/>
  <c r="M18" i="66"/>
  <c r="N18" i="66"/>
  <c r="O18" i="66"/>
  <c r="P18" i="66"/>
  <c r="L19" i="66"/>
  <c r="M19" i="66"/>
  <c r="N19" i="66"/>
  <c r="O19" i="66"/>
  <c r="P19" i="66"/>
  <c r="H6" i="59"/>
  <c r="B8" i="59"/>
  <c r="C11" i="39"/>
  <c r="B11" i="64"/>
  <c r="G3" i="43"/>
  <c r="O1" i="66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G18" i="66"/>
  <c r="H18" i="66"/>
  <c r="J18" i="66"/>
  <c r="K18" i="66"/>
  <c r="F8" i="66"/>
  <c r="E8" i="66"/>
  <c r="C8" i="66"/>
  <c r="B8" i="66"/>
  <c r="U67" i="66"/>
  <c r="C67" i="66"/>
  <c r="D67" i="66"/>
  <c r="W67" i="66"/>
  <c r="F67" i="66"/>
  <c r="P2" i="66"/>
  <c r="N2" i="66"/>
  <c r="L2" i="66"/>
  <c r="O2" i="66"/>
  <c r="M2" i="66"/>
  <c r="G11" i="66"/>
  <c r="G2" i="66"/>
  <c r="N20" i="43"/>
  <c r="D8" i="66"/>
  <c r="D16" i="66"/>
  <c r="D15" i="66"/>
  <c r="D14" i="66"/>
  <c r="D13" i="66"/>
  <c r="D12" i="66"/>
  <c r="D11" i="66"/>
  <c r="D10" i="66"/>
  <c r="D9" i="66"/>
  <c r="I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11" i="66"/>
  <c r="K2" i="66"/>
  <c r="N24" i="43"/>
  <c r="H12" i="66"/>
  <c r="H11" i="66"/>
  <c r="H2" i="66"/>
  <c r="N21" i="43"/>
  <c r="K10" i="66"/>
  <c r="H10" i="66"/>
  <c r="K9" i="66"/>
  <c r="H9" i="66"/>
  <c r="K8" i="66"/>
  <c r="H8" i="66"/>
  <c r="K7" i="66"/>
  <c r="H7" i="66"/>
  <c r="K6" i="66"/>
  <c r="H6" i="66"/>
  <c r="K5" i="66"/>
  <c r="H5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11" i="66"/>
  <c r="J2" i="66"/>
  <c r="N23" i="43"/>
  <c r="G12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T67" i="66"/>
  <c r="B67" i="66"/>
  <c r="O66" i="66"/>
  <c r="L66" i="66"/>
  <c r="O65" i="66"/>
  <c r="L65" i="66"/>
  <c r="L62" i="66"/>
  <c r="G32" i="59"/>
  <c r="G31" i="59"/>
  <c r="G30" i="59"/>
  <c r="O2" i="59"/>
  <c r="P33" i="59"/>
  <c r="Q33" i="59"/>
  <c r="R33" i="59"/>
  <c r="O33" i="59"/>
  <c r="H21" i="59"/>
  <c r="H9" i="59"/>
  <c r="L20" i="66"/>
  <c r="I7" i="66"/>
  <c r="O63" i="66"/>
  <c r="O62" i="66"/>
  <c r="I8" i="66"/>
  <c r="I5" i="66"/>
  <c r="L61" i="66"/>
  <c r="L60" i="66"/>
  <c r="L21" i="66"/>
  <c r="L22" i="66"/>
  <c r="L23" i="66"/>
  <c r="L24" i="66"/>
  <c r="L25" i="66"/>
  <c r="L26" i="66"/>
  <c r="C26" i="63"/>
  <c r="L27" i="66"/>
  <c r="I10" i="66"/>
  <c r="I12" i="66"/>
  <c r="I11" i="66"/>
  <c r="I2" i="66"/>
  <c r="N22" i="43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3" i="66"/>
  <c r="I15" i="66"/>
  <c r="I17" i="66"/>
  <c r="L64" i="66"/>
  <c r="O61" i="66"/>
  <c r="P66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N66" i="66"/>
  <c r="M66" i="66"/>
  <c r="P65" i="66"/>
  <c r="C18" i="64"/>
  <c r="N65" i="66"/>
  <c r="M65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19" i="43"/>
  <c r="E2" i="65"/>
  <c r="E1" i="65"/>
  <c r="D2" i="65"/>
  <c r="D1" i="65"/>
  <c r="H4" i="65"/>
  <c r="C58" i="39"/>
  <c r="D56" i="39"/>
  <c r="B24" i="63"/>
  <c r="M18" i="43"/>
  <c r="H1" i="66"/>
  <c r="C24" i="64"/>
  <c r="I20" i="43"/>
  <c r="H7" i="39"/>
  <c r="J7" i="39"/>
  <c r="F7" i="39"/>
  <c r="J2" i="65"/>
  <c r="J1" i="65"/>
  <c r="B7" i="64"/>
  <c r="B5" i="64"/>
  <c r="B10" i="64"/>
  <c r="B9" i="64"/>
  <c r="D29" i="64"/>
  <c r="E4" i="65"/>
  <c r="D8" i="65"/>
  <c r="E6" i="65"/>
  <c r="E5" i="65"/>
  <c r="H7" i="65"/>
  <c r="D5" i="65"/>
  <c r="H6" i="65"/>
  <c r="H8" i="65"/>
  <c r="G4" i="65"/>
  <c r="G7" i="65"/>
  <c r="G6" i="65"/>
  <c r="D7" i="65"/>
  <c r="H5" i="65"/>
  <c r="D4" i="65"/>
  <c r="G5" i="65"/>
  <c r="E7" i="65"/>
  <c r="G8" i="65"/>
  <c r="D6" i="65"/>
  <c r="E8" i="65"/>
  <c r="D58" i="39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2" i="65"/>
  <c r="G1" i="65"/>
  <c r="E20" i="43"/>
  <c r="F56" i="39"/>
  <c r="E58" i="39"/>
  <c r="G21" i="59"/>
  <c r="G9" i="59"/>
  <c r="C23" i="64"/>
  <c r="C22" i="64"/>
  <c r="G11" i="9"/>
  <c r="F7" i="9"/>
  <c r="F6" i="9"/>
  <c r="C63" i="39"/>
  <c r="C9" i="39"/>
  <c r="B3" i="64"/>
  <c r="G56" i="39"/>
  <c r="F58" i="39"/>
  <c r="G12" i="9"/>
  <c r="C12" i="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H1" i="63"/>
  <c r="D18" i="63"/>
  <c r="H56" i="39"/>
  <c r="G58" i="39"/>
  <c r="F19" i="43"/>
  <c r="I19" i="43"/>
  <c r="C19" i="43"/>
  <c r="F59" i="43"/>
  <c r="J20" i="43"/>
  <c r="A12" i="43"/>
  <c r="A16" i="43"/>
  <c r="J71" i="63"/>
  <c r="I71" i="63"/>
  <c r="D8" i="63"/>
  <c r="D20" i="63"/>
  <c r="D19" i="63"/>
  <c r="H16" i="63"/>
  <c r="F47" i="63"/>
  <c r="F45" i="63"/>
  <c r="F43" i="63"/>
  <c r="D43" i="63"/>
  <c r="J48" i="63"/>
  <c r="I48" i="63"/>
  <c r="J46" i="63"/>
  <c r="I46" i="63"/>
  <c r="J44" i="63"/>
  <c r="I44" i="63"/>
  <c r="F42" i="63"/>
  <c r="D42" i="63"/>
  <c r="J51" i="63"/>
  <c r="I51" i="63"/>
  <c r="F56" i="63"/>
  <c r="F54" i="63"/>
  <c r="F52" i="63"/>
  <c r="J56" i="63"/>
  <c r="I56" i="63"/>
  <c r="J54" i="63"/>
  <c r="I54" i="63"/>
  <c r="J52" i="63"/>
  <c r="I5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F55" i="63"/>
  <c r="F53" i="63"/>
  <c r="G53" i="63"/>
  <c r="J57" i="63"/>
  <c r="I57" i="63"/>
  <c r="J55" i="63"/>
  <c r="I55" i="63"/>
  <c r="J53" i="63"/>
  <c r="I53" i="63"/>
  <c r="J60" i="63"/>
  <c r="I60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I2" i="43"/>
  <c r="M1" i="43"/>
  <c r="D1" i="43"/>
  <c r="G2" i="43"/>
  <c r="E17" i="43"/>
  <c r="I56" i="39"/>
  <c r="H58" i="39"/>
  <c r="H5" i="44"/>
  <c r="H6" i="44"/>
  <c r="G57" i="63"/>
  <c r="D57" i="63"/>
  <c r="G44" i="63"/>
  <c r="D44" i="63"/>
  <c r="G48" i="63"/>
  <c r="D48" i="63"/>
  <c r="D76" i="63"/>
  <c r="E70" i="63"/>
  <c r="B68" i="63"/>
  <c r="G76" i="63"/>
  <c r="G54" i="63"/>
  <c r="D54" i="63"/>
  <c r="D45" i="63"/>
  <c r="G45" i="63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/>
  <c r="I58" i="39"/>
  <c r="E51" i="63"/>
  <c r="B49" i="63"/>
  <c r="E42" i="63"/>
  <c r="K56" i="39"/>
  <c r="J58" i="39"/>
  <c r="F28" i="59"/>
  <c r="F31" i="59"/>
  <c r="G29" i="59"/>
  <c r="F13" i="59"/>
  <c r="F18" i="59"/>
  <c r="F9" i="9"/>
  <c r="L56" i="39"/>
  <c r="K58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H29" i="39"/>
  <c r="AB29" i="39"/>
  <c r="F29" i="39"/>
  <c r="AA29" i="39"/>
  <c r="C29" i="39"/>
  <c r="M56" i="39"/>
  <c r="L58" i="39"/>
  <c r="F29" i="59"/>
  <c r="F33" i="59"/>
  <c r="B17" i="9"/>
  <c r="F17" i="59"/>
  <c r="F12" i="59"/>
  <c r="F5" i="9"/>
  <c r="C21" i="64"/>
  <c r="U29" i="39"/>
  <c r="S29" i="39"/>
  <c r="H22" i="43"/>
  <c r="F22" i="43"/>
  <c r="G91" i="39"/>
  <c r="J29" i="39"/>
  <c r="C28" i="64"/>
  <c r="C27" i="64"/>
  <c r="E27" i="64"/>
  <c r="B2" i="64"/>
  <c r="C30" i="64"/>
  <c r="C29" i="64"/>
  <c r="N56" i="39"/>
  <c r="M58" i="39"/>
  <c r="F20" i="59"/>
  <c r="F22" i="59"/>
  <c r="AC29" i="39"/>
  <c r="W29" i="39"/>
  <c r="E30" i="64"/>
  <c r="E28" i="64"/>
  <c r="O56" i="39"/>
  <c r="O58" i="39"/>
  <c r="N58" i="39"/>
  <c r="E29" i="64"/>
  <c r="F114" i="43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F81" i="43"/>
  <c r="H83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W7" i="39"/>
  <c r="AB7" i="39"/>
  <c r="S7" i="39"/>
  <c r="J38" i="39"/>
  <c r="W38" i="39"/>
  <c r="H38" i="39"/>
  <c r="AB38" i="39"/>
  <c r="F38" i="39"/>
  <c r="AA38" i="39"/>
  <c r="D112" i="39"/>
  <c r="E112" i="39"/>
  <c r="F112" i="39"/>
  <c r="G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J9" i="39"/>
  <c r="AC9" i="39"/>
  <c r="H9" i="39"/>
  <c r="AB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H27" i="39"/>
  <c r="AB27" i="39"/>
  <c r="C25" i="39"/>
  <c r="H11" i="39"/>
  <c r="AB11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11" i="39"/>
  <c r="AA11" i="39"/>
  <c r="J11" i="39"/>
  <c r="AC11" i="39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B114" i="43"/>
  <c r="I119" i="43"/>
  <c r="J119" i="43"/>
  <c r="K119" i="43"/>
  <c r="L119" i="43"/>
  <c r="M119" i="43"/>
  <c r="M102" i="43"/>
  <c r="M107" i="43"/>
  <c r="K102" i="43"/>
  <c r="I102" i="43"/>
  <c r="I108" i="43"/>
  <c r="G102" i="43"/>
  <c r="G108" i="43"/>
  <c r="E102" i="43"/>
  <c r="C102" i="43"/>
  <c r="C108" i="43"/>
  <c r="N102" i="43"/>
  <c r="N110" i="43"/>
  <c r="L102" i="43"/>
  <c r="L108" i="43"/>
  <c r="J102" i="43"/>
  <c r="J108" i="43"/>
  <c r="H102" i="43"/>
  <c r="F102" i="43"/>
  <c r="D102" i="43"/>
  <c r="D108" i="43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10" i="43"/>
  <c r="N6" i="43"/>
  <c r="N2" i="43"/>
  <c r="M11" i="43"/>
  <c r="M7" i="43"/>
  <c r="M3" i="43"/>
  <c r="N1" i="43"/>
  <c r="N3" i="43"/>
  <c r="F70" i="43"/>
  <c r="H72" i="43"/>
  <c r="N7" i="43"/>
  <c r="M10" i="43"/>
  <c r="M2" i="43"/>
  <c r="M8" i="43"/>
  <c r="H15" i="44"/>
  <c r="M4" i="43"/>
  <c r="N9" i="43"/>
  <c r="H62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/>
  <c r="C110" i="43"/>
  <c r="K110" i="43"/>
  <c r="AB13" i="39"/>
  <c r="F27" i="39"/>
  <c r="AA27" i="39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/>
  <c r="F77" i="39"/>
  <c r="G77" i="39"/>
  <c r="F15" i="39"/>
  <c r="J15" i="39"/>
  <c r="W15" i="39"/>
  <c r="F37" i="39"/>
  <c r="U44" i="39"/>
  <c r="AB44" i="39"/>
  <c r="W43" i="39"/>
  <c r="AC43" i="39"/>
  <c r="H112" i="39"/>
  <c r="I112" i="39"/>
  <c r="J112" i="39"/>
  <c r="K112" i="39"/>
  <c r="L112" i="39"/>
  <c r="M112" i="39"/>
  <c r="H41" i="39"/>
  <c r="U41" i="39"/>
  <c r="AB40" i="39"/>
  <c r="AC41" i="39"/>
  <c r="AB45" i="39"/>
  <c r="U45" i="39"/>
  <c r="S45" i="39"/>
  <c r="J45" i="39"/>
  <c r="H23" i="39"/>
  <c r="U23" i="39"/>
  <c r="F85" i="39"/>
  <c r="G85" i="39"/>
  <c r="U37" i="39"/>
  <c r="AA35" i="39"/>
  <c r="S35" i="39"/>
  <c r="F87" i="39"/>
  <c r="G87" i="39"/>
  <c r="H25" i="39"/>
  <c r="U25" i="39"/>
  <c r="F25" i="39"/>
  <c r="S25" i="39"/>
  <c r="J25" i="39"/>
  <c r="W2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/>
  <c r="F116" i="43"/>
  <c r="G116" i="43"/>
  <c r="H116" i="43"/>
  <c r="I106" i="43"/>
  <c r="J110" i="43"/>
  <c r="I117" i="43"/>
  <c r="J117" i="43"/>
  <c r="K117" i="43"/>
  <c r="L117" i="43"/>
  <c r="M117" i="43"/>
  <c r="B118" i="43"/>
  <c r="C118" i="43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/>
  <c r="F118" i="43"/>
  <c r="G118" i="43"/>
  <c r="H118" i="43"/>
  <c r="I116" i="43"/>
  <c r="J116" i="43"/>
  <c r="K116" i="43"/>
  <c r="L116" i="43"/>
  <c r="M116" i="43"/>
  <c r="B116" i="43"/>
  <c r="C116" i="43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/>
  <c r="D119" i="43"/>
  <c r="E119" i="43"/>
  <c r="F119" i="43"/>
  <c r="D117" i="43"/>
  <c r="E117" i="43"/>
  <c r="F117" i="43"/>
  <c r="G117" i="43"/>
  <c r="H117" i="43"/>
  <c r="I118" i="43"/>
  <c r="J118" i="43"/>
  <c r="K118" i="43"/>
  <c r="L118" i="43"/>
  <c r="M118" i="43"/>
  <c r="B119" i="43"/>
  <c r="C119" i="43"/>
  <c r="B117" i="43"/>
  <c r="C117" i="43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11" i="43"/>
  <c r="C6" i="43"/>
  <c r="M5" i="43"/>
  <c r="M9" i="43"/>
  <c r="N4" i="43"/>
  <c r="N8" i="43"/>
  <c r="F48" i="43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W32" i="39"/>
  <c r="AB23" i="39"/>
  <c r="E48" i="43"/>
  <c r="B46" i="43"/>
  <c r="B17" i="59"/>
  <c r="B18" i="59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/>
  <c r="G47" i="39"/>
  <c r="S19" i="39"/>
  <c r="AA15" i="39"/>
  <c r="S15" i="39"/>
  <c r="AA37" i="39"/>
  <c r="S37" i="39"/>
  <c r="W45" i="39"/>
  <c r="AC45" i="39"/>
  <c r="R47" i="39"/>
  <c r="E47" i="39"/>
  <c r="E51" i="39"/>
  <c r="F51" i="39"/>
  <c r="AB32" i="39"/>
  <c r="W19" i="39"/>
  <c r="D114" i="43"/>
  <c r="J22" i="43"/>
  <c r="C21" i="43"/>
  <c r="V47" i="39"/>
  <c r="I47" i="39"/>
  <c r="I51" i="39"/>
  <c r="J51" i="39"/>
  <c r="C35" i="43"/>
  <c r="C33" i="43"/>
  <c r="C36" i="43"/>
  <c r="C34" i="43"/>
  <c r="C37" i="43"/>
  <c r="E37" i="43"/>
  <c r="C39" i="43"/>
  <c r="E39" i="43"/>
  <c r="C38" i="43"/>
  <c r="E38" i="43"/>
  <c r="G34" i="43"/>
  <c r="I34" i="43"/>
  <c r="E35" i="43"/>
  <c r="E33" i="43"/>
  <c r="E36" i="43"/>
  <c r="C29" i="43"/>
  <c r="B3" i="43"/>
  <c r="R48" i="39"/>
  <c r="C47" i="39"/>
  <c r="I52" i="39"/>
  <c r="J52" i="39"/>
  <c r="G52" i="39"/>
  <c r="H52" i="39"/>
  <c r="E52" i="39"/>
  <c r="F52" i="39"/>
  <c r="G51" i="39"/>
  <c r="H51" i="39"/>
  <c r="G37" i="43"/>
  <c r="I37" i="43"/>
  <c r="C30" i="43"/>
  <c r="E34" i="43"/>
  <c r="G35" i="43"/>
  <c r="I35" i="43"/>
  <c r="G33" i="43"/>
  <c r="I33" i="43"/>
  <c r="G38" i="43"/>
  <c r="I38" i="43"/>
  <c r="E29" i="43"/>
  <c r="C26" i="43"/>
  <c r="B2" i="43"/>
  <c r="G39" i="43"/>
  <c r="I39" i="43"/>
  <c r="G36" i="43"/>
  <c r="I36" i="43"/>
  <c r="C48" i="39"/>
  <c r="B3" i="39"/>
  <c r="E30" i="43"/>
  <c r="C27" i="43"/>
  <c r="B2" i="39"/>
  <c r="G42" i="63"/>
  <c r="B40" i="63"/>
  <c r="F21" i="59"/>
  <c r="F13" i="9"/>
  <c r="F11" i="9"/>
  <c r="F11" i="59"/>
  <c r="F12" i="9"/>
  <c r="F14" i="9"/>
  <c r="E13" i="63"/>
  <c r="F13" i="63"/>
  <c r="G13" i="63"/>
  <c r="H13" i="63"/>
  <c r="H12" i="63"/>
  <c r="D14" i="63"/>
  <c r="B80" i="63"/>
  <c r="B83" i="63"/>
  <c r="B85" i="63"/>
  <c r="D13" i="63"/>
  <c r="B84" i="63"/>
  <c r="B81" i="63"/>
  <c r="B82" i="63"/>
  <c r="M1" i="60"/>
  <c r="C7" i="63"/>
  <c r="F60" i="63"/>
  <c r="G60" i="63"/>
  <c r="D60" i="63"/>
  <c r="F61" i="63"/>
  <c r="G61" i="63"/>
  <c r="D61" i="63"/>
  <c r="F62" i="63"/>
  <c r="G62" i="63"/>
  <c r="D62" i="63"/>
  <c r="F63" i="63"/>
  <c r="G63" i="63"/>
  <c r="D63" i="63"/>
  <c r="F64" i="63"/>
  <c r="G64" i="63"/>
  <c r="D64" i="63"/>
  <c r="F65" i="63"/>
  <c r="D65" i="63"/>
  <c r="F66" i="63"/>
  <c r="G66" i="63"/>
  <c r="D66" i="63"/>
  <c r="F67" i="63"/>
  <c r="G67" i="63"/>
  <c r="D67" i="63"/>
  <c r="E60" i="63"/>
  <c r="B58" i="63"/>
  <c r="C15" i="63"/>
  <c r="C18" i="63"/>
  <c r="B3" i="63"/>
  <c r="F6" i="59"/>
  <c r="C20" i="63"/>
  <c r="B4" i="63"/>
  <c r="F7" i="59"/>
  <c r="F5" i="59"/>
  <c r="F8" i="59"/>
  <c r="F9" i="59"/>
  <c r="F10" i="59"/>
  <c r="F4" i="59"/>
  <c r="F24" i="59"/>
  <c r="F25" i="59"/>
  <c r="B16" i="9"/>
  <c r="H16" i="9"/>
  <c r="F36" i="59"/>
  <c r="B19" i="9"/>
  <c r="B11" i="68"/>
  <c r="H19" i="9"/>
  <c r="B15" i="9"/>
  <c r="F35" i="59"/>
  <c r="B18" i="9"/>
  <c r="C11" i="68"/>
  <c r="B5" i="9"/>
  <c r="B11" i="9"/>
  <c r="B12" i="9"/>
  <c r="B13" i="9"/>
  <c r="B14" i="9"/>
  <c r="C19" i="63"/>
  <c r="E19" i="63"/>
  <c r="E20" i="63"/>
  <c r="C21" i="63"/>
  <c r="E21" i="63"/>
  <c r="G65" i="63"/>
  <c r="C22" i="63"/>
  <c r="B5" i="63"/>
  <c r="E18" i="63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<sst xmlns="http://schemas.openxmlformats.org/spreadsheetml/2006/main" count="3939" uniqueCount="1779">
  <si>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</si>
  <si>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</si>
  <si>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</si>
  <si>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</si>
  <si>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</si>
  <si>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</si>
  <si>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</si>
  <si>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</si>
  <si>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</si>
  <si>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</si>
  <si>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</si>
  <si>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</si>
  <si>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</si>
  <si>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</si>
  <si>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</si>
  <si>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</si>
  <si>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</si>
  <si>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</si>
  <si>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</si>
  <si>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</si>
  <si>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</si>
  <si>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</si>
  <si>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</si>
  <si>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</si>
  <si>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</si>
  <si>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</si>
  <si>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</si>
  <si>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</si>
  <si>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</si>
  <si>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</si>
  <si>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</si>
  <si>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</si>
  <si>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</si>
  <si>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</si>
  <si>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</si>
  <si>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</si>
  <si>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</si>
  <si>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</si>
  <si>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</si>
  <si>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</si>
  <si>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</si>
  <si>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</si>
  <si>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</si>
  <si>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</si>
  <si>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</si>
  <si>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</si>
  <si>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</si>
  <si>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</si>
  <si>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</si>
  <si>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</si>
  <si>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</si>
  <si>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</si>
  <si>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</si>
  <si>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</si>
  <si>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</si>
  <si>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</si>
  <si>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</si>
  <si>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</si>
  <si>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</si>
  <si>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</si>
  <si>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</si>
  <si>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</si>
  <si>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</si>
  <si>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</si>
  <si>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</si>
  <si>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</si>
  <si>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</si>
  <si>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</si>
  <si>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</si>
  <si>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</si>
  <si>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</si>
  <si>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</si>
  <si>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</si>
  <si>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</si>
  <si>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</si>
  <si>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</si>
  <si>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</si>
  <si>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</si>
  <si>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</si>
  <si>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</si>
  <si>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</si>
  <si>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</si>
  <si>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</si>
  <si>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</si>
  <si>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</si>
  <si>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</si>
  <si>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</si>
  <si>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</si>
  <si>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</si>
  <si>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</si>
  <si>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</si>
  <si>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</si>
  <si>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</si>
  <si>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</si>
  <si>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</si>
  <si>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</si>
  <si>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</si>
  <si>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</si>
  <si>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</si>
  <si>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</si>
  <si>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</si>
  <si>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</si>
  <si>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</si>
  <si>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</si>
  <si>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</si>
  <si>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</si>
  <si>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</si>
  <si>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</si>
  <si>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</si>
  <si>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</si>
  <si>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</si>
  <si>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</si>
  <si>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</si>
  <si>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</si>
  <si>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</si>
  <si>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</si>
  <si>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</si>
  <si>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</si>
  <si>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</si>
  <si>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</si>
  <si>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</si>
  <si>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</si>
  <si>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</si>
  <si>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</si>
  <si>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</si>
  <si>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</si>
  <si>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</si>
  <si>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</si>
  <si>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</si>
  <si>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</si>
  <si>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</si>
  <si>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</si>
  <si>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</si>
  <si>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</si>
  <si>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</si>
  <si>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</si>
  <si>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</si>
  <si>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</si>
  <si>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</si>
  <si>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</si>
  <si>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</si>
  <si>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</si>
  <si>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</si>
  <si>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</si>
  <si>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</si>
  <si>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</si>
  <si>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</si>
  <si>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</si>
  <si>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</si>
  <si>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</si>
  <si>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</si>
  <si>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</si>
  <si>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</si>
  <si>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</si>
  <si>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</si>
  <si>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</si>
  <si>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</si>
  <si>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</si>
  <si>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</si>
  <si>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</si>
  <si>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</si>
  <si>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</si>
  <si>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</si>
  <si>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</si>
  <si>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</si>
  <si>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</si>
  <si>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</si>
  <si>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</si>
  <si>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</si>
  <si>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</si>
  <si>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</si>
  <si>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</si>
  <si>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</si>
  <si>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</si>
  <si>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</si>
  <si>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</si>
  <si>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</si>
  <si>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</si>
  <si>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</si>
  <si>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</si>
  <si>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</si>
  <si>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</si>
  <si>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</si>
  <si>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</si>
  <si>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</si>
  <si>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</si>
  <si>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</si>
  <si>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</si>
  <si>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</si>
  <si>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</si>
  <si>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</si>
  <si>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</si>
  <si>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</si>
  <si>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</si>
  <si>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</si>
  <si>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</si>
  <si>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</si>
  <si>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</si>
  <si>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</si>
  <si>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</si>
  <si>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</si>
  <si>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</si>
  <si>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</si>
  <si>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</si>
  <si>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</si>
  <si>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</si>
  <si>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</si>
  <si>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</si>
  <si>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</si>
  <si>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</si>
  <si>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</si>
  <si>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</si>
  <si>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</si>
  <si>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</si>
  <si>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</si>
  <si>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</si>
  <si>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</si>
  <si>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</si>
  <si>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</si>
  <si>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</si>
  <si>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</si>
  <si>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</si>
  <si>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</si>
  <si>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</si>
  <si>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</si>
  <si>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</si>
  <si>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</si>
  <si>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</si>
  <si>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</si>
  <si>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</si>
  <si>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</si>
  <si>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</si>
  <si>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</si>
  <si>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</si>
  <si>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</si>
  <si>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</si>
  <si>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</si>
  <si>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</si>
  <si>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</si>
  <si>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</si>
  <si>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</si>
  <si>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</si>
  <si>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</si>
  <si>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</si>
  <si>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</si>
  <si>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</si>
  <si>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</si>
  <si>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</si>
  <si>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</si>
  <si>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</si>
  <si>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</si>
  <si>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</si>
  <si>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</si>
  <si>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</si>
  <si>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</si>
  <si>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</si>
  <si>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</si>
  <si>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</si>
  <si>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</si>
  <si>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</si>
  <si>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</si>
  <si>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</si>
  <si>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</si>
  <si>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</si>
  <si>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</si>
  <si>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</si>
  <si>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</si>
  <si>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</si>
  <si>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</si>
  <si>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</si>
  <si>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</si>
  <si>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</si>
  <si>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</si>
  <si>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</si>
  <si>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</si>
  <si>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</si>
  <si>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</si>
  <si>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</si>
  <si>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</si>
  <si>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</si>
  <si>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</si>
  <si>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</si>
  <si>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</si>
  <si>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</si>
  <si>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</si>
  <si>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</si>
  <si>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</si>
  <si>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</si>
  <si>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</si>
  <si>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</si>
  <si>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</si>
  <si>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</si>
  <si>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</si>
  <si>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</si>
  <si>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</si>
  <si>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</si>
  <si>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</si>
  <si>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</si>
  <si>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</si>
  <si>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</si>
  <si>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</si>
  <si>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</si>
  <si>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</si>
  <si>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</si>
  <si>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</si>
  <si>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</si>
  <si>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</si>
  <si>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</si>
  <si>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</si>
  <si>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</si>
  <si>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</si>
  <si>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</si>
  <si>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</si>
  <si>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</si>
  <si>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</si>
  <si>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</si>
  <si>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</si>
  <si>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</si>
  <si>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</si>
  <si>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</si>
  <si>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</si>
  <si>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</si>
  <si>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</si>
  <si>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</si>
  <si>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</si>
  <si>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</si>
  <si>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</si>
  <si>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</si>
  <si>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</si>
  <si>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</si>
  <si>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</si>
  <si>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</si>
  <si>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</si>
  <si>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</si>
  <si>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</si>
  <si>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</si>
  <si>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</si>
  <si>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</si>
  <si>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</si>
  <si>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</si>
  <si>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</si>
  <si>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</si>
  <si>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</si>
  <si>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</si>
  <si>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</si>
  <si>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</si>
  <si>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</si>
  <si>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</si>
  <si>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</si>
  <si>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</si>
  <si>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</si>
  <si>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</si>
  <si>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</si>
  <si>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</si>
  <si>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</si>
  <si>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</si>
  <si>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</si>
  <si>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</si>
  <si>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</si>
  <si>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</si>
  <si>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</si>
  <si>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</si>
  <si>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</si>
  <si>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</si>
  <si>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</si>
  <si>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</si>
  <si>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</si>
  <si>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</si>
  <si>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</si>
  <si>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</si>
  <si>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</si>
  <si>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</si>
  <si>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</si>
  <si>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</si>
  <si>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</si>
  <si>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</si>
  <si>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</si>
  <si>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</si>
  <si>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</si>
  <si>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</si>
  <si>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</si>
  <si>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</si>
  <si>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</si>
  <si>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</si>
  <si>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</si>
  <si>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</si>
  <si>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</si>
  <si>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</si>
  <si>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</si>
  <si>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</si>
  <si>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</si>
  <si>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</si>
  <si>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</si>
  <si>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</si>
  <si>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</si>
  <si>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</si>
  <si>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</si>
  <si>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</si>
  <si>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</si>
  <si>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</si>
  <si>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</si>
  <si>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</si>
  <si>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</si>
  <si>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</si>
  <si>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</si>
  <si>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</si>
  <si>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</si>
  <si>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</si>
  <si>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</si>
  <si>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</si>
  <si>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</si>
  <si>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</si>
  <si>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</si>
  <si>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</si>
  <si>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</si>
  <si>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</si>
  <si>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</si>
  <si>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</si>
  <si>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</si>
  <si>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</si>
  <si>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</si>
  <si>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</si>
  <si>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</si>
  <si>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</si>
  <si>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</si>
  <si>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</si>
  <si>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</si>
  <si>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</si>
  <si>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</si>
  <si>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</si>
  <si>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</si>
  <si>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</si>
  <si>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</si>
  <si>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</si>
  <si>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</si>
  <si>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</si>
  <si>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</si>
  <si>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</si>
  <si>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</si>
  <si>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</si>
  <si>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</si>
  <si>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</si>
  <si>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</si>
  <si>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</si>
  <si>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</si>
  <si>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</si>
  <si>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</si>
  <si>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</si>
  <si>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</si>
  <si>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</si>
  <si>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</si>
  <si>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</si>
  <si>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</si>
  <si>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</si>
  <si>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</si>
  <si>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</si>
  <si>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</si>
  <si>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</si>
  <si>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</si>
  <si>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</si>
  <si>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</si>
  <si>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</si>
  <si>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</si>
  <si>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</si>
  <si>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</si>
  <si>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</si>
  <si>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</si>
  <si>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</si>
  <si>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</si>
  <si>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</si>
  <si>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</si>
  <si>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</si>
  <si>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</si>
  <si>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</si>
  <si>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</si>
  <si>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</si>
  <si>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</si>
  <si>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</si>
  <si>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</si>
  <si>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</si>
  <si>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</si>
  <si>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</si>
  <si>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</si>
  <si>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</si>
  <si>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</si>
  <si>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</si>
  <si>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</si>
  <si>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</si>
  <si>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</si>
  <si>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</si>
  <si>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</si>
  <si>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</si>
  <si>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</si>
  <si>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</si>
  <si>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</si>
  <si>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</si>
  <si>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</si>
  <si>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</si>
  <si>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</si>
  <si>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</si>
  <si>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</si>
  <si>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</si>
  <si>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</si>
  <si>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</si>
  <si>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</si>
  <si>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</si>
  <si>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</si>
  <si>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</si>
  <si>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</si>
  <si>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</si>
  <si>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</si>
  <si>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</si>
  <si>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</si>
  <si>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</si>
  <si>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</si>
  <si>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</si>
  <si>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</si>
  <si>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</si>
  <si>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</si>
  <si>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</si>
  <si>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</si>
  <si>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</si>
  <si>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</si>
  <si>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</si>
  <si>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</si>
  <si>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</si>
  <si>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</si>
  <si>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</si>
  <si>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</si>
  <si>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</si>
  <si>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</si>
  <si>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</si>
  <si>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</si>
  <si>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</si>
  <si>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</si>
  <si>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</si>
  <si>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</si>
  <si>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</si>
  <si>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</si>
  <si>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</si>
  <si>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</si>
  <si>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</si>
  <si>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</si>
  <si>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</si>
  <si>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</si>
  <si>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</si>
  <si>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</si>
  <si>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</si>
  <si>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</si>
  <si>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</si>
  <si>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</si>
  <si>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</si>
  <si>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</si>
  <si>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</si>
  <si>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</si>
  <si>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</si>
  <si>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</si>
  <si>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</si>
  <si>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</si>
  <si>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</si>
  <si>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</si>
  <si>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</si>
  <si>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</si>
  <si>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</si>
  <si>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</si>
  <si>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</si>
  <si>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</si>
  <si>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</si>
  <si>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</si>
  <si>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</si>
  <si>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</si>
  <si>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</si>
  <si>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</si>
  <si>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</si>
  <si>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</si>
  <si>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</si>
  <si>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</si>
  <si>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</si>
  <si>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</si>
  <si>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</si>
  <si>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</si>
  <si>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</si>
  <si>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</si>
  <si>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</si>
  <si>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</si>
  <si>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</si>
  <si>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</si>
  <si>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</si>
  <si>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</si>
  <si>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</si>
  <si>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</si>
  <si>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</si>
  <si>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</si>
  <si>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</si>
  <si>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</si>
  <si>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</si>
  <si>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</si>
  <si>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</si>
  <si>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</si>
  <si>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</si>
  <si>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</si>
  <si>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</si>
  <si>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</si>
  <si>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</si>
  <si>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</si>
  <si>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</si>
  <si>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</si>
  <si>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</si>
  <si>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</si>
  <si>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</si>
  <si>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</si>
  <si>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</si>
  <si>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</si>
  <si>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</si>
  <si>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</si>
  <si>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</si>
  <si>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</si>
  <si>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</si>
  <si>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</si>
  <si>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</si>
  <si>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</si>
  <si>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</si>
  <si>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</si>
  <si>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</si>
  <si>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</si>
  <si>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</si>
  <si>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</si>
  <si>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</si>
  <si>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</si>
  <si>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</si>
  <si>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</si>
  <si>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</si>
  <si>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</si>
  <si>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</si>
  <si>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</si>
  <si>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</si>
  <si>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</si>
  <si>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</si>
  <si>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</si>
  <si>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</si>
  <si>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</si>
  <si>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</si>
  <si>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</si>
  <si>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</si>
  <si>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</si>
  <si>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</si>
  <si>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</si>
  <si>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</si>
  <si>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</si>
  <si>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</si>
  <si>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</si>
  <si>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</si>
  <si>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</si>
  <si>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</si>
  <si>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</si>
  <si>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</si>
  <si>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</si>
  <si>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</si>
  <si>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</si>
  <si>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</si>
  <si>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</si>
  <si>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</si>
  <si>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</si>
  <si>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</si>
  <si>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</si>
  <si>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</si>
  <si>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</si>
  <si>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</si>
  <si>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</si>
  <si>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</si>
  <si>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</si>
  <si>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</si>
  <si>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</si>
  <si>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</si>
  <si>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</si>
  <si>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</si>
  <si>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</si>
  <si>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</si>
  <si>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</si>
  <si>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</si>
  <si>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</si>
  <si>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</si>
  <si>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</si>
  <si>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</si>
  <si>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</si>
  <si>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</si>
  <si>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</si>
  <si>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</si>
  <si>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</si>
  <si>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</si>
  <si>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</si>
  <si>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</si>
  <si>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</si>
  <si>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</si>
  <si>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</si>
  <si>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</si>
  <si>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</si>
  <si>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</si>
  <si>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</si>
  <si>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</si>
  <si>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</si>
  <si>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</si>
  <si>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</si>
  <si>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</si>
  <si>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</si>
  <si>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</si>
  <si>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</si>
  <si>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</si>
  <si>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</si>
  <si>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</si>
  <si>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</si>
  <si>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</si>
  <si>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</si>
  <si>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</si>
  <si>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</si>
  <si>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</si>
  <si>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</si>
  <si>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</si>
  <si>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</si>
  <si>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</si>
  <si>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</si>
  <si>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</si>
  <si>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</si>
  <si>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</si>
  <si>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</si>
  <si>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</si>
  <si>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</si>
  <si>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</si>
  <si>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</si>
  <si>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</si>
  <si>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</si>
  <si>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</si>
  <si>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</si>
  <si>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</si>
  <si>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</si>
  <si>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</si>
  <si>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</si>
  <si>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</si>
  <si>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</si>
  <si>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</si>
  <si>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</si>
  <si>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</si>
  <si>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</si>
  <si>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</si>
  <si>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</si>
  <si>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</si>
  <si>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</si>
  <si>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</si>
  <si>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</si>
  <si>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</si>
  <si>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</si>
  <si>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</si>
  <si>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</si>
  <si>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</si>
  <si>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</si>
  <si>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</si>
  <si>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</si>
  <si>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</si>
  <si>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</si>
  <si>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</si>
  <si>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</si>
  <si>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</si>
  <si>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</si>
  <si>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</si>
  <si>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</si>
  <si>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</si>
  <si>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</si>
  <si>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</si>
  <si>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</si>
  <si>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</si>
  <si>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</si>
  <si>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</si>
  <si>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</si>
  <si>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</si>
  <si>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</si>
  <si>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</si>
  <si>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</si>
  <si>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</si>
  <si>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</si>
  <si>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</si>
  <si>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</si>
  <si>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</si>
  <si>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</si>
  <si>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</si>
  <si>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</si>
  <si>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</si>
  <si>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</si>
  <si>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</si>
  <si>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</si>
  <si>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</si>
  <si>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</si>
  <si>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</si>
  <si>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</si>
  <si>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</si>
  <si>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</si>
  <si>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</si>
  <si>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</si>
  <si>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</si>
  <si>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</si>
  <si>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</si>
  <si>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</si>
  <si>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</si>
  <si>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</si>
  <si>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</si>
  <si>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</si>
  <si>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</si>
  <si>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</si>
  <si>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</si>
  <si>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</si>
  <si>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</si>
  <si>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</si>
  <si>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</si>
  <si>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</si>
  <si>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</si>
  <si>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</si>
  <si>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</si>
  <si>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</si>
  <si>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</si>
  <si>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</si>
  <si>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</si>
  <si>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</si>
  <si>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</si>
  <si>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</si>
  <si>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</si>
  <si>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</si>
  <si>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</si>
  <si>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</si>
  <si>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</si>
  <si>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</si>
  <si>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</si>
  <si>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</si>
  <si>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</si>
  <si>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</si>
  <si>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</si>
  <si>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</si>
  <si>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</si>
  <si>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</si>
  <si>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</si>
  <si>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</si>
  <si>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</si>
  <si>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</si>
  <si>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</si>
  <si>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</si>
  <si>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</si>
  <si>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</si>
  <si>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</si>
  <si>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</si>
  <si>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</si>
  <si>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</si>
  <si>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</si>
  <si>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</si>
  <si>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</si>
  <si>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</si>
  <si>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</si>
  <si>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</si>
  <si>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</si>
  <si>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</si>
  <si>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</si>
  <si>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</si>
  <si>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</si>
  <si>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</si>
  <si>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</si>
  <si>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</si>
  <si>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</si>
  <si>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</si>
  <si>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</si>
  <si>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</si>
  <si>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</si>
  <si>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</si>
  <si>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</si>
  <si>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</si>
  <si>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</si>
  <si>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</si>
  <si>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</si>
  <si>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</si>
  <si>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</si>
  <si>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</si>
  <si>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</si>
  <si>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</si>
  <si>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</si>
  <si>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</si>
  <si>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</si>
  <si>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</si>
  <si>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</si>
  <si>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</si>
  <si>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</si>
  <si>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</si>
  <si>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</si>
  <si>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</si>
  <si>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</si>
  <si>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</si>
  <si>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</si>
  <si>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</si>
  <si>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</si>
  <si>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</si>
  <si>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</si>
  <si>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</si>
  <si>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</si>
  <si>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</si>
  <si>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</si>
  <si>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</si>
  <si>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</si>
  <si>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</si>
  <si>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</si>
  <si>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</si>
  <si>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</si>
  <si>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</si>
  <si>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</si>
  <si>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</si>
  <si>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</si>
  <si>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</si>
  <si>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</si>
  <si>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</si>
  <si>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</si>
  <si>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</si>
  <si>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</si>
  <si>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</si>
  <si>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</si>
  <si>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</si>
  <si>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</si>
  <si>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</si>
  <si>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</si>
  <si>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</si>
  <si>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</si>
  <si>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</si>
  <si>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</si>
  <si>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</si>
  <si>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</si>
  <si>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</si>
  <si>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</si>
  <si>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</si>
  <si>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</si>
  <si>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</si>
  <si>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</si>
  <si>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</si>
  <si>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</si>
  <si>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</si>
  <si>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</si>
  <si>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</si>
  <si>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</si>
  <si>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</si>
  <si>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</si>
  <si>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</si>
  <si>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</si>
  <si>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</si>
  <si>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</si>
  <si>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</si>
  <si>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</si>
  <si>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</si>
  <si>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</si>
  <si>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</si>
  <si>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</si>
  <si>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</si>
  <si>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</si>
  <si>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</si>
  <si>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</si>
  <si>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</si>
  <si>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</si>
  <si>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</si>
  <si>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</si>
  <si>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</si>
  <si>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</si>
  <si>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</si>
  <si>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</si>
  <si>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</si>
  <si>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</si>
  <si>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</si>
  <si>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</si>
  <si>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</si>
  <si>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</si>
  <si>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</si>
  <si>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</si>
  <si>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</si>
  <si>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</si>
  <si>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</si>
  <si>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</si>
  <si>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</si>
  <si>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</si>
  <si>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</si>
  <si>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</si>
  <si>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</si>
  <si>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</si>
  <si>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</si>
  <si>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</si>
  <si>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</si>
  <si>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</si>
  <si>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</si>
  <si>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</si>
  <si>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</si>
  <si>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</si>
  <si>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</si>
  <si>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</si>
  <si>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</si>
  <si>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</si>
  <si>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</si>
  <si>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</si>
  <si>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</si>
  <si>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</si>
  <si>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</si>
  <si>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</si>
  <si>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</si>
  <si>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</si>
  <si>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</si>
  <si>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</si>
  <si>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</si>
  <si>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</si>
  <si>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</si>
  <si>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</si>
  <si>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</si>
  <si>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</si>
  <si>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</si>
  <si>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</si>
  <si>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</si>
  <si>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</si>
  <si>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</si>
  <si>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</si>
  <si>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</si>
  <si>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</si>
  <si>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</si>
  <si>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</si>
  <si>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</si>
  <si>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</si>
  <si>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</si>
  <si>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</si>
  <si>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</si>
  <si>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</si>
  <si>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</si>
  <si>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</si>
  <si>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</si>
  <si>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</si>
  <si>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</si>
  <si>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</si>
  <si>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</si>
  <si>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</si>
  <si>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</si>
  <si>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</si>
  <si>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</si>
  <si>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</si>
  <si>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</si>
  <si>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</si>
  <si>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</si>
  <si>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</si>
  <si>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</si>
  <si>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</si>
  <si>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</si>
  <si>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</si>
  <si>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</si>
  <si>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</si>
  <si>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</si>
  <si>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</si>
  <si>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</si>
  <si>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</si>
  <si>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</si>
  <si>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</si>
  <si>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</si>
  <si>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</si>
  <si>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</si>
  <si>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</si>
  <si>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</si>
  <si>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</si>
  <si>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</si>
  <si>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</si>
  <si>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</si>
  <si>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</si>
  <si>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</si>
  <si>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</si>
  <si>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</si>
  <si>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</si>
  <si>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</si>
  <si>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</si>
  <si>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</si>
  <si>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</si>
  <si>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</si>
  <si>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</si>
  <si>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</si>
  <si>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</si>
  <si>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</si>
  <si>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</si>
  <si>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</si>
  <si>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</si>
  <si>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</si>
  <si>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</si>
  <si>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</si>
  <si>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</si>
  <si>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</si>
  <si>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</si>
  <si>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</si>
  <si>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</si>
  <si>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</si>
  <si>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</si>
  <si>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</si>
  <si>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</si>
  <si>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</si>
  <si>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</si>
  <si>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</si>
  <si>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</si>
  <si>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</si>
  <si>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</si>
  <si>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</si>
  <si>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</si>
  <si>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</si>
  <si>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</si>
  <si>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</si>
  <si>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</si>
  <si>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</si>
  <si>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</si>
  <si>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</si>
  <si>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</si>
  <si>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</si>
  <si>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</si>
  <si>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</si>
  <si>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</si>
  <si>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</si>
  <si>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</si>
  <si>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</si>
  <si>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</si>
  <si>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</si>
  <si>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</si>
  <si>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</si>
  <si>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</si>
  <si>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</si>
  <si>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</si>
  <si>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</si>
  <si>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</si>
  <si>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</si>
  <si>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</si>
  <si>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</si>
  <si>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</si>
  <si>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</si>
  <si>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</si>
  <si>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</si>
  <si>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</si>
  <si>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</si>
  <si>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</si>
  <si>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</si>
  <si>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</si>
  <si>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</si>
  <si>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</si>
  <si>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</si>
  <si>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</si>
  <si>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</si>
  <si>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</si>
  <si>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</si>
  <si>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</si>
  <si>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</si>
  <si>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</si>
  <si>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</si>
  <si>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</si>
  <si>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</si>
  <si>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</si>
  <si>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</si>
  <si>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</si>
  <si>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</si>
  <si>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</si>
  <si>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</si>
  <si>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</si>
  <si>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</si>
  <si>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</si>
  <si>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</si>
  <si>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</si>
  <si>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</si>
  <si>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</si>
  <si>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</si>
  <si>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</si>
  <si>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</si>
  <si>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</si>
  <si>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</si>
  <si>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</si>
  <si>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</si>
  <si>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</si>
  <si>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</si>
  <si>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</si>
  <si>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</si>
  <si>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</si>
  <si>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</si>
  <si>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</si>
  <si>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</si>
  <si>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</si>
  <si>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</si>
  <si>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</si>
  <si>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</si>
  <si>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</si>
  <si>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</si>
  <si>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</si>
  <si>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</si>
  <si>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</si>
  <si>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</si>
  <si>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</si>
  <si>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</si>
  <si>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</si>
  <si>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</si>
  <si>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</si>
  <si>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</si>
  <si>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</si>
  <si>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</si>
  <si>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</si>
  <si>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</si>
  <si>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</si>
  <si>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</si>
  <si>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</si>
  <si>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</si>
  <si>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</si>
  <si>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</si>
  <si>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</si>
  <si>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</si>
  <si>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</si>
  <si>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</si>
  <si>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</si>
  <si>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</si>
  <si>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</si>
  <si>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</si>
  <si>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</si>
  <si>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</si>
  <si>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</si>
  <si>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</si>
  <si>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</si>
  <si>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</si>
  <si>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</si>
  <si>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</si>
  <si>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</si>
  <si>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</si>
  <si>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</si>
  <si>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</si>
  <si>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</si>
  <si>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</si>
  <si>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</si>
  <si>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</si>
  <si>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</si>
  <si>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</si>
  <si>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</si>
  <si>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</si>
  <si>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</si>
  <si>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</si>
  <si>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</si>
  <si>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</si>
  <si>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</si>
  <si>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</si>
  <si>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</si>
  <si>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</si>
  <si>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</si>
  <si>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</si>
  <si>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</si>
  <si>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</si>
  <si>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</si>
  <si>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</si>
  <si>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</si>
  <si>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</si>
  <si>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</si>
  <si>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</si>
  <si>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</si>
  <si>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</si>
  <si>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</si>
  <si>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</si>
  <si>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</si>
  <si>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</si>
  <si>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</si>
  <si>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</si>
  <si>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</si>
  <si>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</si>
  <si>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</si>
  <si>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</si>
  <si>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</si>
  <si>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</si>
  <si>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</si>
  <si>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</si>
  <si>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</si>
  <si>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</si>
  <si>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</si>
  <si>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</si>
  <si>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</si>
  <si>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</si>
  <si>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</si>
  <si>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</si>
  <si>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</si>
  <si>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</si>
  <si>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</si>
  <si>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</si>
  <si>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</si>
  <si>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</si>
  <si>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</si>
  <si>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</si>
  <si>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</si>
  <si>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</si>
  <si>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</si>
  <si>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</si>
  <si>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</si>
  <si>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</si>
  <si>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</si>
  <si>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</si>
  <si>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</si>
  <si>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</si>
  <si>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</si>
  <si>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</si>
  <si>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</si>
  <si>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</si>
  <si>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</si>
  <si>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</si>
  <si>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</si>
  <si>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</si>
  <si>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</si>
  <si>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</si>
  <si>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</si>
  <si>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</si>
  <si>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</si>
  <si>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</si>
  <si>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</si>
  <si>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</si>
  <si>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</si>
  <si>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</si>
  <si>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</si>
  <si>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</si>
  <si>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</si>
  <si>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</si>
  <si>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</si>
  <si>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</si>
  <si>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</si>
  <si>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</si>
  <si>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</si>
  <si>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</si>
  <si>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</si>
  <si>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</si>
  <si>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</si>
  <si>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</si>
  <si>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</si>
  <si>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</si>
  <si>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</si>
  <si>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</si>
  <si>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</si>
  <si>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</si>
  <si>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</si>
  <si>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</si>
  <si>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</si>
  <si>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</si>
  <si>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</si>
  <si>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</si>
  <si>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</si>
  <si>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</si>
  <si>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</si>
  <si>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</si>
  <si>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</si>
  <si>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</si>
  <si>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</si>
  <si>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</si>
  <si>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</si>
  <si>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</si>
  <si>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</si>
  <si>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</si>
  <si>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</si>
  <si>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</si>
  <si>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</si>
  <si>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</si>
  <si>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</si>
  <si>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</si>
  <si>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</si>
  <si>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</si>
  <si>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</si>
  <si>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</si>
  <si>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</si>
  <si>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</si>
  <si>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</si>
  <si>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</si>
  <si>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</si>
  <si>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</si>
  <si>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</si>
  <si>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</si>
  <si>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</si>
  <si>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</si>
  <si>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</si>
  <si>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</si>
  <si>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</si>
  <si>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</si>
  <si>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</si>
  <si>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</si>
  <si>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</si>
  <si>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</si>
  <si>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</si>
  <si>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</si>
  <si>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</si>
  <si>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</si>
  <si>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</si>
  <si>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</si>
  <si>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</si>
  <si>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</si>
  <si>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</si>
  <si>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</si>
  <si>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</si>
  <si>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</si>
  <si>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</si>
  <si>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</si>
  <si>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</si>
  <si>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</si>
  <si>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</si>
  <si>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</si>
  <si>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</si>
  <si>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</si>
  <si>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</si>
  <si>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</si>
  <si>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</si>
  <si>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</si>
  <si>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</si>
  <si>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</si>
  <si>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</si>
  <si>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</si>
  <si>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</si>
  <si>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</si>
  <si>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</si>
  <si>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</si>
  <si>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</si>
  <si>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</si>
  <si>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</si>
  <si>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</si>
  <si>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</si>
  <si>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</si>
  <si>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</si>
  <si>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</si>
  <si>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</si>
  <si>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</si>
  <si>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</si>
  <si>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</si>
  <si>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</si>
  <si>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</si>
  <si>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</si>
  <si>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</si>
  <si>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</si>
  <si>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</si>
  <si>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</si>
  <si>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</si>
  <si>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</si>
  <si>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</si>
  <si>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</si>
  <si>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</si>
  <si>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</si>
  <si>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</si>
  <si>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</si>
  <si>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</si>
  <si>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</si>
  <si>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</si>
  <si>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</si>
  <si>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</si>
  <si>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</si>
  <si>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</si>
  <si>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</si>
  <si>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</si>
  <si>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</si>
  <si>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</si>
  <si>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</si>
  <si>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</si>
  <si>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</si>
  <si>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</si>
  <si>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</si>
  <si>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</si>
  <si>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</si>
  <si>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</si>
  <si>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</si>
  <si>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</si>
  <si>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</si>
  <si>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</si>
  <si>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</si>
  <si>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</si>
  <si>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</si>
  <si>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</si>
  <si>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</si>
  <si>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</si>
  <si>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</si>
  <si>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</si>
  <si>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</si>
  <si>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</si>
  <si>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</si>
  <si>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</si>
  <si>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</si>
  <si>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</si>
  <si>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</si>
  <si>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</si>
  <si>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</si>
  <si>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</si>
  <si>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</si>
  <si>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</si>
  <si>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</si>
  <si>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</si>
  <si>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</si>
  <si>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</si>
  <si>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</si>
  <si>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</si>
  <si>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</si>
  <si>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</si>
  <si>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</si>
  <si>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</si>
  <si>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</si>
  <si>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</si>
  <si>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</si>
  <si>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</si>
  <si>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</si>
  <si>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</si>
  <si>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</si>
  <si>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</si>
  <si>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</si>
  <si>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</si>
  <si>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</si>
  <si>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</si>
  <si>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</si>
  <si>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</si>
  <si>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</si>
  <si>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</si>
  <si>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</si>
  <si>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</si>
  <si>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</si>
  <si>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</si>
  <si>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</si>
  <si>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</si>
  <si>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</si>
  <si>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</si>
  <si>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</si>
  <si>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</si>
  <si>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</si>
  <si>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</si>
  <si>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</si>
  <si>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</si>
  <si>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</si>
  <si>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</si>
  <si>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</si>
  <si>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</si>
  <si>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</si>
  <si>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</si>
  <si>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</si>
  <si>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</si>
  <si>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</si>
  <si>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</si>
  <si>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</si>
  <si>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</si>
  <si>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</si>
  <si>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</si>
  <si>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</si>
  <si>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</si>
  <si>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</si>
  <si>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</si>
  <si>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</si>
  <si>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</si>
  <si>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</si>
  <si>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</si>
  <si>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</si>
  <si>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</si>
  <si>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</si>
  <si>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</si>
  <si>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</si>
  <si>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</si>
  <si>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</si>
  <si>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</si>
  <si>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</si>
  <si>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</si>
  <si>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</si>
  <si>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</si>
  <si>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</si>
  <si>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</si>
  <si>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</si>
  <si>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</si>
  <si>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</si>
  <si>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</si>
  <si>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</si>
  <si>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</si>
  <si>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</si>
  <si>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</si>
  <si>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</si>
  <si>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</si>
  <si>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</si>
  <si>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</si>
  <si>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</si>
  <si>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</si>
  <si>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</si>
  <si>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</si>
  <si>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</si>
  <si>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</si>
  <si>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</si>
  <si>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</si>
  <si>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</si>
  <si>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</si>
  <si>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</si>
  <si>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</si>
  <si>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</si>
  <si>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</si>
  <si>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</si>
  <si>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</si>
  <si>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</si>
  <si>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</si>
  <si>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</si>
  <si>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</si>
  <si>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</si>
  <si>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</si>
  <si>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</si>
  <si>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</si>
  <si>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</si>
  <si>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</si>
  <si>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</si>
  <si>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</si>
  <si>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</si>
  <si>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</si>
  <si>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</si>
  <si>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</si>
  <si>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</si>
  <si>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</si>
  <si>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</si>
  <si>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</si>
  <si>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</si>
  <si>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</si>
  <si>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</si>
  <si>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</si>
  <si>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</si>
  <si>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</si>
  <si>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</si>
  <si>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</si>
  <si>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</si>
  <si>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</si>
  <si>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</si>
  <si>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</si>
  <si>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</si>
  <si>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</si>
  <si>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</si>
  <si>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</si>
  <si>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</si>
  <si>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</si>
  <si>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</si>
  <si>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</si>
  <si>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</si>
  <si>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</si>
  <si>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</si>
  <si>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</si>
  <si>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</si>
  <si>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</si>
  <si>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</si>
  <si>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</si>
  <si>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</si>
  <si>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</si>
  <si>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</si>
  <si>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</si>
  <si>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</si>
  <si>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</si>
  <si>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</si>
  <si>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</si>
  <si>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</si>
  <si>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</si>
  <si>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</si>
  <si>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</si>
  <si>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</si>
  <si>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</si>
  <si>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</si>
  <si>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</si>
  <si>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</si>
  <si>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</si>
  <si>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</si>
  <si>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</si>
  <si>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</si>
  <si>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</si>
  <si>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</si>
  <si>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</si>
  <si>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</si>
  <si>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</si>
  <si>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</si>
  <si>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</si>
  <si>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</si>
  <si>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</si>
  <si>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</si>
  <si>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</si>
  <si>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</si>
  <si>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</si>
  <si>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</si>
  <si>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</si>
  <si>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</si>
  <si>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</si>
  <si>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</si>
  <si>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</si>
  <si>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</si>
  <si>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</si>
  <si>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</si>
  <si>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</si>
  <si>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</si>
  <si>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</si>
  <si>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</si>
  <si>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</si>
  <si>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</si>
  <si>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</si>
  <si>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</si>
  <si>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</si>
  <si>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</si>
  <si>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</si>
  <si>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</si>
  <si>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</si>
  <si>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</si>
  <si>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</si>
  <si>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</si>
  <si>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</si>
  <si>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</si>
  <si>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</si>
  <si>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</si>
  <si>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</si>
  <si>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</si>
  <si>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</si>
  <si>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</si>
  <si>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</si>
  <si>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</si>
  <si>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</si>
  <si>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</si>
  <si>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</si>
  <si>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</si>
  <si>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</si>
  <si>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</si>
  <si>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</si>
  <si>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</si>
  <si>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</si>
  <si>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</si>
  <si>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</si>
  <si>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</si>
  <si>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</si>
  <si>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</si>
  <si>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</si>
  <si>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</si>
  <si>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</si>
  <si>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</si>
  <si>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</si>
  <si>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</si>
  <si>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</si>
  <si>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</si>
  <si>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</si>
  <si>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</si>
  <si>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</si>
  <si>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</si>
  <si>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</si>
  <si>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</si>
  <si>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</si>
  <si>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</si>
  <si>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</si>
  <si>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</si>
  <si>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</si>
  <si>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</si>
  <si>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</si>
  <si>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</si>
  <si>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</si>
  <si>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</si>
  <si>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</si>
  <si>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</si>
  <si>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</si>
  <si>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</si>
  <si>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</si>
  <si>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</si>
  <si>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</si>
  <si>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</si>
  <si>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</si>
  <si>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</si>
  <si>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</si>
  <si>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</si>
  <si>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</si>
  <si>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</si>
  <si>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</si>
  <si>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</si>
  <si>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</si>
  <si>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</si>
  <si>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</si>
  <si>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</si>
  <si>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</si>
  <si>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</si>
  <si>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</si>
  <si>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</si>
  <si>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</si>
  <si>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</si>
  <si>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</si>
  <si>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2018-1</t>
    <phoneticPr fontId="3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</si>
  <si>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</si>
  <si>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</si>
  <si>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</si>
  <si>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住宅/居住</t>
  </si>
  <si>
    <t>钢混</t>
  </si>
  <si>
    <t>设定容积率</t>
  </si>
  <si>
    <t>地上</t>
  </si>
  <si>
    <t>居住用地（指二类居住用地）</t>
  </si>
  <si>
    <t>剩余土地使用年限（设定）</t>
  </si>
  <si>
    <t>市区</t>
  </si>
  <si>
    <t>七通一平</t>
  </si>
  <si>
    <t>四环路内</t>
  </si>
  <si>
    <t>扣毛地价</t>
  </si>
  <si>
    <t>较好</t>
  </si>
  <si>
    <t>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</si>
</sst>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0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0" fontId="55" fillId="0" borderId="59" xfId="0" applyFont="1" applyFill="1" applyBorder="1" applyAlignment="1" applyProtection="1">
      <alignment horizontal="center" vertical="center" wrapText="1"/>
      <protection locked="0"/>
    </xf>
    <xf numFmtId="0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49" t="s">
        <v>168</v>
      </c>
      <c r="B15" s="666" t="s">
        <v>253</v>
      </c>
    </row>
    <row r="16" spans="1:7" ht="13.5">
      <c r="A16" s="1750"/>
      <c r="B16" s="667" t="s">
        <v>169</v>
      </c>
    </row>
    <row r="17" spans="1:2" ht="13.5">
      <c r="A17" s="180" t="s">
        <v>170</v>
      </c>
      <c r="B17" s="668"/>
    </row>
    <row r="18" spans="1:2" ht="13.5">
      <c r="A18" s="1748" t="s">
        <v>171</v>
      </c>
      <c r="B18" s="666" t="s">
        <v>1402</v>
      </c>
    </row>
    <row r="19" spans="1:2" ht="13.5">
      <c r="A19" s="1748"/>
      <c r="B19" s="666" t="s">
        <v>1403</v>
      </c>
    </row>
    <row r="20" spans="1:2" ht="13.5">
      <c r="A20" s="1748"/>
      <c r="B20" s="666" t="s">
        <v>1404</v>
      </c>
    </row>
    <row r="21" spans="1:2" ht="13.5">
      <c r="A21" s="1748"/>
      <c r="B21" s="503" t="s">
        <v>172</v>
      </c>
    </row>
    <row r="22" spans="1:2" ht="13.5">
      <c r="A22" s="1748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86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86"/>
      <c r="B19" s="1786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86"/>
      <c r="B20" s="1786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86"/>
      <c r="B21" s="1786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86"/>
      <c r="B22" s="1786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6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86"/>
      <c r="B24" s="1786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6"/>
      <c r="B25" s="1786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6"/>
      <c r="B26" s="1786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6"/>
      <c r="B27" s="1786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86"/>
      <c r="B28" s="1786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86"/>
      <c r="B29" s="1786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86"/>
      <c r="B30" s="1786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86"/>
      <c r="B31" s="1786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86"/>
      <c r="B32" s="1786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86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86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86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86"/>
      <c r="B36" s="1786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86"/>
      <c r="B37" s="1786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86"/>
      <c r="B38" s="1786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86"/>
      <c r="B39" s="1786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6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86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86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86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86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86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86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86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86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86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86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86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86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86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86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86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86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86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86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86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86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86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86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86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86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86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86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86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86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86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86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86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86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86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86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86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86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86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86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6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6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6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6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6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6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6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6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6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86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86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8" sqref="E18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67.11</v>
      </c>
      <c r="I1" s="726" t="s">
        <v>1356</v>
      </c>
      <c r="J1" s="526">
        <f>主表!B6</f>
        <v>0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0" t="s">
        <v>1770</v>
      </c>
      <c r="J2" s="736"/>
      <c r="AE2" s="731"/>
      <c r="AF2" s="731"/>
    </row>
    <row r="3" spans="1:36" ht="24">
      <c r="A3" s="687" t="s">
        <v>916</v>
      </c>
      <c r="B3" s="1437">
        <f>C18</f>
        <v>4975</v>
      </c>
      <c r="C3" s="732" t="s">
        <v>917</v>
      </c>
      <c r="D3" s="733" t="s">
        <v>256</v>
      </c>
      <c r="E3" s="737" t="s">
        <v>1771</v>
      </c>
      <c r="F3" s="1498" t="s">
        <v>1769</v>
      </c>
      <c r="G3" s="238">
        <f>IF(F3="容积率",主表!B8,主表!B9)</f>
        <v>2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1257</v>
      </c>
      <c r="C4" s="1436" t="s">
        <v>1583</v>
      </c>
      <c r="D4" s="1325"/>
      <c r="E4" s="1326"/>
      <c r="F4" s="1326"/>
      <c r="G4" s="1109"/>
      <c r="H4" s="1327"/>
      <c r="I4" s="678"/>
      <c r="J4" s="736"/>
      <c r="AE4" s="731"/>
      <c r="AF4" s="731"/>
    </row>
    <row r="5" spans="1:36" ht="16.5" thickBot="1">
      <c r="A5" s="726" t="s">
        <v>1582</v>
      </c>
      <c r="B5" s="1435">
        <f>C22</f>
        <v>1990</v>
      </c>
      <c r="C5" s="1438" t="s">
        <v>1584</v>
      </c>
      <c r="D5" s="1348"/>
      <c r="E5" s="1348"/>
      <c r="F5" s="1348"/>
      <c r="G5" s="1348"/>
      <c r="H5" s="1348"/>
      <c r="I5" s="1348"/>
      <c r="J5" s="1349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746"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7" t="s">
        <v>933</v>
      </c>
      <c r="B9" s="1634" t="s">
        <v>936</v>
      </c>
      <c r="C9" s="1635">
        <f>IF(OR(H9&gt;=DATE(2014,8,28),H9&lt;DATE(2002,12,10)),0,ROUND(I9/F9,4))</f>
        <v>1.1922999999999999</v>
      </c>
      <c r="D9" s="1636" t="s">
        <v>265</v>
      </c>
      <c r="E9" s="1637">
        <v>37257</v>
      </c>
      <c r="F9" s="1638">
        <f>ROUND(SUMIF(地价!B3:F3,E2,地价!B70:F70),0)</f>
        <v>104</v>
      </c>
      <c r="G9" s="1639" t="s">
        <v>266</v>
      </c>
      <c r="H9" s="1640">
        <f>主表!B4</f>
        <v>38322</v>
      </c>
      <c r="I9" s="1641">
        <f>ROUND(SUMPRODUCT((地价!A20:A70=YEAR(H9)&amp;"-"&amp;ROUNDUP(MONTH(H9)/3,0))*(地价!B3:F3=E2)*(地价!B20:F70)),0)</f>
        <v>124</v>
      </c>
      <c r="J9" s="789"/>
      <c r="AE9" s="731"/>
      <c r="AF9" s="731"/>
    </row>
    <row r="10" spans="1:36" ht="24.75" thickBot="1">
      <c r="A10" s="1642" t="s">
        <v>935</v>
      </c>
      <c r="B10" s="1643" t="s">
        <v>202</v>
      </c>
      <c r="C10" s="1644">
        <f>ROUND(POWER(1+E10,H10-G10)*(POWER(1+E10,G10)-1)/(POWER(1+E10,H10)-1),4)</f>
        <v>1</v>
      </c>
      <c r="D10" s="1523" t="s">
        <v>940</v>
      </c>
      <c r="E10" s="1524">
        <v>0.04</v>
      </c>
      <c r="F10" s="1645" t="s">
        <v>1772</v>
      </c>
      <c r="G10" s="1646">
        <f>IF(F10="剩余土地使用年限",主表!B15,主表!B16)</f>
        <v>70</v>
      </c>
      <c r="H10" s="1646">
        <f>IF(E2="住宅/居住",70,IF(E2="商业",40,50))</f>
        <v>70</v>
      </c>
      <c r="I10" s="1633"/>
      <c r="J10" s="1647"/>
      <c r="AE10" s="731"/>
      <c r="AF10" s="731"/>
    </row>
    <row r="11" spans="1:36" ht="15">
      <c r="A11" s="764" t="s">
        <v>937</v>
      </c>
      <c r="B11" s="765" t="s">
        <v>942</v>
      </c>
      <c r="C11" s="1351">
        <f>IF(E2="工业",1,IF(G3&gt;10,D14,IF(D11="郊区",D13,D12)))</f>
        <v>1</v>
      </c>
      <c r="D11" s="1530" t="s">
        <v>1773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19">
        <f>IF(E12=G12,F12,IF(G3&lt;=10,ROUND(F12+(H12-F12)*(G3-E12)/(G12-E12),4),"——"))</f>
        <v>1</v>
      </c>
      <c r="E12" s="1521">
        <f>ROUNDDOWN(G3,1)</f>
        <v>2</v>
      </c>
      <c r="F12" s="1522">
        <f>IF(G3&lt;=10,SUMPRODUCT(('2002容积率修正'!A3:A102=E12)*('2002容积率修正'!B2:D2=E2)*('2002容积率修正'!B3:D102)),"——")</f>
        <v>1</v>
      </c>
      <c r="G12" s="1520">
        <f>ROUNDUP(G3,1)</f>
        <v>2</v>
      </c>
      <c r="H12" s="638">
        <f>IF(G3&lt;=10,SUMPRODUCT(('2002容积率修正'!A3:A102=G12)*('2002容积率修正'!B2:D2=E2)*('2002容积率修正'!B3:D102)),"——")</f>
        <v>1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19">
        <f>IF(E12=G12,F12,IF(G3&lt;=10,ROUND(F12+(H12-F12)*(G3-E12)/(G12-E12),4),"——"))</f>
        <v>1</v>
      </c>
      <c r="E13" s="1521">
        <f>ROUNDDOWN(G3,1)</f>
        <v>2</v>
      </c>
      <c r="F13" s="1522">
        <f>IF(G3&lt;=10,SUMPRODUCT(('2002容积率修正'!A3:A102=E13)*('2002容积率修正'!E2:G2=E2)*('2002容积率修正'!E3:G102)),"——")</f>
        <v>0.85</v>
      </c>
      <c r="G13" s="1520">
        <f>ROUNDUP(G3,1)</f>
        <v>2</v>
      </c>
      <c r="H13" s="638">
        <f>IF(G3&lt;=10,SUMPRODUCT(('2002容积率修正'!A3:A102=G13)*('2002容积率修正'!E2:G2=E2)*('2002容积率修正'!E3:G102)),"——")</f>
        <v>0.85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 t="str">
        <f>IF(G3&gt;10,B81,"——")</f>
        <v>——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1.1400000000000001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2" t="s">
        <v>1339</v>
      </c>
      <c r="B16" s="1643" t="s">
        <v>1348</v>
      </c>
      <c r="C16" s="1648">
        <v>1</v>
      </c>
      <c r="D16" s="1649" t="s">
        <v>1352</v>
      </c>
      <c r="E16" s="1525" t="s">
        <v>929</v>
      </c>
      <c r="F16" s="1526" t="s">
        <v>1774</v>
      </c>
      <c r="G16" s="1650" t="s">
        <v>931</v>
      </c>
      <c r="H16" s="1651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2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08" t="s">
        <v>1353</v>
      </c>
      <c r="B18" s="780" t="s">
        <v>1340</v>
      </c>
      <c r="C18" s="646">
        <f>ROUND(C7*C9*C10*C11*C15*C16,0)</f>
        <v>4975</v>
      </c>
      <c r="D18" s="647">
        <f>H1</f>
        <v>67.11</v>
      </c>
      <c r="E18" s="648">
        <f>ROUND(C18*D18,0)</f>
        <v>333872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09"/>
      <c r="B19" s="785" t="s">
        <v>1343</v>
      </c>
      <c r="C19" s="638">
        <f>ROUND(C7*C9*C10*C11*C15*C16*G3,0)</f>
        <v>9950</v>
      </c>
      <c r="D19" s="647">
        <f>J1</f>
        <v>0</v>
      </c>
      <c r="E19" s="648">
        <f>ROUND(C19*D19,0)</f>
        <v>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0" t="s">
        <v>1354</v>
      </c>
      <c r="B20" s="767" t="s">
        <v>1341</v>
      </c>
      <c r="C20" s="652">
        <f>ROUND(IF(G3&gt;=I3,C8*C9*C10*C15,C8*C9*C10*C15*G3),0)</f>
        <v>1257</v>
      </c>
      <c r="D20" s="653">
        <f>H1</f>
        <v>67.11</v>
      </c>
      <c r="E20" s="654">
        <f>ROUND(C20*D20,0)</f>
        <v>84357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0"/>
      <c r="B21" s="790" t="s">
        <v>1342</v>
      </c>
      <c r="C21" s="655">
        <f>ROUND(IF(G3&lt;I3,C8*C9*C10*C15,C8*C9*C10*C15*G3),0)</f>
        <v>2515</v>
      </c>
      <c r="D21" s="656">
        <f>J1</f>
        <v>0</v>
      </c>
      <c r="E21" s="657">
        <f t="shared" ref="E21" si="0">ROUND(C21*D21,0)</f>
        <v>0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3" t="s">
        <v>1363</v>
      </c>
      <c r="B22" s="794"/>
      <c r="C22" s="643">
        <f>ROUND(IF(D22="四环路内",C18*0.4,C18*0.6),0)</f>
        <v>1990</v>
      </c>
      <c r="D22" s="795" t="s">
        <v>1775</v>
      </c>
      <c r="E22" s="796"/>
      <c r="F22" s="796"/>
      <c r="G22" s="796"/>
      <c r="H22" s="796"/>
      <c r="I22" s="796"/>
      <c r="J22" s="1654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12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3" t="s">
        <v>1506</v>
      </c>
      <c r="C25" s="1497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4"/>
      <c r="C26" s="1447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7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7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7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4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5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4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5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1.1400000000000001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1777</v>
      </c>
      <c r="D60" s="493">
        <f t="shared" ref="D60:D67" si="7">SUMIF($F$59:$J$59,C60,F60:J60)</f>
        <v>1.2500000000000001E-2</v>
      </c>
      <c r="E60" s="253">
        <f>SUM(D60:D67)</f>
        <v>0.14000000000000001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1777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1777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1777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5" t="s">
        <v>1757</v>
      </c>
      <c r="C64" s="814" t="s">
        <v>1777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1778</v>
      </c>
      <c r="D65" s="493">
        <f t="shared" si="7"/>
        <v>0.03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1777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1777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5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2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0.97419999999999995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0.81740000000000002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0.95140000000000002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0.97419999999999995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0.70750000000000002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SUMPRODUCT((K3:K7=L1)*(L2:O2=K1)*(L3:O7))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4" t="s">
        <v>1324</v>
      </c>
      <c r="B1" s="1811" t="s">
        <v>1325</v>
      </c>
      <c r="C1" s="1812"/>
      <c r="D1" s="1813"/>
      <c r="E1" s="1811" t="s">
        <v>1326</v>
      </c>
      <c r="F1" s="1812"/>
      <c r="G1" s="1813"/>
    </row>
    <row r="2" spans="1:7">
      <c r="A2" s="1815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29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6" t="s">
        <v>1439</v>
      </c>
      <c r="E2" s="1816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 t="e">
        <f ca="1">IF(C1="求取熟地价",C27,ROUND((C15*B11+C18)*C22/B11,0))</f>
        <v>#DIV/0!</v>
      </c>
      <c r="C3" s="979" t="s">
        <v>917</v>
      </c>
      <c r="D3" s="1827"/>
      <c r="E3" s="1817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27"/>
      <c r="E4" s="1817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28"/>
      <c r="E5" s="1818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2"/>
      <c r="C6" s="722"/>
      <c r="D6" s="1826" t="s">
        <v>1440</v>
      </c>
      <c r="E6" s="1816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5" t="s">
        <v>1448</v>
      </c>
      <c r="B7" s="1386" t="str">
        <f>LEFT(主表!B10,1)&amp;"类"</f>
        <v>三类</v>
      </c>
      <c r="C7" s="722"/>
      <c r="D7" s="1827"/>
      <c r="E7" s="1817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18"/>
      <c r="C8" s="722"/>
      <c r="D8" s="1828"/>
      <c r="E8" s="1818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67.11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0</v>
      </c>
      <c r="C10" s="722"/>
      <c r="D10" s="1826" t="s">
        <v>1418</v>
      </c>
      <c r="E10" s="1816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2" t="s">
        <v>1229</v>
      </c>
      <c r="B11" s="721" t="e">
        <f>IF(A11="容积率",主表!B8,主表!B9)</f>
        <v>#DIV/0!</v>
      </c>
      <c r="C11" s="722"/>
      <c r="D11" s="1829"/>
      <c r="E11" s="1819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1" t="s">
        <v>918</v>
      </c>
      <c r="B14" s="1392" t="s">
        <v>1442</v>
      </c>
      <c r="C14" s="1393"/>
      <c r="D14" s="1394">
        <f>SUMPRODUCT((D35:M35=B7)*(B36:B39=B6)*(D36:M39))</f>
        <v>0</v>
      </c>
      <c r="E14" s="1395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8" t="s">
        <v>1461</v>
      </c>
      <c r="B15" s="1387" t="s">
        <v>1426</v>
      </c>
      <c r="C15" s="1388">
        <f>IF(B5="住宅/居住",C16+C17,C16)</f>
        <v>0</v>
      </c>
      <c r="D15" s="1389"/>
      <c r="E15" s="1390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3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3"/>
      <c r="D17" s="1394">
        <f>SUMPRODUCT((D35:M35=B7)*(B44:B46=B17)*(D44:M46))</f>
        <v>150</v>
      </c>
      <c r="E17" s="1395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28" t="s">
        <v>1462</v>
      </c>
      <c r="B18" s="1429" t="s">
        <v>1446</v>
      </c>
      <c r="C18" s="1430">
        <f>IF(B8="城镇拆迁",C19*IF(F19="居民住宅",1,IF(F19="企业事业单位",2,4)),C20)</f>
        <v>0</v>
      </c>
      <c r="D18" s="1431"/>
      <c r="E18" s="1432"/>
      <c r="F18" s="361"/>
      <c r="G18" s="361"/>
      <c r="H18" s="677"/>
      <c r="I18" s="678"/>
      <c r="J18" s="366"/>
      <c r="AE18" s="480"/>
      <c r="AF18" s="480"/>
    </row>
    <row r="19" spans="1:37" ht="15.75">
      <c r="A19" s="1425"/>
      <c r="B19" s="1426" t="s">
        <v>1445</v>
      </c>
      <c r="C19" s="1427"/>
      <c r="D19" s="652">
        <f>SUMPRODUCT((D35:M35=B7)*(B44:B46=B19)*(D44:M46))</f>
        <v>5900</v>
      </c>
      <c r="E19" s="652">
        <f>SUMPRODUCT((D35:M35=B7)*(B47:B49=B19)*(D47:M49))</f>
        <v>7800</v>
      </c>
      <c r="F19" s="1416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5"/>
      <c r="B20" s="1412" t="s">
        <v>1578</v>
      </c>
      <c r="C20" s="1413"/>
      <c r="D20" s="1414">
        <f>SUMPRODUCT((D35:M35=B7)*(B50:B51=F20)*(D50:M51))</f>
        <v>150</v>
      </c>
      <c r="E20" s="1394">
        <f>SUMPRODUCT((D35:M35=B7)*(B52:B53=F20)*(D52:M53))</f>
        <v>450</v>
      </c>
      <c r="F20" s="1417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0" t="s">
        <v>1576</v>
      </c>
      <c r="B21" s="1401" t="s">
        <v>942</v>
      </c>
      <c r="C21" s="1402" t="e">
        <f>IF(B11&lt;1,1,SUMIF(B55:K55,ROUNDDOWN(B11,0),B56:K56)+(SUMIF(B55:K55,ROUNDUP(B11,0),B56:K56)-SUMIF(B55:K55,ROUNDDOWN(B11,0),B56:K56))*(B11-ROUNDDOWN(B11,0)))</f>
        <v>#DIV/0!</v>
      </c>
      <c r="D21" s="1403"/>
      <c r="E21" s="1404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6" t="s">
        <v>1577</v>
      </c>
      <c r="B22" s="1387" t="s">
        <v>202</v>
      </c>
      <c r="C22" s="1397">
        <f ca="1">ROUND(POWER(1+C23,C25-C24)*(POWER(1+C23,C24)-1)/(POWER(1+C23,C25)-1),4)</f>
        <v>-9.8019862552616995E+36</v>
      </c>
      <c r="D22" s="1398"/>
      <c r="E22" s="1399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4.4999999999999998E-2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0" t="s">
        <v>1653</v>
      </c>
      <c r="C24" s="638">
        <f>IF(B24="剩余土地使用年限",主表!B15,主表!B16)</f>
        <v>-1934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08"/>
      <c r="B25" s="1409" t="s">
        <v>1460</v>
      </c>
      <c r="C25" s="1394">
        <f>IF(B5="住宅/居住",70,IF(B5="商业",40,50))</f>
        <v>70</v>
      </c>
      <c r="D25" s="1410"/>
      <c r="E25" s="1411"/>
      <c r="F25" s="361"/>
      <c r="G25" s="361"/>
      <c r="H25" s="677"/>
      <c r="I25" s="678"/>
      <c r="J25" s="366"/>
      <c r="AE25" s="480"/>
      <c r="AF25" s="480"/>
    </row>
    <row r="26" spans="1:37" ht="15" thickTop="1">
      <c r="A26" s="1329" t="s">
        <v>944</v>
      </c>
      <c r="B26" s="1405" t="s">
        <v>947</v>
      </c>
      <c r="C26" s="1406" t="s">
        <v>951</v>
      </c>
      <c r="D26" s="1406" t="s">
        <v>1355</v>
      </c>
      <c r="E26" s="1407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08" t="s">
        <v>1353</v>
      </c>
      <c r="B27" s="780" t="s">
        <v>1340</v>
      </c>
      <c r="C27" s="638" t="e">
        <f>ROUND(C28/B11,0)</f>
        <v>#DIV/0!</v>
      </c>
      <c r="D27" s="647">
        <f>B9</f>
        <v>67.11</v>
      </c>
      <c r="E27" s="648" t="e">
        <f>ROUND(C27*D27,0)</f>
        <v>#DIV/0!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09"/>
      <c r="B28" s="785" t="s">
        <v>1343</v>
      </c>
      <c r="C28" s="638">
        <f>IF(主表!B4&lt;DATE(2002,12,10),ROUND(C14*C21*C22+C15*B11+C18,0),0)</f>
        <v>0</v>
      </c>
      <c r="D28" s="647">
        <f>B10</f>
        <v>0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0" t="s">
        <v>1466</v>
      </c>
      <c r="B29" s="767" t="s">
        <v>1467</v>
      </c>
      <c r="C29" s="652" t="e">
        <f>ROUND(C30/B11,0)</f>
        <v>#DIV/0!</v>
      </c>
      <c r="D29" s="653">
        <f>B9</f>
        <v>67.11</v>
      </c>
      <c r="E29" s="654" t="e">
        <f>ROUND(C29*D29,0)</f>
        <v>#DIV/0!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2"/>
      <c r="B30" s="982" t="s">
        <v>1468</v>
      </c>
      <c r="C30" s="643">
        <f>IF(主表!B4&lt;DATE(2002,12,10),ROUND(C14*C21*C22+C15*B11,0),0)</f>
        <v>0</v>
      </c>
      <c r="D30" s="695">
        <f>B10</f>
        <v>0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0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1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1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1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1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1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1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1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3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4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4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4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4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5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4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4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4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5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2" t="s">
        <v>91</v>
      </c>
      <c r="D4" s="1843"/>
      <c r="E4" s="1844" t="s">
        <v>92</v>
      </c>
      <c r="F4" s="1845"/>
      <c r="G4" s="1842" t="s">
        <v>93</v>
      </c>
      <c r="H4" s="1843"/>
      <c r="I4" s="1842" t="s">
        <v>94</v>
      </c>
      <c r="J4" s="1843"/>
      <c r="K4" s="142" t="s">
        <v>95</v>
      </c>
      <c r="L4" s="451"/>
      <c r="M4" s="452"/>
      <c r="N4" s="452"/>
      <c r="O4" s="452"/>
      <c r="P4" s="1846" t="s">
        <v>96</v>
      </c>
      <c r="Q4" s="1847"/>
      <c r="R4" s="1852" t="s">
        <v>92</v>
      </c>
      <c r="S4" s="1853"/>
      <c r="T4" s="1852" t="s">
        <v>93</v>
      </c>
      <c r="U4" s="1853"/>
      <c r="V4" s="1858" t="s">
        <v>94</v>
      </c>
      <c r="W4" s="1858"/>
      <c r="X4" s="201"/>
      <c r="Y4" s="1852" t="s">
        <v>96</v>
      </c>
      <c r="Z4" s="1853"/>
      <c r="AA4" s="1839" t="s">
        <v>92</v>
      </c>
      <c r="AB4" s="1840" t="s">
        <v>93</v>
      </c>
      <c r="AC4" s="1839" t="s">
        <v>94</v>
      </c>
    </row>
    <row r="5" spans="1:30" ht="15">
      <c r="A5" s="41"/>
      <c r="B5" s="42"/>
      <c r="C5" s="1835" t="s">
        <v>230</v>
      </c>
      <c r="D5" s="1836"/>
      <c r="E5" s="1859" t="s">
        <v>231</v>
      </c>
      <c r="F5" s="1860"/>
      <c r="G5" s="1835" t="s">
        <v>234</v>
      </c>
      <c r="H5" s="1836"/>
      <c r="I5" s="1835" t="s">
        <v>232</v>
      </c>
      <c r="J5" s="1836"/>
      <c r="K5" s="142"/>
      <c r="L5" s="451"/>
      <c r="M5" s="452"/>
      <c r="N5" s="452"/>
      <c r="O5" s="452"/>
      <c r="P5" s="1848"/>
      <c r="Q5" s="1849"/>
      <c r="R5" s="1854"/>
      <c r="S5" s="1855"/>
      <c r="T5" s="1854"/>
      <c r="U5" s="1855"/>
      <c r="V5" s="1858"/>
      <c r="W5" s="1858"/>
      <c r="X5" s="201"/>
      <c r="Y5" s="1854"/>
      <c r="Z5" s="1855"/>
      <c r="AA5" s="1840"/>
      <c r="AB5" s="1840"/>
      <c r="AC5" s="1840"/>
    </row>
    <row r="6" spans="1:30" ht="15.75" thickBot="1">
      <c r="A6" s="43"/>
      <c r="B6" s="44"/>
      <c r="C6" s="1832" t="s">
        <v>233</v>
      </c>
      <c r="D6" s="1833"/>
      <c r="E6" s="1830" t="s">
        <v>233</v>
      </c>
      <c r="F6" s="1831"/>
      <c r="G6" s="1832" t="s">
        <v>233</v>
      </c>
      <c r="H6" s="1833"/>
      <c r="I6" s="1832" t="s">
        <v>233</v>
      </c>
      <c r="J6" s="1833"/>
      <c r="K6" s="142" t="s">
        <v>97</v>
      </c>
      <c r="L6" s="451"/>
      <c r="M6" s="452"/>
      <c r="N6" s="452"/>
      <c r="O6" s="452"/>
      <c r="P6" s="1850"/>
      <c r="Q6" s="1851"/>
      <c r="R6" s="1854"/>
      <c r="S6" s="1855"/>
      <c r="T6" s="1856"/>
      <c r="U6" s="1857"/>
      <c r="V6" s="1858"/>
      <c r="W6" s="1858"/>
      <c r="X6" s="201"/>
      <c r="Y6" s="1856"/>
      <c r="Z6" s="1857"/>
      <c r="AA6" s="1841"/>
      <c r="AB6" s="1841"/>
      <c r="AC6" s="1841"/>
    </row>
    <row r="7" spans="1:30" s="22" customFormat="1" ht="15.75" thickBot="1">
      <c r="A7" s="45" t="s">
        <v>98</v>
      </c>
      <c r="B7" s="46"/>
      <c r="C7" s="1383">
        <f>主表!B4</f>
        <v>38322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37" t="s">
        <v>99</v>
      </c>
      <c r="Q7" s="1861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37" t="s">
        <v>99</v>
      </c>
      <c r="Z7" s="1838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37" t="s">
        <v>125</v>
      </c>
      <c r="Q8" s="1838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37" t="s">
        <v>125</v>
      </c>
      <c r="Z8" s="1838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4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4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1"/>
      <c r="F10" s="24">
        <v>100</v>
      </c>
      <c r="G10" s="1354"/>
      <c r="H10" s="24">
        <v>100</v>
      </c>
      <c r="I10" s="1354"/>
      <c r="J10" s="24">
        <v>100</v>
      </c>
      <c r="K10" s="160"/>
      <c r="L10" s="456"/>
      <c r="M10" s="457"/>
      <c r="N10" s="457"/>
      <c r="O10" s="458"/>
      <c r="P10" s="1834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4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0" t="s">
        <v>1229</v>
      </c>
      <c r="C11" s="1067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4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4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三级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4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4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5"/>
      <c r="F13" s="1093">
        <f>SUMIF(72:72,E13,73:73)-SUMIF(72:72,C13,73:73)+100</f>
        <v>0</v>
      </c>
      <c r="G13" s="1372"/>
      <c r="H13" s="61">
        <f>SUMIF(72:72,G13,73:73)-SUMIF(72:72,C13,73:73)+100</f>
        <v>0</v>
      </c>
      <c r="I13" s="1372"/>
      <c r="J13" s="61">
        <f>SUMIF(72:72,I13,73:73)-SUMIF(72:72,C13,73:73)+100</f>
        <v>0</v>
      </c>
      <c r="K13" s="1379"/>
      <c r="L13" s="461"/>
      <c r="M13" s="452"/>
      <c r="N13" s="452"/>
      <c r="O13" s="460"/>
      <c r="P13" s="1834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4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6"/>
      <c r="F14" s="58">
        <f>SUMIF(74:74,E14,75:75)-SUMIF(74:74,C14,75:75)+100</f>
        <v>0</v>
      </c>
      <c r="G14" s="1373"/>
      <c r="H14" s="58">
        <f>SUMIF(74:74,G14,75:75)-SUMIF(74:74,C14,75:75)+100</f>
        <v>0</v>
      </c>
      <c r="I14" s="1373"/>
      <c r="J14" s="58">
        <f>SUMIF(74:74,I14,75:75)-SUMIF(74:74,C14,75:75)+100</f>
        <v>0</v>
      </c>
      <c r="K14" s="1379"/>
      <c r="L14" s="461"/>
      <c r="M14" s="452"/>
      <c r="N14" s="452"/>
      <c r="O14" s="460"/>
      <c r="P14" s="1834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4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7"/>
      <c r="F15" s="60">
        <f>SUMIF(76:76,E16,77:77)-SUMIF(76:76,C16,77:77)+100</f>
        <v>0</v>
      </c>
      <c r="G15" s="1357"/>
      <c r="H15" s="60">
        <f>SUMIF(76:76,G16,77:77)-SUMIF(76:76,C16,77:77)+100</f>
        <v>0</v>
      </c>
      <c r="I15" s="1375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2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2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8"/>
      <c r="F16" s="61"/>
      <c r="G16" s="1362"/>
      <c r="H16" s="62"/>
      <c r="I16" s="1362"/>
      <c r="J16" s="61"/>
      <c r="K16" s="1379"/>
      <c r="L16" s="461"/>
      <c r="M16" s="452"/>
      <c r="N16" s="452"/>
      <c r="O16" s="460"/>
      <c r="P16" s="1863"/>
      <c r="Q16" s="206"/>
      <c r="R16" s="207"/>
      <c r="S16" s="208"/>
      <c r="T16" s="207"/>
      <c r="U16" s="208"/>
      <c r="V16" s="207"/>
      <c r="W16" s="208"/>
      <c r="X16" s="201"/>
      <c r="Y16" s="1863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59"/>
      <c r="F17" s="62">
        <f>SUMIF(78:78,E18,79:79)-SUMIF(78:78,C18,79:79)+100</f>
        <v>0</v>
      </c>
      <c r="G17" s="1359"/>
      <c r="H17" s="63">
        <f>SUMIF(78:78,G18,79:79)-SUMIF(78:78,C18,79:79)+100</f>
        <v>0</v>
      </c>
      <c r="I17" s="1374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3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3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0"/>
      <c r="F18" s="62"/>
      <c r="G18" s="1360"/>
      <c r="H18" s="61"/>
      <c r="I18" s="1360"/>
      <c r="J18" s="61"/>
      <c r="K18" s="1379"/>
      <c r="L18" s="461"/>
      <c r="M18" s="452"/>
      <c r="N18" s="452"/>
      <c r="O18" s="460"/>
      <c r="P18" s="1863"/>
      <c r="Q18" s="206"/>
      <c r="R18" s="207"/>
      <c r="S18" s="208"/>
      <c r="T18" s="207"/>
      <c r="U18" s="208"/>
      <c r="V18" s="207"/>
      <c r="W18" s="208"/>
      <c r="X18" s="201"/>
      <c r="Y18" s="1863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1"/>
      <c r="F19" s="63">
        <f>SUMIF(80:80,E20,81:81)-SUMIF(80:80,C20,81:81)+100</f>
        <v>0</v>
      </c>
      <c r="G19" s="1361"/>
      <c r="H19" s="62">
        <f>SUMIF(80:80,G20,81:81)-SUMIF(80:80,C20,81:81)+100</f>
        <v>0</v>
      </c>
      <c r="I19" s="1376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3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3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2"/>
      <c r="F20" s="61"/>
      <c r="G20" s="1362"/>
      <c r="H20" s="61"/>
      <c r="I20" s="1362"/>
      <c r="J20" s="61"/>
      <c r="K20" s="1379"/>
      <c r="L20" s="461"/>
      <c r="M20" s="452"/>
      <c r="N20" s="452"/>
      <c r="O20" s="460"/>
      <c r="P20" s="1863"/>
      <c r="Q20" s="206"/>
      <c r="R20" s="207"/>
      <c r="S20" s="208"/>
      <c r="T20" s="207"/>
      <c r="U20" s="208"/>
      <c r="V20" s="207"/>
      <c r="W20" s="208"/>
      <c r="X20" s="201"/>
      <c r="Y20" s="1863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59"/>
      <c r="F21" s="63">
        <f>SUMIF(82:82,E22,83:83)-SUMIF(82:82,C22,83:83)+100</f>
        <v>0</v>
      </c>
      <c r="G21" s="1359"/>
      <c r="H21" s="62">
        <f>SUMIF(82:82,G22,83:83)-SUMIF(82:82,C22,83:83)+100</f>
        <v>0</v>
      </c>
      <c r="I21" s="1374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3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3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2"/>
      <c r="F22" s="61"/>
      <c r="G22" s="1362"/>
      <c r="H22" s="61"/>
      <c r="I22" s="1362"/>
      <c r="J22" s="61"/>
      <c r="K22" s="1379"/>
      <c r="L22" s="461"/>
      <c r="M22" s="452"/>
      <c r="N22" s="452"/>
      <c r="O22" s="460"/>
      <c r="P22" s="1863"/>
      <c r="Q22" s="206"/>
      <c r="R22" s="207"/>
      <c r="S22" s="208"/>
      <c r="T22" s="207"/>
      <c r="U22" s="208"/>
      <c r="V22" s="207"/>
      <c r="W22" s="208"/>
      <c r="X22" s="201"/>
      <c r="Y22" s="1863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59"/>
      <c r="F23" s="63">
        <f>SUMIF(84:84,E24,85:85)-SUMIF(84:84,C24,85:85)+100</f>
        <v>0</v>
      </c>
      <c r="G23" s="1374"/>
      <c r="H23" s="63">
        <f>SUMIF(84:84,G24,85:85)-SUMIF(84:84,C24,85:85)+100</f>
        <v>0</v>
      </c>
      <c r="I23" s="1374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3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3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3"/>
      <c r="F24" s="61"/>
      <c r="G24" s="1363"/>
      <c r="H24" s="61"/>
      <c r="I24" s="1363"/>
      <c r="J24" s="61"/>
      <c r="K24" s="1379"/>
      <c r="L24" s="461"/>
      <c r="M24" s="452"/>
      <c r="N24" s="452"/>
      <c r="O24" s="460"/>
      <c r="P24" s="1863"/>
      <c r="Q24" s="235"/>
      <c r="R24" s="207"/>
      <c r="S24" s="208"/>
      <c r="T24" s="207"/>
      <c r="U24" s="208"/>
      <c r="V24" s="207"/>
      <c r="W24" s="208"/>
      <c r="X24" s="234"/>
      <c r="Y24" s="1863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59"/>
      <c r="F25" s="62">
        <f>SUMIF(86:86,E26,87:87)-SUMIF(86:86,C26,87:87)+100</f>
        <v>0</v>
      </c>
      <c r="G25" s="1359"/>
      <c r="H25" s="62">
        <f>SUMIF(86:86,G26,87:87)-SUMIF(86:86,C26,87:87)+100</f>
        <v>0</v>
      </c>
      <c r="I25" s="1374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3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3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3"/>
      <c r="F26" s="61"/>
      <c r="G26" s="1363"/>
      <c r="H26" s="61"/>
      <c r="I26" s="1363"/>
      <c r="J26" s="61"/>
      <c r="K26" s="1379"/>
      <c r="L26" s="461"/>
      <c r="M26" s="452"/>
      <c r="N26" s="452"/>
      <c r="O26" s="460"/>
      <c r="P26" s="1863"/>
      <c r="Q26" s="206"/>
      <c r="R26" s="207"/>
      <c r="S26" s="208"/>
      <c r="T26" s="207"/>
      <c r="U26" s="208"/>
      <c r="V26" s="207"/>
      <c r="W26" s="208"/>
      <c r="X26" s="201"/>
      <c r="Y26" s="1863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59"/>
      <c r="F27" s="62">
        <f>SUMIF(88:88,E28,89:89)-SUMIF(88:88,C28,89:89)+100</f>
        <v>0</v>
      </c>
      <c r="G27" s="1359"/>
      <c r="H27" s="62">
        <f>SUMIF(88:88,G28,89:89)-SUMIF(88:88,C28,89:89)+100</f>
        <v>0</v>
      </c>
      <c r="I27" s="1374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3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3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4"/>
      <c r="F28" s="61"/>
      <c r="G28" s="1364"/>
      <c r="H28" s="61"/>
      <c r="I28" s="1364"/>
      <c r="J28" s="61"/>
      <c r="K28" s="1379"/>
      <c r="L28" s="453"/>
      <c r="M28" s="454"/>
      <c r="N28" s="454"/>
      <c r="O28" s="455"/>
      <c r="P28" s="1863"/>
      <c r="Q28" s="18"/>
      <c r="R28" s="202"/>
      <c r="S28" s="203"/>
      <c r="T28" s="202"/>
      <c r="U28" s="203"/>
      <c r="V28" s="202"/>
      <c r="W28" s="203"/>
      <c r="X28" s="204"/>
      <c r="Y28" s="1863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59"/>
      <c r="F29" s="62">
        <f>SUMIF(90:90,E30,91:91)-SUMIF(90:90,C30,91:91)+100</f>
        <v>0</v>
      </c>
      <c r="G29" s="1359"/>
      <c r="H29" s="62">
        <f>SUMIF(90:90,G30,91:91)-SUMIF(90:90,C30,91:91)+100</f>
        <v>0</v>
      </c>
      <c r="I29" s="1374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3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3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4"/>
      <c r="F30" s="61"/>
      <c r="G30" s="1364"/>
      <c r="H30" s="61"/>
      <c r="I30" s="1364"/>
      <c r="J30" s="61"/>
      <c r="K30" s="1379"/>
      <c r="L30" s="453"/>
      <c r="M30" s="454"/>
      <c r="N30" s="454"/>
      <c r="O30" s="455"/>
      <c r="P30" s="1863"/>
      <c r="Q30" s="500"/>
      <c r="R30" s="202"/>
      <c r="S30" s="203"/>
      <c r="T30" s="202"/>
      <c r="U30" s="203"/>
      <c r="V30" s="202"/>
      <c r="W30" s="203"/>
      <c r="X30" s="204"/>
      <c r="Y30" s="1863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5"/>
      <c r="F31" s="56">
        <f>SUMIF(92:92,E31,93:93)-SUMIF(92:92,C31,93:93)+100</f>
        <v>0</v>
      </c>
      <c r="G31" s="1365"/>
      <c r="H31" s="56">
        <f>SUMIF(92:92,G31,93:93)-SUMIF(92:92,C31,93:93)+100</f>
        <v>0</v>
      </c>
      <c r="I31" s="1365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3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3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59"/>
      <c r="F32" s="62">
        <f>SUMIF(94:94,E33,95:95)-SUMIF(94:94,C33,95:95)+100</f>
        <v>0</v>
      </c>
      <c r="G32" s="1359"/>
      <c r="H32" s="62">
        <f>SUMIF(94:94,G33,95:95)-SUMIF(94:94,C33,95:95)+100</f>
        <v>0</v>
      </c>
      <c r="I32" s="1374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3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3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3"/>
      <c r="F33" s="61"/>
      <c r="G33" s="1363"/>
      <c r="H33" s="61"/>
      <c r="I33" s="1363"/>
      <c r="J33" s="61"/>
      <c r="K33" s="1380"/>
      <c r="L33" s="461"/>
      <c r="M33" s="452"/>
      <c r="N33" s="452"/>
      <c r="O33" s="460"/>
      <c r="P33" s="1863"/>
      <c r="Q33" s="206"/>
      <c r="R33" s="207"/>
      <c r="S33" s="208"/>
      <c r="T33" s="207"/>
      <c r="U33" s="208"/>
      <c r="V33" s="207"/>
      <c r="W33" s="208"/>
      <c r="X33" s="201"/>
      <c r="Y33" s="1863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6"/>
      <c r="F34" s="56">
        <f>SUMIF(96:96,E34,97:97)-SUMIF(96:96,C34,97:97)+100</f>
        <v>100</v>
      </c>
      <c r="G34" s="1366"/>
      <c r="H34" s="56">
        <f>SUMIF(96:96,G34,97:97)-SUMIF(96:96,C34,97:97)+100</f>
        <v>100</v>
      </c>
      <c r="I34" s="1365"/>
      <c r="J34" s="56">
        <f>SUMIF(96:96,I34,97:97)-SUMIF(96:96,C34,97:97)+100</f>
        <v>100</v>
      </c>
      <c r="K34" s="1381"/>
      <c r="L34" s="461"/>
      <c r="M34" s="452"/>
      <c r="N34" s="452"/>
      <c r="O34" s="460"/>
      <c r="P34" s="1863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3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7"/>
      <c r="F35" s="56">
        <f>SUMIF(98:98,E35,99:99)-SUMIF(98:98,C35,99:99)+100</f>
        <v>0</v>
      </c>
      <c r="G35" s="1367"/>
      <c r="H35" s="56">
        <f>SUMIF(98:98,G35,99:99)-SUMIF(98:98,C35,99:99)+100</f>
        <v>0</v>
      </c>
      <c r="I35" s="1377"/>
      <c r="J35" s="56">
        <f>SUMIF(98:98,I35,99:99)-SUMIF(98:98,C35,99:99)+100</f>
        <v>0</v>
      </c>
      <c r="K35" s="1380"/>
      <c r="L35" s="461"/>
      <c r="M35" s="452"/>
      <c r="N35" s="452"/>
      <c r="O35" s="460"/>
      <c r="P35" s="1863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3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8"/>
      <c r="F36" s="63">
        <f>SUMIF(100:100,E37,101:101)-SUMIF(100:100,C37,101:101)+100</f>
        <v>100</v>
      </c>
      <c r="G36" s="1368"/>
      <c r="H36" s="63">
        <f>SUMIF(100:100,G36,101:101)-SUMIF(100:100,C36,101:101)+100</f>
        <v>0</v>
      </c>
      <c r="I36" s="1378"/>
      <c r="J36" s="63">
        <f>SUMIF(100:100,I36,101:101)-SUMIF(100:100,C36,101:101)+100</f>
        <v>0</v>
      </c>
      <c r="K36" s="1380"/>
      <c r="L36" s="461"/>
      <c r="M36" s="452"/>
      <c r="N36" s="452"/>
      <c r="O36" s="460"/>
      <c r="P36" s="1865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6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66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6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2"/>
      <c r="D38" s="61">
        <v>100</v>
      </c>
      <c r="E38" s="1357"/>
      <c r="F38" s="61">
        <f>LOOKUP(E38,105:105,106:106)-LOOKUP(C38,105:105,106:106)+100</f>
        <v>100</v>
      </c>
      <c r="G38" s="1357"/>
      <c r="H38" s="61">
        <f>LOOKUP(G38,105:105,106:106)-LOOKUP(C38,105:105,106:106)+100</f>
        <v>100</v>
      </c>
      <c r="I38" s="1357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6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6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69"/>
      <c r="D39" s="56">
        <v>100</v>
      </c>
      <c r="E39" s="1369"/>
      <c r="F39" s="56">
        <f>SUMIF(107:107,E39,108:108)-SUMIF(107:107,C39,108:108)+100</f>
        <v>100</v>
      </c>
      <c r="G39" s="1369"/>
      <c r="H39" s="56">
        <f>SUMIF(107:107,G39,108:108)-SUMIF(107:107,C39,108:108)+100</f>
        <v>100</v>
      </c>
      <c r="I39" s="1369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6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6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69"/>
      <c r="D40" s="56">
        <v>100</v>
      </c>
      <c r="E40" s="1369"/>
      <c r="F40" s="56">
        <f>SUMIF(109:109,E40,110:110)-SUMIF(109:109,C40,110:110)+100</f>
        <v>100</v>
      </c>
      <c r="G40" s="1369"/>
      <c r="H40" s="56">
        <f>SUMIF(109:109,G40,110:110)-SUMIF(109:109,C40,110:110)+100</f>
        <v>100</v>
      </c>
      <c r="I40" s="1369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6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6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0"/>
      <c r="D41" s="24">
        <v>100</v>
      </c>
      <c r="E41" s="1370"/>
      <c r="F41" s="56">
        <f>SUMIF(111:111,E41,112:112)-SUMIF(111:111,C41,112:112)+100</f>
        <v>100</v>
      </c>
      <c r="G41" s="1370"/>
      <c r="H41" s="56">
        <f>SUMIF(111:111,G41,112:112)-SUMIF(111:111,C41,112:112)+100</f>
        <v>100</v>
      </c>
      <c r="I41" s="1370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6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6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69"/>
      <c r="D42" s="56">
        <v>100</v>
      </c>
      <c r="E42" s="1369"/>
      <c r="F42" s="56">
        <f>SUMIF(113:113,E42,114:114)-SUMIF(113:113,C42,114:114)+100</f>
        <v>100</v>
      </c>
      <c r="G42" s="1369"/>
      <c r="H42" s="56">
        <f>SUMIF(113:113,G42,114:114)-SUMIF(113:113,C42,114:114)+100</f>
        <v>100</v>
      </c>
      <c r="I42" s="1369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6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6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1"/>
      <c r="D43" s="56">
        <v>100</v>
      </c>
      <c r="E43" s="1371"/>
      <c r="F43" s="56">
        <f>SUMIF(115:115,E43,116:116)-SUMIF(115:115,C43,116:116)+100</f>
        <v>100</v>
      </c>
      <c r="G43" s="1371"/>
      <c r="H43" s="56">
        <f>SUMIF(115:115,G43,116:116)-SUMIF(115:115,C43,116:116)+100</f>
        <v>100</v>
      </c>
      <c r="I43" s="1371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6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6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1"/>
      <c r="D44" s="56">
        <v>100</v>
      </c>
      <c r="E44" s="1371"/>
      <c r="F44" s="56">
        <f>SUMIF(117:117,E44,118:118)-SUMIF(117:117,C44,118:118)+100</f>
        <v>100</v>
      </c>
      <c r="G44" s="1371"/>
      <c r="H44" s="56">
        <f>SUMIF(117:117,G44,118:118)-SUMIF(117:117,C44,118:118)+100</f>
        <v>100</v>
      </c>
      <c r="I44" s="1371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6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6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6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6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4" t="str">
        <f>A46</f>
        <v>成交单价</v>
      </c>
      <c r="Q46" s="1834"/>
      <c r="R46" s="1858">
        <f>E46</f>
        <v>0</v>
      </c>
      <c r="S46" s="1858"/>
      <c r="T46" s="1858">
        <f>G46</f>
        <v>0</v>
      </c>
      <c r="U46" s="1858"/>
      <c r="V46" s="1858">
        <f>I46</f>
        <v>0</v>
      </c>
      <c r="W46" s="1858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4" t="str">
        <f>A47</f>
        <v>比较价值（元/平方米）</v>
      </c>
      <c r="Q47" s="1834"/>
      <c r="R47" s="1867" t="e">
        <f>ROUND(PRODUCT(R46,AA7:AA45),0)</f>
        <v>#DIV/0!</v>
      </c>
      <c r="S47" s="1867"/>
      <c r="T47" s="1867" t="e">
        <f>ROUND(PRODUCT(T46,AB7:AB45),0)</f>
        <v>#DIV/0!</v>
      </c>
      <c r="U47" s="1867"/>
      <c r="V47" s="1867" t="e">
        <f>ROUND(PRODUCT(V46,AC7:AC45),0)</f>
        <v>#DIV/0!</v>
      </c>
      <c r="W47" s="1867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68" t="str">
        <f>A48</f>
        <v>估价对象比较价值（单价内涵，元/平方米）</v>
      </c>
      <c r="Q48" s="1869"/>
      <c r="R48" s="1870" t="e">
        <f>ROUND(AVERAGE(R47:V47),0)</f>
        <v>#DIV/0!</v>
      </c>
      <c r="S48" s="1870"/>
      <c r="T48" s="1870"/>
      <c r="U48" s="1870"/>
      <c r="V48" s="1870"/>
      <c r="W48" s="1870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2004-12-1</v>
      </c>
      <c r="D56" s="1686">
        <f>EDATE(C56,-3)</f>
        <v>38231</v>
      </c>
      <c r="E56" s="1686">
        <f t="shared" ref="E56:O56" si="15">EDATE(D56,-3)</f>
        <v>38139</v>
      </c>
      <c r="F56" s="1686">
        <f t="shared" si="15"/>
        <v>38047</v>
      </c>
      <c r="G56" s="1686">
        <f t="shared" si="15"/>
        <v>37956</v>
      </c>
      <c r="H56" s="1686">
        <f t="shared" si="15"/>
        <v>37865</v>
      </c>
      <c r="I56" s="1686">
        <f t="shared" si="15"/>
        <v>37773</v>
      </c>
      <c r="J56" s="1686">
        <f t="shared" si="15"/>
        <v>37681</v>
      </c>
      <c r="K56" s="1686">
        <f t="shared" si="15"/>
        <v>37591</v>
      </c>
      <c r="L56" s="1686">
        <f t="shared" si="15"/>
        <v>37500</v>
      </c>
      <c r="M56" s="1686">
        <f t="shared" si="15"/>
        <v>37408</v>
      </c>
      <c r="N56" s="1686">
        <f t="shared" si="15"/>
        <v>37316</v>
      </c>
      <c r="O56" s="1686">
        <f t="shared" si="15"/>
        <v>37226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5" t="str">
        <f>YEAR(C56)&amp;"-"&amp;ROUNDUP(MONTH(C56)/3,0)</f>
        <v>2004-4</v>
      </c>
      <c r="D58" s="1685" t="str">
        <f t="shared" ref="D58:O58" si="16">YEAR(D56)&amp;"-"&amp;ROUNDUP(MONTH(D56)/3,0)</f>
        <v>2004-3</v>
      </c>
      <c r="E58" s="1685" t="str">
        <f t="shared" si="16"/>
        <v>2004-2</v>
      </c>
      <c r="F58" s="1685" t="str">
        <f t="shared" si="16"/>
        <v>2004-1</v>
      </c>
      <c r="G58" s="1685" t="str">
        <f t="shared" si="16"/>
        <v>2003-4</v>
      </c>
      <c r="H58" s="1685" t="str">
        <f t="shared" si="16"/>
        <v>2003-3</v>
      </c>
      <c r="I58" s="1685" t="str">
        <f t="shared" si="16"/>
        <v>2003-2</v>
      </c>
      <c r="J58" s="1685" t="str">
        <f t="shared" si="16"/>
        <v>2003-1</v>
      </c>
      <c r="K58" s="1685" t="str">
        <f t="shared" si="16"/>
        <v>2002-4</v>
      </c>
      <c r="L58" s="1685" t="str">
        <f t="shared" si="16"/>
        <v>2002-3</v>
      </c>
      <c r="M58" s="1685" t="str">
        <f t="shared" si="16"/>
        <v>2002-2</v>
      </c>
      <c r="N58" s="1685" t="str">
        <f t="shared" si="16"/>
        <v>2002-1</v>
      </c>
      <c r="O58" s="1685" t="str">
        <f t="shared" si="16"/>
        <v>2001-4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6"/>
      <c r="N59" s="92"/>
      <c r="O59" s="1707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4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2" t="str">
        <f t="shared" si="23"/>
        <v>100000(含)-150000</v>
      </c>
      <c r="I104" s="1532" t="str">
        <f t="shared" si="23"/>
        <v>150000(含)-200000</v>
      </c>
      <c r="J104" s="1532" t="str">
        <f t="shared" si="23"/>
        <v>200000(含)-300000</v>
      </c>
      <c r="K104" s="1533" t="str">
        <f t="shared" si="23"/>
        <v>300000(含)-500000</v>
      </c>
      <c r="L104" s="1534" t="str">
        <f t="shared" si="23"/>
        <v>500000(含)-</v>
      </c>
      <c r="M104" s="1535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6">
        <v>100000</v>
      </c>
      <c r="I105" s="1536">
        <v>150000</v>
      </c>
      <c r="J105" s="1537">
        <v>200000</v>
      </c>
      <c r="K105" s="1537">
        <v>300000</v>
      </c>
      <c r="L105" s="1538">
        <v>500000</v>
      </c>
      <c r="M105" s="1539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0"/>
      <c r="I107" s="1540"/>
      <c r="J107" s="1540"/>
      <c r="K107" s="1541"/>
      <c r="L107" s="1542"/>
      <c r="M107" s="1543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4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0"/>
      <c r="I109" s="1540"/>
      <c r="J109" s="1540"/>
      <c r="K109" s="1541"/>
      <c r="L109" s="1542"/>
      <c r="M109" s="1543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4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0"/>
      <c r="I111" s="1540"/>
      <c r="J111" s="1540"/>
      <c r="K111" s="1541"/>
      <c r="L111" s="1542"/>
      <c r="M111" s="1543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4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0"/>
      <c r="I113" s="1540"/>
      <c r="J113" s="1540"/>
      <c r="K113" s="1541"/>
      <c r="L113" s="1542"/>
      <c r="M113" s="1543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4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0"/>
      <c r="I115" s="1540"/>
      <c r="J115" s="1540"/>
      <c r="K115" s="1541"/>
      <c r="L115" s="1542"/>
      <c r="M115" s="1543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0"/>
      <c r="I117" s="1540"/>
      <c r="J117" s="1540"/>
      <c r="K117" s="1541"/>
      <c r="L117" s="1542"/>
      <c r="M117" s="1543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5"/>
      <c r="I118" s="1545"/>
      <c r="J118" s="1545"/>
      <c r="K118" s="1545"/>
      <c r="L118" s="1545"/>
      <c r="M118" s="1546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38322</v>
      </c>
      <c r="D1" s="1000" t="str">
        <f>主表!A23</f>
        <v>建设期</v>
      </c>
      <c r="E1" s="1040">
        <f>主表!B23</f>
        <v>0</v>
      </c>
      <c r="F1" s="1000" t="s">
        <v>1522</v>
      </c>
      <c r="G1" s="1001">
        <f ca="1">INDIRECT("d"&amp;$K$1)/100</f>
        <v>0</v>
      </c>
      <c r="H1" s="1000" t="s">
        <v>1523</v>
      </c>
      <c r="I1" s="1001">
        <f>SUMIF(F4:F8,E1,G4:G8)/100</f>
        <v>0</v>
      </c>
      <c r="J1" s="1169">
        <f>IF(C1&gt;C14,0,MATCH(C1,C$14:C$59,-1))+IF(SUMIF(C14:C59,C1,D14:D59)=0,14,13)</f>
        <v>42</v>
      </c>
      <c r="K1" s="1169">
        <f ca="1">MATCH(E1,C4:C8,1)+IF(SUMIF(C4:C8,E1,D4:D8)=0,3,2)</f>
        <v>3</v>
      </c>
      <c r="L1" s="1169">
        <f>IF(C1&gt;M14,0,MATCH(C1,M$14:M$52,-1))+IF(SUMIF(M14:M52,C1,N14:N52)=0,14,13)</f>
        <v>39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38322</v>
      </c>
      <c r="D2" s="1044" t="str">
        <f>主表!A24</f>
        <v>土地开发期</v>
      </c>
      <c r="E2" s="1040">
        <f>主表!B24</f>
        <v>0</v>
      </c>
      <c r="F2" s="1000" t="s">
        <v>1522</v>
      </c>
      <c r="G2" s="1001">
        <f ca="1">INDIRECT("e"&amp;$K$2)/100</f>
        <v>0.03</v>
      </c>
      <c r="H2" s="1000" t="s">
        <v>1523</v>
      </c>
      <c r="I2" s="1001">
        <f>SUMIF(F4:F8,E2,G4:G8)/100</f>
        <v>0</v>
      </c>
      <c r="J2" s="1169">
        <f>IF(C2&gt;C14,0,MATCH(C2,C$14:C$59,-1))+IF(SUMIF(C14:C59,C2,D14:D59)=0,14,13)</f>
        <v>42</v>
      </c>
      <c r="K2" s="1169">
        <f ca="1">MATCH(E2,C4:C8,1)+IF(SUMIF(C4:C8,E2,D4:D8)=0,3,2)</f>
        <v>3</v>
      </c>
      <c r="L2" s="1169">
        <f>IF(C2&gt;M14,0,MATCH(C2,M$14:M$52,-1))+IF(SUMIF(M14:M52,C2,N14:N52)=0,14,13)</f>
        <v>39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5.7599999999999998E-2</v>
      </c>
      <c r="H3" s="1051" t="s">
        <v>1523</v>
      </c>
      <c r="I3" s="1052">
        <f ca="1">SUMIF(F4:F8,E3,H4:H8)/100</f>
        <v>3.2400000000000005E-2</v>
      </c>
      <c r="J3" s="1170"/>
      <c r="K3" s="1169">
        <f ca="1">MATCH(E3,C4:C8,1)+IF(SUMIF(C4:C8,E3,D4:D8)=0,3,2)</f>
        <v>6</v>
      </c>
      <c r="L3" s="1170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5.22</v>
      </c>
      <c r="E4" s="1036">
        <f ca="1">INDIRECT("d"&amp;$J$2)</f>
        <v>5.22</v>
      </c>
      <c r="F4" s="1037">
        <v>0.5</v>
      </c>
      <c r="G4" s="1038">
        <f ca="1">INDIRECT("p"&amp;$L$1)</f>
        <v>2.0699999999999998</v>
      </c>
      <c r="H4" s="1038">
        <f ca="1">INDIRECT("p"&amp;$L$2)</f>
        <v>2.0699999999999998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5.58</v>
      </c>
      <c r="E5" s="1008">
        <f ca="1">INDIRECT("e"&amp;$J$2)</f>
        <v>5.58</v>
      </c>
      <c r="F5" s="1007">
        <v>1</v>
      </c>
      <c r="G5" s="1039">
        <f ca="1">INDIRECT("q"&amp;$L$1)</f>
        <v>2.25</v>
      </c>
      <c r="H5" s="1039">
        <f ca="1">INDIRECT("q"&amp;$L$2)</f>
        <v>2.25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5.76</v>
      </c>
      <c r="E6" s="1008">
        <f ca="1">INDIRECT("f"&amp;$J$2)</f>
        <v>5.76</v>
      </c>
      <c r="F6" s="1007">
        <v>2</v>
      </c>
      <c r="G6" s="1039">
        <f ca="1">INDIRECT("r"&amp;$L$1)</f>
        <v>2.7</v>
      </c>
      <c r="H6" s="1039">
        <f ca="1">INDIRECT("r"&amp;$L$2)</f>
        <v>2.7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5.85</v>
      </c>
      <c r="E7" s="1008">
        <f ca="1">INDIRECT("g"&amp;$J$2)</f>
        <v>5.85</v>
      </c>
      <c r="F7" s="1007">
        <v>3</v>
      </c>
      <c r="G7" s="1039">
        <f ca="1">INDIRECT("s"&amp;$L$1)</f>
        <v>3.24</v>
      </c>
      <c r="H7" s="1039">
        <f ca="1">INDIRECT("s"&amp;$L$2)</f>
        <v>3.24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6.12</v>
      </c>
      <c r="E8" s="1008">
        <f ca="1">INDIRECT("h"&amp;$J$2)</f>
        <v>6.12</v>
      </c>
      <c r="F8" s="1007">
        <v>5</v>
      </c>
      <c r="G8" s="1039">
        <f ca="1">INDIRECT("t"&amp;$L$1)</f>
        <v>3.6</v>
      </c>
      <c r="H8" s="1039">
        <f ca="1">INDIRECT("t"&amp;$L$2)</f>
        <v>3.6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5"/>
  <sheetViews>
    <sheetView zoomScaleNormal="100" workbookViewId="0">
      <selection activeCell="T12" sqref="T12"/>
    </sheetView>
  </sheetViews>
  <sheetFormatPr defaultRowHeight="12.75"/>
  <cols>
    <col min="1" max="6" width="9" style="1557"/>
    <col min="7" max="7" width="9" style="1661"/>
    <col min="8" max="8" width="9" style="1557"/>
    <col min="9" max="12" width="9" style="1557" customWidth="1"/>
    <col min="13" max="13" width="2.25" style="1557" customWidth="1"/>
    <col min="14" max="14" width="9" style="1661" customWidth="1"/>
    <col min="15" max="17" width="9" style="1557" customWidth="1"/>
    <col min="18" max="18" width="2.375" style="1557" customWidth="1"/>
    <col min="19" max="19" width="7.125" style="1661" customWidth="1"/>
    <col min="20" max="22" width="7.125" style="1557" customWidth="1"/>
    <col min="23" max="23" width="2.5" style="1557" customWidth="1"/>
    <col min="24" max="16384" width="9" style="1557"/>
  </cols>
  <sheetData>
    <row r="1" spans="1:32" s="1549" customFormat="1">
      <c r="A1" s="1690" t="s">
        <v>1721</v>
      </c>
      <c r="C1" s="1629"/>
      <c r="D1" s="1629"/>
      <c r="F1" s="1629"/>
      <c r="H1" s="1689"/>
      <c r="I1" s="1689"/>
      <c r="J1" s="1689"/>
      <c r="K1" s="1689"/>
      <c r="L1" s="1689"/>
      <c r="O1" s="1689"/>
      <c r="P1" s="1689"/>
      <c r="Q1" s="1689"/>
      <c r="R1" s="1550"/>
      <c r="T1" s="1689"/>
      <c r="U1" s="1689"/>
      <c r="V1" s="1689"/>
    </row>
    <row r="2" spans="1:32" s="1549" customFormat="1" ht="13.5" thickBot="1">
      <c r="B2" s="1629" t="s">
        <v>1656</v>
      </c>
      <c r="C2" s="1629"/>
      <c r="D2" s="1629"/>
      <c r="F2" s="1629"/>
      <c r="G2" s="1879" t="s">
        <v>1657</v>
      </c>
      <c r="H2" s="1879"/>
      <c r="I2" s="1879"/>
      <c r="J2" s="1879"/>
      <c r="K2" s="1879"/>
      <c r="L2" s="1879"/>
      <c r="N2" s="1871" t="s">
        <v>1658</v>
      </c>
      <c r="O2" s="1871"/>
      <c r="P2" s="1871"/>
      <c r="Q2" s="1871"/>
      <c r="R2" s="1688"/>
      <c r="S2" s="1871" t="s">
        <v>1659</v>
      </c>
      <c r="T2" s="1871"/>
      <c r="U2" s="1871"/>
      <c r="V2" s="1871"/>
    </row>
    <row r="3" spans="1:32" s="1549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3" t="s">
        <v>1761</v>
      </c>
      <c r="H3" s="1723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0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4" customFormat="1" ht="14.25">
      <c r="A4" s="1745" t="s">
        <v>1765</v>
      </c>
      <c r="B4" s="1735"/>
      <c r="C4" s="1735"/>
      <c r="D4" s="1736"/>
      <c r="E4" s="1736"/>
      <c r="F4" s="1735"/>
      <c r="G4" s="1737"/>
      <c r="H4" s="1737"/>
      <c r="I4" s="1744">
        <f>ROUND(AVERAGE($I7:$I22),2)</f>
        <v>2.4500000000000002</v>
      </c>
      <c r="J4" s="1744">
        <f>ROUND(AVERAGE($J7:$J22),2)</f>
        <v>1.65</v>
      </c>
      <c r="K4" s="1744">
        <f>ROUND(AVERAGE($K7:$K22),2)</f>
        <v>2.71</v>
      </c>
      <c r="L4" s="1744">
        <f>ROUND(AVERAGE($L7:$L22),2)</f>
        <v>1.39</v>
      </c>
      <c r="N4" s="1738"/>
      <c r="O4" s="1738"/>
      <c r="P4" s="1736"/>
      <c r="Q4" s="1738"/>
      <c r="R4" s="1739"/>
      <c r="S4" s="1738"/>
      <c r="T4" s="1738"/>
      <c r="U4" s="1736"/>
      <c r="V4" s="1738"/>
      <c r="X4" s="1740"/>
    </row>
    <row r="5" spans="1:32" s="1724" customFormat="1" ht="14.25">
      <c r="B5" s="1725"/>
      <c r="C5" s="1725"/>
      <c r="D5" s="1726"/>
      <c r="E5" s="1726"/>
      <c r="F5" s="1725"/>
      <c r="G5" s="1727"/>
      <c r="H5" s="1727"/>
      <c r="I5" s="1730"/>
      <c r="J5" s="1730"/>
      <c r="K5" s="1731"/>
      <c r="L5" s="1730"/>
      <c r="N5" s="1728"/>
      <c r="O5" s="1728"/>
      <c r="P5" s="1726"/>
      <c r="Q5" s="1728"/>
      <c r="R5" s="1729"/>
      <c r="S5" s="1728"/>
      <c r="T5" s="1728"/>
      <c r="U5" s="1726"/>
      <c r="V5" s="1728"/>
      <c r="X5" s="1741"/>
    </row>
    <row r="6" spans="1:32" s="1717" customFormat="1" ht="13.5" thickBot="1">
      <c r="A6" s="1714" t="s">
        <v>1763</v>
      </c>
      <c r="B6" s="1715">
        <f>B7*(1+N6)</f>
        <v>439.19121308559727</v>
      </c>
      <c r="C6" s="1715">
        <f t="shared" ref="C6" si="0">C7*(1+O6)</f>
        <v>326.28510789673351</v>
      </c>
      <c r="D6" s="1715">
        <f t="shared" ref="D6:D11" si="1">C6</f>
        <v>326.28510789673351</v>
      </c>
      <c r="E6" s="1715">
        <f t="shared" ref="E6" si="2">E7*(1+P6)</f>
        <v>626.49404043656455</v>
      </c>
      <c r="F6" s="1715">
        <f t="shared" ref="F6" si="3">F7*(1+Q6)</f>
        <v>283.46416215500358</v>
      </c>
      <c r="G6" s="1722">
        <v>2018</v>
      </c>
      <c r="H6" s="1716">
        <v>1</v>
      </c>
      <c r="I6" s="1732">
        <v>0</v>
      </c>
      <c r="J6" s="1732">
        <v>0</v>
      </c>
      <c r="K6" s="1732">
        <v>0</v>
      </c>
      <c r="L6" s="1733">
        <v>0</v>
      </c>
      <c r="N6" s="1718">
        <f t="shared" ref="N6" si="4">I6/100</f>
        <v>0</v>
      </c>
      <c r="O6" s="1719">
        <f t="shared" ref="O6" si="5">J6/100</f>
        <v>0</v>
      </c>
      <c r="P6" s="1719">
        <f t="shared" ref="P6" si="6">K6/100</f>
        <v>0</v>
      </c>
      <c r="Q6" s="1719">
        <f t="shared" ref="Q6" si="7">L6/100</f>
        <v>0</v>
      </c>
      <c r="R6" s="1720"/>
      <c r="S6" s="1721"/>
      <c r="T6" s="1720"/>
      <c r="U6" s="1720"/>
      <c r="V6" s="1720"/>
      <c r="X6" s="1742" t="s">
        <v>1766</v>
      </c>
      <c r="Y6" s="1743"/>
      <c r="Z6" s="1743"/>
      <c r="AA6" s="1743"/>
    </row>
    <row r="7" spans="1:32">
      <c r="A7" s="1551" t="s">
        <v>1764</v>
      </c>
      <c r="B7" s="1556">
        <f>B8*(1+N7)</f>
        <v>439.19121308559727</v>
      </c>
      <c r="C7" s="1556">
        <f t="shared" ref="C7" si="8">C8*(1+O7)</f>
        <v>326.28510789673351</v>
      </c>
      <c r="D7" s="1556">
        <f t="shared" si="1"/>
        <v>326.28510789673351</v>
      </c>
      <c r="E7" s="1556">
        <f t="shared" ref="E7" si="9">E8*(1+P7)</f>
        <v>626.49404043656455</v>
      </c>
      <c r="F7" s="1655">
        <f t="shared" ref="F7" si="10">F8*(1+Q7)</f>
        <v>283.46416215500358</v>
      </c>
      <c r="G7" s="1712">
        <v>2017</v>
      </c>
      <c r="H7" s="1552">
        <v>4</v>
      </c>
      <c r="I7" s="1552">
        <v>1.71</v>
      </c>
      <c r="J7" s="1552">
        <v>1.78</v>
      </c>
      <c r="K7" s="1552">
        <v>1.71</v>
      </c>
      <c r="L7" s="1553">
        <v>1.43</v>
      </c>
      <c r="N7" s="1663">
        <f t="shared" ref="N7" si="11">I7/100</f>
        <v>1.7100000000000001E-2</v>
      </c>
      <c r="O7" s="1558">
        <f t="shared" ref="O7" si="12">J7/100</f>
        <v>1.78E-2</v>
      </c>
      <c r="P7" s="1558">
        <f t="shared" ref="P7" si="13">K7/100</f>
        <v>1.7100000000000001E-2</v>
      </c>
      <c r="Q7" s="1558">
        <f t="shared" ref="Q7" si="14">L7/100</f>
        <v>1.43E-2</v>
      </c>
      <c r="R7" s="1559"/>
      <c r="S7" s="1673"/>
      <c r="T7" s="1560"/>
      <c r="U7" s="1560"/>
      <c r="V7" s="1560"/>
      <c r="AC7" s="1560"/>
      <c r="AD7" s="1560"/>
      <c r="AE7" s="1560"/>
      <c r="AF7" s="1560"/>
    </row>
    <row r="8" spans="1:32" s="1549" customFormat="1">
      <c r="A8" s="1551" t="s">
        <v>1760</v>
      </c>
      <c r="B8" s="1561">
        <f>B9*(1+N8)</f>
        <v>431.80730811680002</v>
      </c>
      <c r="C8" s="1561">
        <f t="shared" ref="C8:C9" si="15">C9*(1+O8)</f>
        <v>320.57880516480003</v>
      </c>
      <c r="D8" s="1561">
        <f t="shared" si="1"/>
        <v>320.57880516480003</v>
      </c>
      <c r="E8" s="1561">
        <f t="shared" ref="E8:F10" si="16">E9*(1+P8)</f>
        <v>615.96110553196797</v>
      </c>
      <c r="F8" s="1561">
        <f t="shared" si="16"/>
        <v>279.46777300108801</v>
      </c>
      <c r="G8" s="1712"/>
      <c r="H8" s="1554">
        <v>3</v>
      </c>
      <c r="I8" s="1691">
        <v>2.98</v>
      </c>
      <c r="J8" s="1691">
        <v>2.11</v>
      </c>
      <c r="K8" s="1691">
        <v>3.24</v>
      </c>
      <c r="L8" s="1692">
        <v>1.72</v>
      </c>
      <c r="N8" s="1663">
        <f t="shared" ref="N8:Q9" si="17">I8/100</f>
        <v>2.98E-2</v>
      </c>
      <c r="O8" s="1558">
        <f t="shared" si="17"/>
        <v>2.1099999999999997E-2</v>
      </c>
      <c r="P8" s="1558">
        <f t="shared" si="17"/>
        <v>3.2400000000000005E-2</v>
      </c>
      <c r="Q8" s="1558">
        <f t="shared" si="17"/>
        <v>1.72E-2</v>
      </c>
      <c r="R8" s="1711"/>
      <c r="S8" s="1662"/>
      <c r="T8" s="1711"/>
      <c r="U8" s="1711"/>
      <c r="V8" s="1711"/>
    </row>
    <row r="9" spans="1:32" s="1549" customFormat="1">
      <c r="A9" s="1551" t="s">
        <v>1660</v>
      </c>
      <c r="B9" s="1561">
        <f>B10*(1+N9)</f>
        <v>419.31181600000002</v>
      </c>
      <c r="C9" s="1561">
        <f t="shared" si="15"/>
        <v>313.95436800000004</v>
      </c>
      <c r="D9" s="1561">
        <f t="shared" si="1"/>
        <v>313.95436800000004</v>
      </c>
      <c r="E9" s="1561">
        <f t="shared" si="16"/>
        <v>596.63028431999999</v>
      </c>
      <c r="F9" s="1561">
        <f t="shared" si="16"/>
        <v>274.74220703999998</v>
      </c>
      <c r="G9" s="1712"/>
      <c r="H9" s="1555">
        <v>2</v>
      </c>
      <c r="I9" s="1708">
        <v>3.4</v>
      </c>
      <c r="J9" s="1708">
        <v>2</v>
      </c>
      <c r="K9" s="1708">
        <v>3.82</v>
      </c>
      <c r="L9" s="1709">
        <v>1.68</v>
      </c>
      <c r="N9" s="1663">
        <f t="shared" si="17"/>
        <v>3.4000000000000002E-2</v>
      </c>
      <c r="O9" s="1558">
        <f t="shared" si="17"/>
        <v>0.02</v>
      </c>
      <c r="P9" s="1558">
        <f t="shared" si="17"/>
        <v>3.8199999999999998E-2</v>
      </c>
      <c r="Q9" s="1558">
        <f t="shared" si="17"/>
        <v>1.6799999999999999E-2</v>
      </c>
      <c r="R9" s="1550"/>
      <c r="S9" s="1662"/>
      <c r="T9" s="1550"/>
      <c r="U9" s="1550"/>
      <c r="V9" s="1550"/>
    </row>
    <row r="10" spans="1:32" s="1549" customFormat="1" ht="13.5" thickBot="1">
      <c r="A10" s="1551" t="s">
        <v>1661</v>
      </c>
      <c r="B10" s="1561">
        <f>B11*(1+N10)</f>
        <v>405.524</v>
      </c>
      <c r="C10" s="1561">
        <f t="shared" ref="C10" si="18">C11*(1+O10)</f>
        <v>307.79840000000002</v>
      </c>
      <c r="D10" s="1561">
        <f t="shared" si="1"/>
        <v>307.79840000000002</v>
      </c>
      <c r="E10" s="1561">
        <f t="shared" si="16"/>
        <v>574.67759999999998</v>
      </c>
      <c r="F10" s="1561">
        <f t="shared" si="16"/>
        <v>270.20280000000002</v>
      </c>
      <c r="G10" s="1713"/>
      <c r="H10" s="1554">
        <v>1</v>
      </c>
      <c r="I10" s="1691">
        <v>3.45</v>
      </c>
      <c r="J10" s="1691">
        <v>1.92</v>
      </c>
      <c r="K10" s="1691">
        <v>3.92</v>
      </c>
      <c r="L10" s="1692">
        <v>1.58</v>
      </c>
      <c r="N10" s="1663">
        <f>I10/100</f>
        <v>3.4500000000000003E-2</v>
      </c>
      <c r="O10" s="1558">
        <f t="shared" ref="O10" si="19">J10/100</f>
        <v>1.9199999999999998E-2</v>
      </c>
      <c r="P10" s="1558">
        <f t="shared" ref="P10" si="20">K10/100</f>
        <v>3.9199999999999999E-2</v>
      </c>
      <c r="Q10" s="1558">
        <f t="shared" ref="Q10" si="21">L10/100</f>
        <v>1.5800000000000002E-2</v>
      </c>
      <c r="R10" s="1550"/>
      <c r="S10" s="1665">
        <f>B10/B11-1</f>
        <v>3.4499999999999975E-2</v>
      </c>
      <c r="T10" s="1564">
        <f>C10/C11-1</f>
        <v>1.9200000000000106E-2</v>
      </c>
      <c r="U10" s="1564">
        <f>E10/E11-1</f>
        <v>3.9199999999999902E-2</v>
      </c>
      <c r="V10" s="1564">
        <f>F10/F11-1</f>
        <v>1.5800000000000036E-2</v>
      </c>
    </row>
    <row r="11" spans="1:32">
      <c r="A11" s="1551" t="s">
        <v>280</v>
      </c>
      <c r="B11" s="1556">
        <v>392</v>
      </c>
      <c r="C11" s="1556">
        <v>302</v>
      </c>
      <c r="D11" s="1556">
        <f t="shared" si="1"/>
        <v>302</v>
      </c>
      <c r="E11" s="1556">
        <v>553</v>
      </c>
      <c r="F11" s="1655">
        <v>266</v>
      </c>
      <c r="G11" s="1875">
        <v>2016</v>
      </c>
      <c r="H11" s="1552">
        <v>4</v>
      </c>
      <c r="I11" s="1552">
        <v>4.5599999999999996</v>
      </c>
      <c r="J11" s="1552">
        <v>2.15</v>
      </c>
      <c r="K11" s="1552">
        <v>5.32</v>
      </c>
      <c r="L11" s="1553">
        <v>1.57</v>
      </c>
      <c r="N11" s="1663">
        <f>I11/100</f>
        <v>4.5599999999999995E-2</v>
      </c>
      <c r="O11" s="1558">
        <f t="shared" ref="O11:Q26" si="22">J11/100</f>
        <v>2.1499999999999998E-2</v>
      </c>
      <c r="P11" s="1558">
        <f t="shared" si="22"/>
        <v>5.3200000000000004E-2</v>
      </c>
      <c r="Q11" s="1558">
        <f t="shared" si="22"/>
        <v>1.5700000000000002E-2</v>
      </c>
      <c r="R11" s="1559"/>
      <c r="S11" s="1673"/>
      <c r="T11" s="1560"/>
      <c r="U11" s="1560"/>
      <c r="V11" s="1560"/>
      <c r="AC11" s="1560"/>
      <c r="AD11" s="1560"/>
      <c r="AE11" s="1560"/>
      <c r="AF11" s="1560"/>
    </row>
    <row r="12" spans="1:32">
      <c r="A12" s="1551" t="s">
        <v>279</v>
      </c>
      <c r="B12" s="1561">
        <f t="shared" ref="B12:C14" si="23">B11/(1+N11)</f>
        <v>374.90436113236416</v>
      </c>
      <c r="C12" s="1561">
        <f t="shared" si="23"/>
        <v>295.64366128242779</v>
      </c>
      <c r="D12" s="1561">
        <f t="shared" ref="D12:D71" si="24">C12</f>
        <v>295.64366128242779</v>
      </c>
      <c r="E12" s="1561">
        <f t="shared" ref="E12:F14" si="25">E11/(1+P11)</f>
        <v>525.06646410938095</v>
      </c>
      <c r="F12" s="1561">
        <f t="shared" si="25"/>
        <v>261.88835286009646</v>
      </c>
      <c r="G12" s="1873"/>
      <c r="H12" s="1554">
        <v>3</v>
      </c>
      <c r="I12" s="1554">
        <v>4.12</v>
      </c>
      <c r="J12" s="1554">
        <v>2</v>
      </c>
      <c r="K12" s="1554">
        <v>4.79</v>
      </c>
      <c r="L12" s="1562">
        <v>1.97</v>
      </c>
      <c r="N12" s="1663">
        <f t="shared" ref="N12:Q46" si="26">I12/100</f>
        <v>4.1200000000000001E-2</v>
      </c>
      <c r="O12" s="1558">
        <f t="shared" si="22"/>
        <v>0.02</v>
      </c>
      <c r="P12" s="1558">
        <f t="shared" si="22"/>
        <v>4.7899999999999998E-2</v>
      </c>
      <c r="Q12" s="1558">
        <f t="shared" si="22"/>
        <v>1.9699999999999999E-2</v>
      </c>
      <c r="R12" s="1559"/>
      <c r="S12" s="1663"/>
      <c r="T12" s="1558"/>
      <c r="U12" s="1558"/>
      <c r="V12" s="1558"/>
    </row>
    <row r="13" spans="1:32">
      <c r="A13" s="1551" t="s">
        <v>269</v>
      </c>
      <c r="B13" s="1561">
        <f t="shared" si="23"/>
        <v>360.06949782209392</v>
      </c>
      <c r="C13" s="1561">
        <f t="shared" si="23"/>
        <v>289.84672674747821</v>
      </c>
      <c r="D13" s="1561">
        <f t="shared" si="24"/>
        <v>289.84672674747821</v>
      </c>
      <c r="E13" s="1561">
        <f t="shared" si="25"/>
        <v>501.06543001181495</v>
      </c>
      <c r="F13" s="1561">
        <f t="shared" si="25"/>
        <v>256.82882500744967</v>
      </c>
      <c r="G13" s="1873"/>
      <c r="H13" s="1555">
        <v>2</v>
      </c>
      <c r="I13" s="1555">
        <v>3.85</v>
      </c>
      <c r="J13" s="1555">
        <v>1.95</v>
      </c>
      <c r="K13" s="1555">
        <v>4.4800000000000004</v>
      </c>
      <c r="L13" s="1563">
        <v>1.41</v>
      </c>
      <c r="N13" s="1663">
        <f t="shared" si="26"/>
        <v>3.85E-2</v>
      </c>
      <c r="O13" s="1558">
        <f t="shared" si="22"/>
        <v>1.95E-2</v>
      </c>
      <c r="P13" s="1558">
        <f t="shared" si="22"/>
        <v>4.4800000000000006E-2</v>
      </c>
      <c r="Q13" s="1558">
        <f t="shared" si="22"/>
        <v>1.41E-2</v>
      </c>
      <c r="R13" s="1559"/>
      <c r="S13" s="1663"/>
      <c r="T13" s="1558"/>
      <c r="U13" s="1558"/>
      <c r="V13" s="1558"/>
    </row>
    <row r="14" spans="1:32" ht="13.5" thickBot="1">
      <c r="A14" s="1551" t="s">
        <v>278</v>
      </c>
      <c r="B14" s="1561">
        <f t="shared" si="23"/>
        <v>346.720748986128</v>
      </c>
      <c r="C14" s="1561">
        <f t="shared" si="23"/>
        <v>284.30282172386285</v>
      </c>
      <c r="D14" s="1561">
        <f t="shared" si="24"/>
        <v>284.30282172386285</v>
      </c>
      <c r="E14" s="1561">
        <f t="shared" si="25"/>
        <v>479.58023546306947</v>
      </c>
      <c r="F14" s="1561">
        <f t="shared" si="25"/>
        <v>253.25788877571213</v>
      </c>
      <c r="G14" s="1874"/>
      <c r="H14" s="1554">
        <v>1</v>
      </c>
      <c r="I14" s="1554">
        <v>4.09</v>
      </c>
      <c r="J14" s="1554">
        <v>2.93</v>
      </c>
      <c r="K14" s="1554">
        <v>4.54</v>
      </c>
      <c r="L14" s="1562">
        <v>1.48</v>
      </c>
      <c r="N14" s="1663">
        <f t="shared" si="26"/>
        <v>4.0899999999999999E-2</v>
      </c>
      <c r="O14" s="1558">
        <f t="shared" si="22"/>
        <v>2.9300000000000003E-2</v>
      </c>
      <c r="P14" s="1558">
        <f t="shared" si="22"/>
        <v>4.5400000000000003E-2</v>
      </c>
      <c r="Q14" s="1558">
        <f t="shared" si="22"/>
        <v>1.4800000000000001E-2</v>
      </c>
      <c r="R14" s="1559"/>
      <c r="S14" s="1665">
        <f>B14/B15-1</f>
        <v>4.1203450408792808E-2</v>
      </c>
      <c r="T14" s="1564">
        <f>C14/C15-1</f>
        <v>2.6363977342465095E-2</v>
      </c>
      <c r="U14" s="1564">
        <f>E14/E15-1</f>
        <v>4.4837114298626357E-2</v>
      </c>
      <c r="V14" s="1564">
        <f>F14/F15-1</f>
        <v>1.7099954922538574E-2</v>
      </c>
      <c r="AC14" s="1565"/>
      <c r="AD14" s="1565"/>
      <c r="AE14" s="1565"/>
      <c r="AF14" s="1565"/>
    </row>
    <row r="15" spans="1:32" ht="13.5" thickBot="1">
      <c r="A15" s="1551" t="s">
        <v>277</v>
      </c>
      <c r="B15" s="1556">
        <v>333</v>
      </c>
      <c r="C15" s="1556">
        <v>277</v>
      </c>
      <c r="D15" s="1556">
        <f t="shared" si="24"/>
        <v>277</v>
      </c>
      <c r="E15" s="1556">
        <v>459</v>
      </c>
      <c r="F15" s="1655">
        <v>249</v>
      </c>
      <c r="G15" s="1872">
        <v>2015</v>
      </c>
      <c r="H15" s="1566">
        <v>4</v>
      </c>
      <c r="I15" s="1566">
        <v>1.63</v>
      </c>
      <c r="J15" s="1566">
        <v>1.1100000000000001</v>
      </c>
      <c r="K15" s="1566">
        <v>1.77</v>
      </c>
      <c r="L15" s="1567">
        <v>1.89</v>
      </c>
      <c r="N15" s="1664">
        <f t="shared" si="26"/>
        <v>1.6299999999999999E-2</v>
      </c>
      <c r="O15" s="1568">
        <f t="shared" si="22"/>
        <v>1.11E-2</v>
      </c>
      <c r="P15" s="1568">
        <f t="shared" si="22"/>
        <v>1.77E-2</v>
      </c>
      <c r="Q15" s="1568">
        <f t="shared" si="22"/>
        <v>1.89E-2</v>
      </c>
      <c r="R15" s="1559"/>
      <c r="AC15" s="1560"/>
      <c r="AD15" s="1560"/>
      <c r="AE15" s="1560"/>
      <c r="AF15" s="1560"/>
    </row>
    <row r="16" spans="1:32">
      <c r="A16" s="1551" t="s">
        <v>276</v>
      </c>
      <c r="B16" s="1561">
        <f t="shared" ref="B16:C18" si="27">B15/(1+N15)</f>
        <v>327.65915576109415</v>
      </c>
      <c r="C16" s="1561">
        <f t="shared" si="27"/>
        <v>273.95905449510434</v>
      </c>
      <c r="D16" s="1561">
        <f t="shared" si="24"/>
        <v>273.95905449510434</v>
      </c>
      <c r="E16" s="1561">
        <f t="shared" ref="E16:F18" si="28">E15/(1+P15)</f>
        <v>451.01699911565294</v>
      </c>
      <c r="F16" s="1561">
        <f t="shared" si="28"/>
        <v>244.38119540681129</v>
      </c>
      <c r="G16" s="1873"/>
      <c r="H16" s="1569">
        <v>3</v>
      </c>
      <c r="I16" s="1569">
        <v>1.65</v>
      </c>
      <c r="J16" s="1569">
        <v>0.92</v>
      </c>
      <c r="K16" s="1569">
        <v>1.88</v>
      </c>
      <c r="L16" s="1570">
        <v>1.26</v>
      </c>
      <c r="N16" s="1663">
        <f t="shared" si="26"/>
        <v>1.6500000000000001E-2</v>
      </c>
      <c r="O16" s="1571">
        <f t="shared" si="22"/>
        <v>9.1999999999999998E-3</v>
      </c>
      <c r="P16" s="1571">
        <f t="shared" si="22"/>
        <v>1.8799999999999997E-2</v>
      </c>
      <c r="Q16" s="1571">
        <f t="shared" si="22"/>
        <v>1.26E-2</v>
      </c>
      <c r="R16" s="1559"/>
      <c r="S16" s="1663"/>
      <c r="T16" s="1558"/>
      <c r="U16" s="1558"/>
      <c r="V16" s="1558"/>
    </row>
    <row r="17" spans="1:32">
      <c r="A17" s="1551" t="s">
        <v>275</v>
      </c>
      <c r="B17" s="1561">
        <f t="shared" si="27"/>
        <v>322.34053690220776</v>
      </c>
      <c r="C17" s="1561">
        <f t="shared" si="27"/>
        <v>271.46160770422546</v>
      </c>
      <c r="D17" s="1561">
        <f t="shared" si="24"/>
        <v>271.46160770422546</v>
      </c>
      <c r="E17" s="1561">
        <f t="shared" si="28"/>
        <v>442.69434542172456</v>
      </c>
      <c r="F17" s="1561">
        <f t="shared" si="28"/>
        <v>241.34030753190925</v>
      </c>
      <c r="G17" s="1873"/>
      <c r="H17" s="1555">
        <v>2</v>
      </c>
      <c r="I17" s="1555">
        <v>0.77</v>
      </c>
      <c r="J17" s="1555">
        <v>0.69</v>
      </c>
      <c r="K17" s="1555">
        <v>0.8</v>
      </c>
      <c r="L17" s="1563">
        <v>0.88</v>
      </c>
      <c r="N17" s="1663">
        <f t="shared" si="26"/>
        <v>7.7000000000000002E-3</v>
      </c>
      <c r="O17" s="1571">
        <f t="shared" si="22"/>
        <v>6.8999999999999999E-3</v>
      </c>
      <c r="P17" s="1571">
        <f t="shared" si="22"/>
        <v>8.0000000000000002E-3</v>
      </c>
      <c r="Q17" s="1571">
        <f t="shared" si="22"/>
        <v>8.8000000000000005E-3</v>
      </c>
      <c r="R17" s="1559"/>
      <c r="S17" s="1663"/>
      <c r="T17" s="1558"/>
      <c r="U17" s="1558"/>
      <c r="V17" s="1558"/>
    </row>
    <row r="18" spans="1:32">
      <c r="A18" s="1551" t="s">
        <v>274</v>
      </c>
      <c r="B18" s="1561">
        <f t="shared" si="27"/>
        <v>319.87748030386797</v>
      </c>
      <c r="C18" s="1561">
        <f t="shared" si="27"/>
        <v>269.60135833173649</v>
      </c>
      <c r="D18" s="1561">
        <f t="shared" si="24"/>
        <v>269.60135833173649</v>
      </c>
      <c r="E18" s="1561">
        <f t="shared" si="28"/>
        <v>439.18089823583784</v>
      </c>
      <c r="F18" s="1561">
        <f t="shared" si="28"/>
        <v>239.23503918706311</v>
      </c>
      <c r="G18" s="1874"/>
      <c r="H18" s="1554">
        <v>1</v>
      </c>
      <c r="I18" s="1554">
        <v>0.51</v>
      </c>
      <c r="J18" s="1554">
        <v>0.54</v>
      </c>
      <c r="K18" s="1554">
        <v>0.48</v>
      </c>
      <c r="L18" s="1562">
        <v>0.93</v>
      </c>
      <c r="N18" s="1665">
        <f t="shared" si="26"/>
        <v>5.1000000000000004E-3</v>
      </c>
      <c r="O18" s="1564">
        <f t="shared" si="22"/>
        <v>5.4000000000000003E-3</v>
      </c>
      <c r="P18" s="1564">
        <f t="shared" si="22"/>
        <v>4.7999999999999996E-3</v>
      </c>
      <c r="Q18" s="1564">
        <f t="shared" si="22"/>
        <v>9.300000000000001E-3</v>
      </c>
      <c r="R18" s="1559"/>
      <c r="S18" s="1665">
        <f>B18/B19-1</f>
        <v>5.9040261127922822E-3</v>
      </c>
      <c r="T18" s="1564">
        <f>C18/C19-1</f>
        <v>5.9752176557332781E-3</v>
      </c>
      <c r="U18" s="1564">
        <f>E18/E19-1</f>
        <v>4.9906138119859556E-3</v>
      </c>
      <c r="V18" s="1564">
        <f>F18/F19-1</f>
        <v>9.4305450930933787E-3</v>
      </c>
      <c r="AC18" s="1565"/>
      <c r="AD18" s="1565"/>
      <c r="AE18" s="1565"/>
      <c r="AF18" s="1565"/>
    </row>
    <row r="19" spans="1:32" ht="13.5" thickBot="1">
      <c r="A19" s="1551" t="s">
        <v>273</v>
      </c>
      <c r="B19" s="1572">
        <v>318</v>
      </c>
      <c r="C19" s="1572">
        <v>268</v>
      </c>
      <c r="D19" s="1572">
        <f t="shared" si="24"/>
        <v>268</v>
      </c>
      <c r="E19" s="1572">
        <v>437</v>
      </c>
      <c r="F19" s="1656">
        <v>237</v>
      </c>
      <c r="G19" s="1872">
        <v>2014</v>
      </c>
      <c r="H19" s="1566">
        <v>4</v>
      </c>
      <c r="I19" s="1566">
        <v>0.21</v>
      </c>
      <c r="J19" s="1566">
        <v>0.41</v>
      </c>
      <c r="K19" s="1566">
        <v>0.12</v>
      </c>
      <c r="L19" s="1567">
        <v>0.89</v>
      </c>
      <c r="N19" s="1663">
        <f t="shared" si="26"/>
        <v>2.0999999999999999E-3</v>
      </c>
      <c r="O19" s="1558">
        <f t="shared" si="22"/>
        <v>4.0999999999999995E-3</v>
      </c>
      <c r="P19" s="1558">
        <f t="shared" si="22"/>
        <v>1.1999999999999999E-3</v>
      </c>
      <c r="Q19" s="1558">
        <f t="shared" si="22"/>
        <v>8.8999999999999999E-3</v>
      </c>
      <c r="R19" s="1559"/>
      <c r="S19" s="1673"/>
      <c r="T19" s="1560"/>
      <c r="U19" s="1560"/>
      <c r="V19" s="1560"/>
      <c r="AC19" s="1560"/>
      <c r="AD19" s="1560"/>
      <c r="AE19" s="1560"/>
      <c r="AF19" s="1560"/>
    </row>
    <row r="20" spans="1:32">
      <c r="A20" s="1551" t="s">
        <v>272</v>
      </c>
      <c r="B20" s="1561">
        <f t="shared" ref="B20:C22" si="29">B19/(1+N19)</f>
        <v>317.33359944117353</v>
      </c>
      <c r="C20" s="1561">
        <f t="shared" si="29"/>
        <v>266.90568668459315</v>
      </c>
      <c r="D20" s="1561">
        <f t="shared" si="24"/>
        <v>266.90568668459315</v>
      </c>
      <c r="E20" s="1561">
        <f t="shared" ref="E20:F22" si="30">E19/(1+P19)</f>
        <v>436.47622852576905</v>
      </c>
      <c r="F20" s="1561">
        <f t="shared" si="30"/>
        <v>234.90930716622066</v>
      </c>
      <c r="G20" s="1873"/>
      <c r="H20" s="1573">
        <v>3</v>
      </c>
      <c r="I20" s="1573">
        <v>0.83</v>
      </c>
      <c r="J20" s="1573">
        <v>1.47</v>
      </c>
      <c r="K20" s="1573">
        <v>0.65</v>
      </c>
      <c r="L20" s="1574">
        <v>0.72</v>
      </c>
      <c r="N20" s="1663">
        <f t="shared" si="26"/>
        <v>8.3000000000000001E-3</v>
      </c>
      <c r="O20" s="1558">
        <f t="shared" si="22"/>
        <v>1.47E-2</v>
      </c>
      <c r="P20" s="1558">
        <f t="shared" si="22"/>
        <v>6.5000000000000006E-3</v>
      </c>
      <c r="Q20" s="1558">
        <f t="shared" si="22"/>
        <v>7.1999999999999998E-3</v>
      </c>
      <c r="R20" s="1559"/>
      <c r="S20" s="1663"/>
      <c r="T20" s="1558"/>
      <c r="U20" s="1558"/>
      <c r="V20" s="1558"/>
    </row>
    <row r="21" spans="1:32" ht="13.5" thickBot="1">
      <c r="A21" s="1551" t="s">
        <v>271</v>
      </c>
      <c r="B21" s="1561">
        <f t="shared" si="29"/>
        <v>314.72141172386546</v>
      </c>
      <c r="C21" s="1561">
        <f t="shared" si="29"/>
        <v>263.03901319069001</v>
      </c>
      <c r="D21" s="1561">
        <f t="shared" si="24"/>
        <v>263.03901319069001</v>
      </c>
      <c r="E21" s="1561">
        <f t="shared" si="30"/>
        <v>433.65745506782821</v>
      </c>
      <c r="F21" s="1561">
        <f t="shared" si="30"/>
        <v>233.23005080045735</v>
      </c>
      <c r="G21" s="1873"/>
      <c r="H21" s="1566">
        <v>2</v>
      </c>
      <c r="I21" s="1566">
        <v>2.4</v>
      </c>
      <c r="J21" s="1566">
        <v>2.0299999999999998</v>
      </c>
      <c r="K21" s="1566">
        <v>2.59</v>
      </c>
      <c r="L21" s="1567">
        <v>1.52</v>
      </c>
      <c r="N21" s="1663">
        <f t="shared" si="26"/>
        <v>2.4E-2</v>
      </c>
      <c r="O21" s="1558">
        <f t="shared" si="22"/>
        <v>2.0299999999999999E-2</v>
      </c>
      <c r="P21" s="1558">
        <f t="shared" si="22"/>
        <v>2.5899999999999999E-2</v>
      </c>
      <c r="Q21" s="1558">
        <f t="shared" si="22"/>
        <v>1.52E-2</v>
      </c>
      <c r="R21" s="1559"/>
      <c r="S21" s="1663"/>
      <c r="T21" s="1558"/>
      <c r="U21" s="1558"/>
      <c r="V21" s="1558"/>
    </row>
    <row r="22" spans="1:32" s="1620" customFormat="1" ht="13.5" thickBot="1">
      <c r="A22" s="1616" t="s">
        <v>270</v>
      </c>
      <c r="B22" s="1617">
        <f t="shared" si="29"/>
        <v>307.34512863658733</v>
      </c>
      <c r="C22" s="1617">
        <f t="shared" si="29"/>
        <v>257.80556031626975</v>
      </c>
      <c r="D22" s="1617">
        <f t="shared" si="24"/>
        <v>257.80556031626975</v>
      </c>
      <c r="E22" s="1617">
        <f t="shared" si="30"/>
        <v>422.70928459677179</v>
      </c>
      <c r="F22" s="1617">
        <f t="shared" si="30"/>
        <v>229.73803270336617</v>
      </c>
      <c r="G22" s="1874"/>
      <c r="H22" s="1618">
        <v>1</v>
      </c>
      <c r="I22" s="1618">
        <v>2.97</v>
      </c>
      <c r="J22" s="1618">
        <v>2.34</v>
      </c>
      <c r="K22" s="1618">
        <v>3.28</v>
      </c>
      <c r="L22" s="1619">
        <v>1.36</v>
      </c>
      <c r="N22" s="1666">
        <f t="shared" si="26"/>
        <v>2.9700000000000001E-2</v>
      </c>
      <c r="O22" s="1621">
        <f t="shared" si="22"/>
        <v>2.3399999999999997E-2</v>
      </c>
      <c r="P22" s="1621">
        <f t="shared" si="22"/>
        <v>3.2799999999999996E-2</v>
      </c>
      <c r="Q22" s="1621">
        <f t="shared" si="22"/>
        <v>1.3600000000000001E-2</v>
      </c>
      <c r="R22" s="1622"/>
      <c r="S22" s="1674">
        <f>B22/B23-1</f>
        <v>2.7910129219355539E-2</v>
      </c>
      <c r="T22" s="1623">
        <f>C22/C23-1</f>
        <v>2.3037937762975247E-2</v>
      </c>
      <c r="U22" s="1623">
        <f>E22/E23-1</f>
        <v>3.3519033243940788E-2</v>
      </c>
      <c r="V22" s="1623">
        <f>F22/F23-1</f>
        <v>1.2061818076502862E-2</v>
      </c>
      <c r="AC22" s="1624"/>
      <c r="AD22" s="1624"/>
      <c r="AE22" s="1624"/>
      <c r="AF22" s="1624"/>
    </row>
    <row r="23" spans="1:32" ht="13.5" thickBot="1">
      <c r="A23" s="1551" t="s">
        <v>1662</v>
      </c>
      <c r="B23" s="1556">
        <v>299</v>
      </c>
      <c r="C23" s="1556">
        <v>252</v>
      </c>
      <c r="D23" s="1556">
        <f t="shared" si="24"/>
        <v>252</v>
      </c>
      <c r="E23" s="1556">
        <v>409</v>
      </c>
      <c r="F23" s="1655">
        <v>227</v>
      </c>
      <c r="G23" s="1876">
        <v>2013</v>
      </c>
      <c r="H23" s="1575">
        <v>4</v>
      </c>
      <c r="I23" s="1575">
        <v>1.83</v>
      </c>
      <c r="J23" s="1575">
        <v>1.68</v>
      </c>
      <c r="K23" s="1575">
        <v>1.97</v>
      </c>
      <c r="L23" s="1576">
        <v>0.87</v>
      </c>
      <c r="N23" s="1664">
        <f t="shared" si="26"/>
        <v>1.83E-2</v>
      </c>
      <c r="O23" s="1568">
        <f t="shared" si="22"/>
        <v>1.6799999999999999E-2</v>
      </c>
      <c r="P23" s="1568">
        <f t="shared" si="22"/>
        <v>1.9699999999999999E-2</v>
      </c>
      <c r="Q23" s="1568">
        <f t="shared" si="22"/>
        <v>8.6999999999999994E-3</v>
      </c>
      <c r="R23" s="1559"/>
      <c r="S23" s="1673"/>
      <c r="T23" s="1560"/>
      <c r="U23" s="1560"/>
      <c r="V23" s="1560"/>
      <c r="AC23" s="1560"/>
      <c r="AD23" s="1560"/>
      <c r="AE23" s="1560"/>
      <c r="AF23" s="1560"/>
    </row>
    <row r="24" spans="1:32">
      <c r="A24" s="1551" t="s">
        <v>1663</v>
      </c>
      <c r="B24" s="1561">
        <f t="shared" ref="B24:C26" si="31">B23/(1+N23)</f>
        <v>293.62663262299913</v>
      </c>
      <c r="C24" s="1561">
        <f t="shared" si="31"/>
        <v>247.83634933123525</v>
      </c>
      <c r="D24" s="1561">
        <f t="shared" si="24"/>
        <v>247.83634933123525</v>
      </c>
      <c r="E24" s="1561">
        <f t="shared" ref="E24:F26" si="32">E23/(1+P23)</f>
        <v>401.09836226341076</v>
      </c>
      <c r="F24" s="1561">
        <f t="shared" si="32"/>
        <v>225.04213343908003</v>
      </c>
      <c r="G24" s="1877"/>
      <c r="H24" s="1569">
        <v>3</v>
      </c>
      <c r="I24" s="1569">
        <v>1.86</v>
      </c>
      <c r="J24" s="1569">
        <v>1.72</v>
      </c>
      <c r="K24" s="1569">
        <v>1.98</v>
      </c>
      <c r="L24" s="1570">
        <v>0.88</v>
      </c>
      <c r="N24" s="1663">
        <f t="shared" si="26"/>
        <v>1.8600000000000002E-2</v>
      </c>
      <c r="O24" s="1571">
        <f t="shared" si="22"/>
        <v>1.72E-2</v>
      </c>
      <c r="P24" s="1571">
        <f t="shared" si="22"/>
        <v>1.9799999999999998E-2</v>
      </c>
      <c r="Q24" s="1571">
        <f t="shared" si="22"/>
        <v>8.8000000000000005E-3</v>
      </c>
      <c r="R24" s="1559"/>
      <c r="S24" s="1663"/>
      <c r="T24" s="1558"/>
      <c r="U24" s="1558"/>
      <c r="V24" s="1558"/>
    </row>
    <row r="25" spans="1:32">
      <c r="A25" s="1551" t="s">
        <v>1664</v>
      </c>
      <c r="B25" s="1561">
        <f t="shared" si="31"/>
        <v>288.2649053828776</v>
      </c>
      <c r="C25" s="1561">
        <f t="shared" si="31"/>
        <v>243.64564425013293</v>
      </c>
      <c r="D25" s="1561">
        <f t="shared" si="24"/>
        <v>243.64564425013293</v>
      </c>
      <c r="E25" s="1561">
        <f t="shared" si="32"/>
        <v>393.31080825986544</v>
      </c>
      <c r="F25" s="1561">
        <f t="shared" si="32"/>
        <v>223.07903790551154</v>
      </c>
      <c r="G25" s="1877"/>
      <c r="H25" s="1555">
        <v>2</v>
      </c>
      <c r="I25" s="1555">
        <v>2.04</v>
      </c>
      <c r="J25" s="1555">
        <v>2.33</v>
      </c>
      <c r="K25" s="1555">
        <v>2.0699999999999998</v>
      </c>
      <c r="L25" s="1563">
        <v>0.69</v>
      </c>
      <c r="N25" s="1663">
        <f t="shared" si="26"/>
        <v>2.0400000000000001E-2</v>
      </c>
      <c r="O25" s="1571">
        <f t="shared" si="22"/>
        <v>2.3300000000000001E-2</v>
      </c>
      <c r="P25" s="1571">
        <f t="shared" si="22"/>
        <v>2.07E-2</v>
      </c>
      <c r="Q25" s="1571">
        <f t="shared" si="22"/>
        <v>6.8999999999999999E-3</v>
      </c>
      <c r="R25" s="1559"/>
      <c r="S25" s="1663"/>
      <c r="T25" s="1558"/>
      <c r="U25" s="1558"/>
      <c r="V25" s="1558"/>
    </row>
    <row r="26" spans="1:32">
      <c r="A26" s="1551" t="s">
        <v>1665</v>
      </c>
      <c r="B26" s="1561">
        <f t="shared" si="31"/>
        <v>282.50186729015837</v>
      </c>
      <c r="C26" s="1561">
        <f t="shared" si="31"/>
        <v>238.09796174155468</v>
      </c>
      <c r="D26" s="1561">
        <f t="shared" si="24"/>
        <v>238.09796174155468</v>
      </c>
      <c r="E26" s="1561">
        <f t="shared" si="32"/>
        <v>385.33438646014054</v>
      </c>
      <c r="F26" s="1561">
        <f t="shared" si="32"/>
        <v>221.55034055567739</v>
      </c>
      <c r="G26" s="1878"/>
      <c r="H26" s="1554">
        <v>1</v>
      </c>
      <c r="I26" s="1554">
        <v>1.67</v>
      </c>
      <c r="J26" s="1554">
        <v>1.31</v>
      </c>
      <c r="K26" s="1554">
        <v>1.85</v>
      </c>
      <c r="L26" s="1562">
        <v>0.96</v>
      </c>
      <c r="N26" s="1665">
        <f t="shared" si="26"/>
        <v>1.67E-2</v>
      </c>
      <c r="O26" s="1564">
        <f t="shared" si="22"/>
        <v>1.3100000000000001E-2</v>
      </c>
      <c r="P26" s="1564">
        <f t="shared" si="22"/>
        <v>1.8500000000000003E-2</v>
      </c>
      <c r="Q26" s="1564">
        <f t="shared" si="22"/>
        <v>9.5999999999999992E-3</v>
      </c>
      <c r="R26" s="1559"/>
      <c r="S26" s="1665">
        <f>B26/B27-1</f>
        <v>1.6193767230785472E-2</v>
      </c>
      <c r="T26" s="1564">
        <f>C26/C27-1</f>
        <v>1.7512657015190891E-2</v>
      </c>
      <c r="U26" s="1564">
        <f>E26/E27-1</f>
        <v>1.6713420739157048E-2</v>
      </c>
      <c r="V26" s="1564">
        <f>F26/F27-1</f>
        <v>7.0470025258062563E-3</v>
      </c>
      <c r="AC26" s="1565"/>
      <c r="AD26" s="1565"/>
      <c r="AE26" s="1565"/>
      <c r="AF26" s="1565"/>
    </row>
    <row r="27" spans="1:32" ht="13.5" thickBot="1">
      <c r="A27" s="1551" t="s">
        <v>1666</v>
      </c>
      <c r="B27" s="1577">
        <v>278</v>
      </c>
      <c r="C27" s="1577">
        <v>234</v>
      </c>
      <c r="D27" s="1577">
        <f t="shared" si="24"/>
        <v>234</v>
      </c>
      <c r="E27" s="1577">
        <v>379</v>
      </c>
      <c r="F27" s="1657">
        <v>220</v>
      </c>
      <c r="G27" s="1872">
        <v>2012</v>
      </c>
      <c r="H27" s="1566">
        <v>4</v>
      </c>
      <c r="I27" s="1566">
        <v>0.91</v>
      </c>
      <c r="J27" s="1566">
        <v>0.68</v>
      </c>
      <c r="K27" s="1566">
        <v>0.98</v>
      </c>
      <c r="L27" s="1567">
        <v>0.9</v>
      </c>
      <c r="N27" s="1663">
        <f t="shared" si="26"/>
        <v>9.1000000000000004E-3</v>
      </c>
      <c r="O27" s="1558">
        <f t="shared" si="26"/>
        <v>6.8000000000000005E-3</v>
      </c>
      <c r="P27" s="1558">
        <f t="shared" si="26"/>
        <v>9.7999999999999997E-3</v>
      </c>
      <c r="Q27" s="1558">
        <f t="shared" si="26"/>
        <v>9.0000000000000011E-3</v>
      </c>
      <c r="R27" s="1559"/>
      <c r="S27" s="1673"/>
      <c r="T27" s="1560"/>
      <c r="U27" s="1560"/>
      <c r="V27" s="1560"/>
      <c r="AC27" s="1560"/>
      <c r="AD27" s="1560"/>
      <c r="AE27" s="1560"/>
      <c r="AF27" s="1560"/>
    </row>
    <row r="28" spans="1:32">
      <c r="A28" s="1551" t="s">
        <v>1667</v>
      </c>
      <c r="B28" s="1561">
        <f>B27/(1+N27)</f>
        <v>275.49301357645425</v>
      </c>
      <c r="C28" s="1561">
        <f>C27/(1+O27)</f>
        <v>232.41954707985698</v>
      </c>
      <c r="D28" s="1561">
        <f t="shared" si="24"/>
        <v>232.41954707985698</v>
      </c>
      <c r="E28" s="1561">
        <f t="shared" ref="E28:F30" si="33">E27/(1+P27)</f>
        <v>375.32184591008121</v>
      </c>
      <c r="F28" s="1561">
        <f t="shared" si="33"/>
        <v>218.03766105054513</v>
      </c>
      <c r="G28" s="1873"/>
      <c r="H28" s="1569">
        <v>3</v>
      </c>
      <c r="I28" s="1569">
        <v>0.09</v>
      </c>
      <c r="J28" s="1569">
        <v>0.28999999999999998</v>
      </c>
      <c r="K28" s="1569">
        <v>-0.01</v>
      </c>
      <c r="L28" s="1570">
        <v>0.57999999999999996</v>
      </c>
      <c r="N28" s="1663">
        <f t="shared" si="26"/>
        <v>8.9999999999999998E-4</v>
      </c>
      <c r="O28" s="1558">
        <f t="shared" si="26"/>
        <v>2.8999999999999998E-3</v>
      </c>
      <c r="P28" s="1558">
        <f t="shared" si="26"/>
        <v>-1E-4</v>
      </c>
      <c r="Q28" s="1558">
        <f t="shared" si="26"/>
        <v>5.7999999999999996E-3</v>
      </c>
      <c r="R28" s="1559"/>
      <c r="S28" s="1663"/>
      <c r="T28" s="1558"/>
      <c r="U28" s="1558"/>
      <c r="V28" s="1558"/>
    </row>
    <row r="29" spans="1:32">
      <c r="A29" s="1551" t="s">
        <v>1668</v>
      </c>
      <c r="B29" s="1561">
        <f>B28/(1+N28)</f>
        <v>275.24529281292263</v>
      </c>
      <c r="C29" s="1561">
        <f>C28/(1+O28)</f>
        <v>231.74747938962707</v>
      </c>
      <c r="D29" s="1561">
        <f t="shared" si="24"/>
        <v>231.74747938962707</v>
      </c>
      <c r="E29" s="1561">
        <f t="shared" si="33"/>
        <v>375.35938184826603</v>
      </c>
      <c r="F29" s="1561">
        <f t="shared" si="33"/>
        <v>216.78033510692495</v>
      </c>
      <c r="G29" s="1873"/>
      <c r="H29" s="1555">
        <v>2</v>
      </c>
      <c r="I29" s="1555">
        <v>0.02</v>
      </c>
      <c r="J29" s="1555">
        <v>0.12</v>
      </c>
      <c r="K29" s="1555">
        <v>-0.08</v>
      </c>
      <c r="L29" s="1563">
        <v>1.24</v>
      </c>
      <c r="N29" s="1663">
        <f t="shared" si="26"/>
        <v>2.0000000000000001E-4</v>
      </c>
      <c r="O29" s="1558">
        <f t="shared" si="26"/>
        <v>1.1999999999999999E-3</v>
      </c>
      <c r="P29" s="1558">
        <f t="shared" si="26"/>
        <v>-8.0000000000000004E-4</v>
      </c>
      <c r="Q29" s="1558">
        <f t="shared" si="26"/>
        <v>1.24E-2</v>
      </c>
      <c r="R29" s="1559"/>
      <c r="S29" s="1663"/>
      <c r="T29" s="1558"/>
      <c r="U29" s="1558"/>
      <c r="V29" s="1558"/>
    </row>
    <row r="30" spans="1:32" ht="13.5" thickBot="1">
      <c r="A30" s="1551" t="s">
        <v>1669</v>
      </c>
      <c r="B30" s="1561">
        <f>B29/(1+N29)</f>
        <v>275.19025476197027</v>
      </c>
      <c r="C30" s="1578">
        <v>232</v>
      </c>
      <c r="D30" s="1578">
        <f t="shared" si="24"/>
        <v>232</v>
      </c>
      <c r="E30" s="1561">
        <f t="shared" si="33"/>
        <v>375.65990977608692</v>
      </c>
      <c r="F30" s="1561">
        <f t="shared" si="33"/>
        <v>214.12518283971252</v>
      </c>
      <c r="G30" s="1874"/>
      <c r="H30" s="1554">
        <v>1</v>
      </c>
      <c r="I30" s="1554">
        <v>0.02</v>
      </c>
      <c r="J30" s="1554">
        <v>0.13</v>
      </c>
      <c r="K30" s="1554">
        <v>-0.04</v>
      </c>
      <c r="L30" s="1562">
        <v>0.46</v>
      </c>
      <c r="N30" s="1663">
        <f t="shared" si="26"/>
        <v>2.0000000000000001E-4</v>
      </c>
      <c r="O30" s="1558">
        <f t="shared" si="26"/>
        <v>1.2999999999999999E-3</v>
      </c>
      <c r="P30" s="1558">
        <f t="shared" si="26"/>
        <v>-4.0000000000000002E-4</v>
      </c>
      <c r="Q30" s="1558">
        <f t="shared" si="26"/>
        <v>4.5999999999999999E-3</v>
      </c>
      <c r="R30" s="1559"/>
      <c r="S30" s="1665">
        <f>B30/B31-1</f>
        <v>6.9183549807361189E-4</v>
      </c>
      <c r="T30" s="1564">
        <f>C30/C31-1</f>
        <v>0</v>
      </c>
      <c r="U30" s="1564">
        <f>E30/E31-1</f>
        <v>-9.0449527636460303E-4</v>
      </c>
      <c r="V30" s="1564">
        <f>F30/F31-1</f>
        <v>5.2825485432512753E-3</v>
      </c>
      <c r="AC30" s="1565"/>
      <c r="AD30" s="1565"/>
      <c r="AE30" s="1565"/>
      <c r="AF30" s="1565"/>
    </row>
    <row r="31" spans="1:32" ht="13.5" thickBot="1">
      <c r="A31" s="1551" t="s">
        <v>1670</v>
      </c>
      <c r="B31" s="1556">
        <v>275</v>
      </c>
      <c r="C31" s="1556">
        <v>232</v>
      </c>
      <c r="D31" s="1556">
        <f t="shared" si="24"/>
        <v>232</v>
      </c>
      <c r="E31" s="1556">
        <v>376</v>
      </c>
      <c r="F31" s="1655">
        <v>213</v>
      </c>
      <c r="G31" s="1872">
        <v>2011</v>
      </c>
      <c r="H31" s="1566">
        <v>4</v>
      </c>
      <c r="I31" s="1566">
        <v>-0.2</v>
      </c>
      <c r="J31" s="1566">
        <v>0.04</v>
      </c>
      <c r="K31" s="1566">
        <v>-0.34</v>
      </c>
      <c r="L31" s="1567">
        <v>0.46</v>
      </c>
      <c r="N31" s="1664">
        <f t="shared" si="26"/>
        <v>-2E-3</v>
      </c>
      <c r="O31" s="1568">
        <f t="shared" si="26"/>
        <v>4.0000000000000002E-4</v>
      </c>
      <c r="P31" s="1568">
        <f t="shared" si="26"/>
        <v>-3.4000000000000002E-3</v>
      </c>
      <c r="Q31" s="1568">
        <f t="shared" si="26"/>
        <v>4.5999999999999999E-3</v>
      </c>
      <c r="R31" s="1559"/>
      <c r="S31" s="1673"/>
      <c r="T31" s="1560"/>
      <c r="U31" s="1560"/>
      <c r="V31" s="1560"/>
      <c r="AC31" s="1560"/>
      <c r="AD31" s="1560"/>
      <c r="AE31" s="1560"/>
      <c r="AF31" s="1560"/>
    </row>
    <row r="32" spans="1:32">
      <c r="A32" s="1551" t="s">
        <v>1671</v>
      </c>
      <c r="B32" s="1561">
        <f t="shared" ref="B32:C34" si="34">B31/(1+N31)</f>
        <v>275.55110220440883</v>
      </c>
      <c r="C32" s="1561">
        <f t="shared" si="34"/>
        <v>231.90723710515795</v>
      </c>
      <c r="D32" s="1561">
        <f t="shared" si="24"/>
        <v>231.90723710515795</v>
      </c>
      <c r="E32" s="1561">
        <f t="shared" ref="E32:F34" si="35">E31/(1+P31)</f>
        <v>377.28276138872161</v>
      </c>
      <c r="F32" s="1561">
        <f t="shared" si="35"/>
        <v>212.02468644236512</v>
      </c>
      <c r="G32" s="1873">
        <v>2011</v>
      </c>
      <c r="H32" s="1569">
        <v>3</v>
      </c>
      <c r="I32" s="1569">
        <v>0.13</v>
      </c>
      <c r="J32" s="1569">
        <v>0.75</v>
      </c>
      <c r="K32" s="1569">
        <v>-0.08</v>
      </c>
      <c r="L32" s="1570">
        <v>0.53</v>
      </c>
      <c r="N32" s="1663">
        <f t="shared" si="26"/>
        <v>1.2999999999999999E-3</v>
      </c>
      <c r="O32" s="1571">
        <f t="shared" si="26"/>
        <v>7.4999999999999997E-3</v>
      </c>
      <c r="P32" s="1571">
        <f t="shared" si="26"/>
        <v>-8.0000000000000004E-4</v>
      </c>
      <c r="Q32" s="1571">
        <f t="shared" si="26"/>
        <v>5.3E-3</v>
      </c>
      <c r="R32" s="1559"/>
      <c r="S32" s="1663"/>
      <c r="T32" s="1558"/>
      <c r="U32" s="1558"/>
      <c r="V32" s="1558"/>
    </row>
    <row r="33" spans="1:32">
      <c r="A33" s="1551" t="s">
        <v>1672</v>
      </c>
      <c r="B33" s="1561">
        <f t="shared" si="34"/>
        <v>275.19335084830601</v>
      </c>
      <c r="C33" s="1561">
        <f t="shared" si="34"/>
        <v>230.18088050139744</v>
      </c>
      <c r="D33" s="1561">
        <f t="shared" si="24"/>
        <v>230.18088050139744</v>
      </c>
      <c r="E33" s="1561">
        <f t="shared" si="35"/>
        <v>377.58482925212331</v>
      </c>
      <c r="F33" s="1561">
        <f t="shared" si="35"/>
        <v>210.90687997847917</v>
      </c>
      <c r="G33" s="1873">
        <v>2011</v>
      </c>
      <c r="H33" s="1555">
        <v>2</v>
      </c>
      <c r="I33" s="1555">
        <v>-0.4</v>
      </c>
      <c r="J33" s="1555">
        <v>0.17</v>
      </c>
      <c r="K33" s="1555">
        <v>-0.57999999999999996</v>
      </c>
      <c r="L33" s="1563">
        <v>-0.2</v>
      </c>
      <c r="N33" s="1663">
        <f t="shared" si="26"/>
        <v>-4.0000000000000001E-3</v>
      </c>
      <c r="O33" s="1571">
        <f t="shared" si="26"/>
        <v>1.7000000000000001E-3</v>
      </c>
      <c r="P33" s="1571">
        <f t="shared" si="26"/>
        <v>-5.7999999999999996E-3</v>
      </c>
      <c r="Q33" s="1571">
        <f t="shared" si="26"/>
        <v>-2E-3</v>
      </c>
      <c r="R33" s="1559"/>
      <c r="S33" s="1663"/>
      <c r="T33" s="1558"/>
      <c r="U33" s="1558"/>
      <c r="V33" s="1558"/>
    </row>
    <row r="34" spans="1:32" ht="13.5" thickBot="1">
      <c r="A34" s="1551" t="s">
        <v>1673</v>
      </c>
      <c r="B34" s="1561">
        <f t="shared" si="34"/>
        <v>276.29854502841971</v>
      </c>
      <c r="C34" s="1561">
        <f t="shared" si="34"/>
        <v>229.79023709833027</v>
      </c>
      <c r="D34" s="1561">
        <f t="shared" si="24"/>
        <v>229.79023709833027</v>
      </c>
      <c r="E34" s="1561">
        <f t="shared" si="35"/>
        <v>379.78759731655936</v>
      </c>
      <c r="F34" s="1561">
        <f t="shared" si="35"/>
        <v>211.32953905659235</v>
      </c>
      <c r="G34" s="1874">
        <v>2011</v>
      </c>
      <c r="H34" s="1554">
        <v>1</v>
      </c>
      <c r="I34" s="1554">
        <v>2.65</v>
      </c>
      <c r="J34" s="1554">
        <v>3.76</v>
      </c>
      <c r="K34" s="1554">
        <v>1.89</v>
      </c>
      <c r="L34" s="1562">
        <v>7.95</v>
      </c>
      <c r="N34" s="1665">
        <f t="shared" si="26"/>
        <v>2.6499999999999999E-2</v>
      </c>
      <c r="O34" s="1564">
        <f t="shared" si="26"/>
        <v>3.7599999999999995E-2</v>
      </c>
      <c r="P34" s="1564">
        <f t="shared" si="26"/>
        <v>1.89E-2</v>
      </c>
      <c r="Q34" s="1564">
        <f t="shared" si="26"/>
        <v>7.9500000000000001E-2</v>
      </c>
      <c r="R34" s="1559"/>
      <c r="S34" s="1665">
        <f>B34/B35-1</f>
        <v>2.713213765211786E-2</v>
      </c>
      <c r="T34" s="1564">
        <f>C34/C35-1</f>
        <v>3.9774828499231862E-2</v>
      </c>
      <c r="U34" s="1564">
        <f>E34/E35-1</f>
        <v>1.8197311840641772E-2</v>
      </c>
      <c r="V34" s="1564">
        <f>F34/F35-1</f>
        <v>7.8211933962205826E-2</v>
      </c>
      <c r="AC34" s="1565"/>
      <c r="AD34" s="1565"/>
      <c r="AE34" s="1565"/>
      <c r="AF34" s="1565"/>
    </row>
    <row r="35" spans="1:32" ht="13.5" thickBot="1">
      <c r="A35" s="1551" t="s">
        <v>1674</v>
      </c>
      <c r="B35" s="1556">
        <v>269</v>
      </c>
      <c r="C35" s="1556">
        <v>221</v>
      </c>
      <c r="D35" s="1556">
        <f t="shared" si="24"/>
        <v>221</v>
      </c>
      <c r="E35" s="1556">
        <v>373</v>
      </c>
      <c r="F35" s="1655">
        <v>196</v>
      </c>
      <c r="G35" s="1872">
        <v>2010</v>
      </c>
      <c r="H35" s="1566">
        <v>4</v>
      </c>
      <c r="I35" s="1566">
        <v>5.72</v>
      </c>
      <c r="J35" s="1566">
        <v>6.57</v>
      </c>
      <c r="K35" s="1566">
        <v>5.72</v>
      </c>
      <c r="L35" s="1567">
        <v>2.72</v>
      </c>
      <c r="N35" s="1663">
        <f t="shared" si="26"/>
        <v>5.7200000000000001E-2</v>
      </c>
      <c r="O35" s="1558">
        <f t="shared" si="26"/>
        <v>6.5700000000000008E-2</v>
      </c>
      <c r="P35" s="1558">
        <f t="shared" si="26"/>
        <v>5.7200000000000001E-2</v>
      </c>
      <c r="Q35" s="1558">
        <f t="shared" si="26"/>
        <v>2.7200000000000002E-2</v>
      </c>
      <c r="R35" s="1559"/>
      <c r="S35" s="1673"/>
      <c r="T35" s="1560"/>
      <c r="U35" s="1560"/>
      <c r="V35" s="1560"/>
      <c r="AC35" s="1560"/>
      <c r="AD35" s="1560"/>
      <c r="AE35" s="1560"/>
      <c r="AF35" s="1560"/>
    </row>
    <row r="36" spans="1:32">
      <c r="A36" s="1551" t="s">
        <v>1675</v>
      </c>
      <c r="B36" s="1561">
        <f t="shared" ref="B36:C38" si="36">B35/(1+N35)</f>
        <v>254.44570563753314</v>
      </c>
      <c r="C36" s="1561">
        <f t="shared" si="36"/>
        <v>207.37543398705074</v>
      </c>
      <c r="D36" s="1561">
        <f t="shared" si="24"/>
        <v>207.37543398705074</v>
      </c>
      <c r="E36" s="1561">
        <f t="shared" ref="E36:F38" si="37">E35/(1+P35)</f>
        <v>352.81876655315932</v>
      </c>
      <c r="F36" s="1561">
        <f t="shared" si="37"/>
        <v>190.809968847352</v>
      </c>
      <c r="G36" s="1873">
        <v>2010</v>
      </c>
      <c r="H36" s="1569">
        <v>3</v>
      </c>
      <c r="I36" s="1569">
        <v>4.7300000000000004</v>
      </c>
      <c r="J36" s="1569">
        <v>3.9</v>
      </c>
      <c r="K36" s="1569">
        <v>5.03</v>
      </c>
      <c r="L36" s="1570">
        <v>4.21</v>
      </c>
      <c r="N36" s="1663">
        <f t="shared" si="26"/>
        <v>4.7300000000000002E-2</v>
      </c>
      <c r="O36" s="1558">
        <f t="shared" si="26"/>
        <v>3.9E-2</v>
      </c>
      <c r="P36" s="1558">
        <f t="shared" si="26"/>
        <v>5.0300000000000004E-2</v>
      </c>
      <c r="Q36" s="1558">
        <f t="shared" si="26"/>
        <v>4.2099999999999999E-2</v>
      </c>
      <c r="R36" s="1559"/>
      <c r="S36" s="1663"/>
      <c r="T36" s="1558"/>
      <c r="U36" s="1558"/>
      <c r="V36" s="1558"/>
    </row>
    <row r="37" spans="1:32">
      <c r="A37" s="1551" t="s">
        <v>1676</v>
      </c>
      <c r="B37" s="1561">
        <f t="shared" si="36"/>
        <v>242.95398227588385</v>
      </c>
      <c r="C37" s="1561">
        <f t="shared" si="36"/>
        <v>199.59137053614126</v>
      </c>
      <c r="D37" s="1561">
        <f t="shared" si="24"/>
        <v>199.59137053614126</v>
      </c>
      <c r="E37" s="1561">
        <f t="shared" si="37"/>
        <v>335.92189522342125</v>
      </c>
      <c r="F37" s="1561">
        <f t="shared" si="37"/>
        <v>183.10139991109489</v>
      </c>
      <c r="G37" s="1873">
        <v>2010</v>
      </c>
      <c r="H37" s="1555">
        <v>2</v>
      </c>
      <c r="I37" s="1555">
        <v>4.6900000000000004</v>
      </c>
      <c r="J37" s="1555">
        <v>3.55</v>
      </c>
      <c r="K37" s="1555">
        <v>5.07</v>
      </c>
      <c r="L37" s="1563">
        <v>4.2300000000000004</v>
      </c>
      <c r="N37" s="1663">
        <f t="shared" si="26"/>
        <v>4.6900000000000004E-2</v>
      </c>
      <c r="O37" s="1558">
        <f t="shared" si="26"/>
        <v>3.5499999999999997E-2</v>
      </c>
      <c r="P37" s="1558">
        <f t="shared" si="26"/>
        <v>5.0700000000000002E-2</v>
      </c>
      <c r="Q37" s="1558">
        <f t="shared" si="26"/>
        <v>4.2300000000000004E-2</v>
      </c>
      <c r="R37" s="1559"/>
      <c r="S37" s="1663"/>
      <c r="T37" s="1558"/>
      <c r="U37" s="1558"/>
      <c r="V37" s="1558"/>
    </row>
    <row r="38" spans="1:32" ht="13.5" thickBot="1">
      <c r="A38" s="1551" t="s">
        <v>1677</v>
      </c>
      <c r="B38" s="1561">
        <f t="shared" si="36"/>
        <v>232.06990378821649</v>
      </c>
      <c r="C38" s="1561">
        <f t="shared" si="36"/>
        <v>192.74878854286936</v>
      </c>
      <c r="D38" s="1561">
        <f t="shared" si="24"/>
        <v>192.74878854286936</v>
      </c>
      <c r="E38" s="1561">
        <f t="shared" si="37"/>
        <v>319.71247284992984</v>
      </c>
      <c r="F38" s="1561">
        <f t="shared" si="37"/>
        <v>175.67053622862409</v>
      </c>
      <c r="G38" s="1874">
        <v>2010</v>
      </c>
      <c r="H38" s="1554">
        <v>1</v>
      </c>
      <c r="I38" s="1554">
        <v>5.4</v>
      </c>
      <c r="J38" s="1554">
        <v>3.2</v>
      </c>
      <c r="K38" s="1554">
        <v>6.16</v>
      </c>
      <c r="L38" s="1562">
        <v>4.51</v>
      </c>
      <c r="N38" s="1663">
        <f t="shared" si="26"/>
        <v>5.4000000000000006E-2</v>
      </c>
      <c r="O38" s="1558">
        <f t="shared" si="26"/>
        <v>3.2000000000000001E-2</v>
      </c>
      <c r="P38" s="1558">
        <f t="shared" si="26"/>
        <v>6.1600000000000002E-2</v>
      </c>
      <c r="Q38" s="1558">
        <f t="shared" si="26"/>
        <v>4.5100000000000001E-2</v>
      </c>
      <c r="R38" s="1559"/>
      <c r="S38" s="1665">
        <f>B38/B39-1</f>
        <v>5.4863199037347599E-2</v>
      </c>
      <c r="T38" s="1564">
        <f>C38/C39-1</f>
        <v>3.0742184721226584E-2</v>
      </c>
      <c r="U38" s="1564">
        <f>E38/E39-1</f>
        <v>6.2167683886810154E-2</v>
      </c>
      <c r="V38" s="1564">
        <f>F38/F39-1</f>
        <v>4.5657953741810031E-2</v>
      </c>
      <c r="AC38" s="1565"/>
      <c r="AD38" s="1565"/>
      <c r="AE38" s="1565"/>
      <c r="AF38" s="1565"/>
    </row>
    <row r="39" spans="1:32" ht="13.5" thickBot="1">
      <c r="A39" s="1551" t="s">
        <v>1678</v>
      </c>
      <c r="B39" s="1556">
        <v>220</v>
      </c>
      <c r="C39" s="1556">
        <v>187</v>
      </c>
      <c r="D39" s="1556">
        <f t="shared" si="24"/>
        <v>187</v>
      </c>
      <c r="E39" s="1556">
        <v>301</v>
      </c>
      <c r="F39" s="1655">
        <v>168</v>
      </c>
      <c r="G39" s="1872">
        <v>2009</v>
      </c>
      <c r="H39" s="1566">
        <v>4</v>
      </c>
      <c r="I39" s="1566">
        <v>2.2999999999999998</v>
      </c>
      <c r="J39" s="1566">
        <v>1.04</v>
      </c>
      <c r="K39" s="1566">
        <v>2.84</v>
      </c>
      <c r="L39" s="1567">
        <v>0.67</v>
      </c>
      <c r="N39" s="1664">
        <f t="shared" si="26"/>
        <v>2.3E-2</v>
      </c>
      <c r="O39" s="1568">
        <f t="shared" si="26"/>
        <v>1.04E-2</v>
      </c>
      <c r="P39" s="1568">
        <f t="shared" si="26"/>
        <v>2.8399999999999998E-2</v>
      </c>
      <c r="Q39" s="1568">
        <f t="shared" si="26"/>
        <v>6.7000000000000002E-3</v>
      </c>
      <c r="R39" s="1559"/>
      <c r="S39" s="1673"/>
      <c r="T39" s="1560"/>
      <c r="U39" s="1560"/>
      <c r="V39" s="1560"/>
      <c r="AC39" s="1560"/>
      <c r="AD39" s="1560"/>
      <c r="AE39" s="1560"/>
      <c r="AF39" s="1560"/>
    </row>
    <row r="40" spans="1:32">
      <c r="A40" s="1551" t="s">
        <v>1679</v>
      </c>
      <c r="B40" s="1561">
        <f t="shared" ref="B40:C42" si="38">B39/(1+N39)</f>
        <v>215.05376344086022</v>
      </c>
      <c r="C40" s="1561">
        <f t="shared" si="38"/>
        <v>185.0752177355503</v>
      </c>
      <c r="D40" s="1561">
        <f t="shared" si="24"/>
        <v>185.0752177355503</v>
      </c>
      <c r="E40" s="1561">
        <f t="shared" ref="E40:F42" si="39">E39/(1+P39)</f>
        <v>292.68767016725008</v>
      </c>
      <c r="F40" s="1561">
        <f t="shared" si="39"/>
        <v>166.88189132810174</v>
      </c>
      <c r="G40" s="1873">
        <v>2009</v>
      </c>
      <c r="H40" s="1569">
        <v>3</v>
      </c>
      <c r="I40" s="1569">
        <v>2.1</v>
      </c>
      <c r="J40" s="1569">
        <v>1.86</v>
      </c>
      <c r="K40" s="1569">
        <v>2.29</v>
      </c>
      <c r="L40" s="1570">
        <v>0.85</v>
      </c>
      <c r="N40" s="1663">
        <f t="shared" si="26"/>
        <v>2.1000000000000001E-2</v>
      </c>
      <c r="O40" s="1571">
        <f t="shared" si="26"/>
        <v>1.8600000000000002E-2</v>
      </c>
      <c r="P40" s="1571">
        <f t="shared" si="26"/>
        <v>2.29E-2</v>
      </c>
      <c r="Q40" s="1571">
        <f t="shared" si="26"/>
        <v>8.5000000000000006E-3</v>
      </c>
      <c r="R40" s="1559"/>
      <c r="S40" s="1663"/>
      <c r="T40" s="1558"/>
      <c r="U40" s="1558"/>
      <c r="V40" s="1558"/>
    </row>
    <row r="41" spans="1:32">
      <c r="A41" s="1551" t="s">
        <v>1680</v>
      </c>
      <c r="B41" s="1561">
        <f t="shared" si="38"/>
        <v>210.630522469011</v>
      </c>
      <c r="C41" s="1561">
        <f t="shared" si="38"/>
        <v>181.69567812247232</v>
      </c>
      <c r="D41" s="1561">
        <f t="shared" si="24"/>
        <v>181.69567812247232</v>
      </c>
      <c r="E41" s="1561">
        <f t="shared" si="39"/>
        <v>286.13517466736738</v>
      </c>
      <c r="F41" s="1561">
        <f t="shared" si="39"/>
        <v>165.47535084591149</v>
      </c>
      <c r="G41" s="1873">
        <v>2009</v>
      </c>
      <c r="H41" s="1555">
        <v>2</v>
      </c>
      <c r="I41" s="1555">
        <v>0.86</v>
      </c>
      <c r="J41" s="1555">
        <v>-1.1299999999999999</v>
      </c>
      <c r="K41" s="1555">
        <v>1.79</v>
      </c>
      <c r="L41" s="1563">
        <v>-2.0699999999999998</v>
      </c>
      <c r="N41" s="1663">
        <f t="shared" si="26"/>
        <v>8.6E-3</v>
      </c>
      <c r="O41" s="1571">
        <f t="shared" si="26"/>
        <v>-1.1299999999999999E-2</v>
      </c>
      <c r="P41" s="1571">
        <f t="shared" si="26"/>
        <v>1.7899999999999999E-2</v>
      </c>
      <c r="Q41" s="1571">
        <f t="shared" si="26"/>
        <v>-2.07E-2</v>
      </c>
      <c r="R41" s="1559"/>
      <c r="S41" s="1663"/>
      <c r="T41" s="1558"/>
      <c r="U41" s="1558"/>
      <c r="V41" s="1558"/>
    </row>
    <row r="42" spans="1:32">
      <c r="A42" s="1551" t="s">
        <v>1681</v>
      </c>
      <c r="B42" s="1561">
        <f t="shared" si="38"/>
        <v>208.83454537875372</v>
      </c>
      <c r="C42" s="1561">
        <f t="shared" si="38"/>
        <v>183.77230517090351</v>
      </c>
      <c r="D42" s="1561">
        <f t="shared" si="24"/>
        <v>183.77230517090351</v>
      </c>
      <c r="E42" s="1561">
        <f t="shared" si="39"/>
        <v>281.10342338870947</v>
      </c>
      <c r="F42" s="1561">
        <f t="shared" si="39"/>
        <v>168.97309388942256</v>
      </c>
      <c r="G42" s="1874">
        <v>2009</v>
      </c>
      <c r="H42" s="1554">
        <v>1</v>
      </c>
      <c r="I42" s="1554">
        <v>-2.64</v>
      </c>
      <c r="J42" s="1554">
        <v>-2.5299999999999998</v>
      </c>
      <c r="K42" s="1554">
        <v>-3.02</v>
      </c>
      <c r="L42" s="1562">
        <v>1.52</v>
      </c>
      <c r="N42" s="1665">
        <f t="shared" si="26"/>
        <v>-2.64E-2</v>
      </c>
      <c r="O42" s="1564">
        <f t="shared" si="26"/>
        <v>-2.53E-2</v>
      </c>
      <c r="P42" s="1564">
        <f t="shared" si="26"/>
        <v>-3.0200000000000001E-2</v>
      </c>
      <c r="Q42" s="1564">
        <f t="shared" si="26"/>
        <v>1.52E-2</v>
      </c>
      <c r="R42" s="1559"/>
      <c r="S42" s="1665">
        <f>B42/B43-1</f>
        <v>-2.4137638417038754E-2</v>
      </c>
      <c r="T42" s="1564">
        <f>C42/C43-1</f>
        <v>-2.248773845264096E-2</v>
      </c>
      <c r="U42" s="1564">
        <f>E42/E43-1</f>
        <v>-2.7323794502735366E-2</v>
      </c>
      <c r="V42" s="1564">
        <f>F42/F43-1</f>
        <v>1.7910204153148035E-2</v>
      </c>
      <c r="AC42" s="1565"/>
      <c r="AD42" s="1565"/>
      <c r="AE42" s="1565"/>
      <c r="AF42" s="1565"/>
    </row>
    <row r="43" spans="1:32" ht="13.5" thickBot="1">
      <c r="A43" s="1551" t="s">
        <v>1682</v>
      </c>
      <c r="B43" s="1577">
        <v>214</v>
      </c>
      <c r="C43" s="1577">
        <v>188</v>
      </c>
      <c r="D43" s="1577">
        <f t="shared" si="24"/>
        <v>188</v>
      </c>
      <c r="E43" s="1577">
        <v>289</v>
      </c>
      <c r="F43" s="1657">
        <v>166</v>
      </c>
      <c r="G43" s="1872">
        <v>2008</v>
      </c>
      <c r="H43" s="1566">
        <v>4</v>
      </c>
      <c r="I43" s="1566">
        <v>1.73</v>
      </c>
      <c r="J43" s="1566">
        <v>0.03</v>
      </c>
      <c r="K43" s="1566">
        <v>2.59</v>
      </c>
      <c r="L43" s="1567">
        <v>-1.66</v>
      </c>
      <c r="N43" s="1663">
        <f t="shared" si="26"/>
        <v>1.7299999999999999E-2</v>
      </c>
      <c r="O43" s="1558">
        <f t="shared" si="26"/>
        <v>2.9999999999999997E-4</v>
      </c>
      <c r="P43" s="1558">
        <f t="shared" si="26"/>
        <v>2.5899999999999999E-2</v>
      </c>
      <c r="Q43" s="1558">
        <f t="shared" si="26"/>
        <v>-1.66E-2</v>
      </c>
      <c r="R43" s="1559"/>
      <c r="S43" s="1673"/>
      <c r="T43" s="1560"/>
      <c r="U43" s="1560"/>
      <c r="V43" s="1560"/>
      <c r="AC43" s="1560"/>
      <c r="AD43" s="1560"/>
      <c r="AE43" s="1560"/>
      <c r="AF43" s="1560"/>
    </row>
    <row r="44" spans="1:32">
      <c r="A44" s="1551" t="s">
        <v>1683</v>
      </c>
      <c r="B44" s="1561">
        <f t="shared" ref="B44:C46" si="40">B43/(1+N43)</f>
        <v>210.36075887152265</v>
      </c>
      <c r="C44" s="1561">
        <f t="shared" si="40"/>
        <v>187.94361691492554</v>
      </c>
      <c r="D44" s="1561">
        <f t="shared" si="24"/>
        <v>187.94361691492554</v>
      </c>
      <c r="E44" s="1561">
        <f t="shared" ref="E44:F46" si="41">E43/(1+P43)</f>
        <v>281.70386977288234</v>
      </c>
      <c r="F44" s="1561">
        <f t="shared" si="41"/>
        <v>168.80211511083994</v>
      </c>
      <c r="G44" s="1873">
        <v>2008</v>
      </c>
      <c r="H44" s="1569">
        <v>3</v>
      </c>
      <c r="I44" s="1569">
        <v>1.96</v>
      </c>
      <c r="J44" s="1569">
        <v>2.36</v>
      </c>
      <c r="K44" s="1569">
        <v>1.82</v>
      </c>
      <c r="L44" s="1570">
        <v>2.2200000000000002</v>
      </c>
      <c r="N44" s="1663">
        <f t="shared" si="26"/>
        <v>1.9599999999999999E-2</v>
      </c>
      <c r="O44" s="1558">
        <f t="shared" si="26"/>
        <v>2.3599999999999999E-2</v>
      </c>
      <c r="P44" s="1558">
        <f t="shared" si="26"/>
        <v>1.8200000000000001E-2</v>
      </c>
      <c r="Q44" s="1558">
        <f t="shared" si="26"/>
        <v>2.2200000000000001E-2</v>
      </c>
      <c r="R44" s="1559"/>
      <c r="S44" s="1663"/>
      <c r="T44" s="1558"/>
      <c r="U44" s="1558"/>
      <c r="V44" s="1558"/>
    </row>
    <row r="45" spans="1:32">
      <c r="A45" s="1551" t="s">
        <v>1684</v>
      </c>
      <c r="B45" s="1561">
        <f t="shared" si="40"/>
        <v>206.31694671589116</v>
      </c>
      <c r="C45" s="1561">
        <f t="shared" si="40"/>
        <v>183.61041121036101</v>
      </c>
      <c r="D45" s="1561">
        <f t="shared" si="24"/>
        <v>183.61041121036101</v>
      </c>
      <c r="E45" s="1561">
        <f t="shared" si="41"/>
        <v>276.66850301795557</v>
      </c>
      <c r="F45" s="1561">
        <f t="shared" si="41"/>
        <v>165.1360938278614</v>
      </c>
      <c r="G45" s="1873">
        <v>2008</v>
      </c>
      <c r="H45" s="1555">
        <v>2</v>
      </c>
      <c r="I45" s="1555">
        <v>4.93</v>
      </c>
      <c r="J45" s="1555">
        <v>7.38</v>
      </c>
      <c r="K45" s="1555">
        <v>3.98</v>
      </c>
      <c r="L45" s="1563">
        <v>6.86</v>
      </c>
      <c r="N45" s="1663">
        <f t="shared" si="26"/>
        <v>4.9299999999999997E-2</v>
      </c>
      <c r="O45" s="1558">
        <f t="shared" si="26"/>
        <v>7.3800000000000004E-2</v>
      </c>
      <c r="P45" s="1558">
        <f t="shared" si="26"/>
        <v>3.9800000000000002E-2</v>
      </c>
      <c r="Q45" s="1558">
        <f t="shared" si="26"/>
        <v>6.8600000000000008E-2</v>
      </c>
      <c r="R45" s="1559"/>
      <c r="S45" s="1663"/>
      <c r="T45" s="1558"/>
      <c r="U45" s="1558"/>
      <c r="V45" s="1558"/>
    </row>
    <row r="46" spans="1:32" s="1582" customFormat="1" ht="13.5" thickBot="1">
      <c r="A46" s="1551" t="s">
        <v>1685</v>
      </c>
      <c r="B46" s="1579">
        <f t="shared" si="40"/>
        <v>196.62341248059772</v>
      </c>
      <c r="C46" s="1579">
        <f t="shared" si="40"/>
        <v>170.99125648199012</v>
      </c>
      <c r="D46" s="1579">
        <f t="shared" si="24"/>
        <v>170.99125648199012</v>
      </c>
      <c r="E46" s="1579">
        <f t="shared" si="41"/>
        <v>266.07857570490052</v>
      </c>
      <c r="F46" s="1579">
        <f t="shared" si="41"/>
        <v>154.53499328828505</v>
      </c>
      <c r="G46" s="1874">
        <v>2008</v>
      </c>
      <c r="H46" s="1580">
        <v>1</v>
      </c>
      <c r="I46" s="1580">
        <v>4.1399999999999997</v>
      </c>
      <c r="J46" s="1580">
        <v>3.45</v>
      </c>
      <c r="K46" s="1580">
        <v>4.95</v>
      </c>
      <c r="L46" s="1581">
        <v>4.82</v>
      </c>
      <c r="N46" s="1667">
        <f t="shared" si="26"/>
        <v>4.1399999999999999E-2</v>
      </c>
      <c r="O46" s="1583">
        <f t="shared" si="26"/>
        <v>3.4500000000000003E-2</v>
      </c>
      <c r="P46" s="1583">
        <f t="shared" si="26"/>
        <v>4.9500000000000002E-2</v>
      </c>
      <c r="Q46" s="1583">
        <f t="shared" si="26"/>
        <v>4.82E-2</v>
      </c>
      <c r="R46" s="1584"/>
      <c r="S46" s="1667">
        <f>B46/B47-1</f>
        <v>4.5869215322328349E-2</v>
      </c>
      <c r="T46" s="1583">
        <f>C46/C47-1</f>
        <v>3.6310645345394743E-2</v>
      </c>
      <c r="U46" s="1583">
        <f>E46/E47-1</f>
        <v>4.7553447657088688E-2</v>
      </c>
      <c r="V46" s="1583">
        <f>F46/F47-1</f>
        <v>4.4155360055980086E-2</v>
      </c>
      <c r="AC46" s="1585"/>
      <c r="AD46" s="1585"/>
      <c r="AE46" s="1585"/>
      <c r="AF46" s="1585"/>
    </row>
    <row r="47" spans="1:32" ht="13.5" thickBot="1">
      <c r="A47" s="1551" t="s">
        <v>1686</v>
      </c>
      <c r="B47" s="1556">
        <v>188</v>
      </c>
      <c r="C47" s="1556">
        <v>165</v>
      </c>
      <c r="D47" s="1556">
        <f t="shared" si="24"/>
        <v>165</v>
      </c>
      <c r="E47" s="1556">
        <v>254</v>
      </c>
      <c r="F47" s="1655">
        <v>148</v>
      </c>
      <c r="G47" s="1872">
        <v>2007</v>
      </c>
      <c r="H47" s="1586">
        <v>4</v>
      </c>
      <c r="I47" s="1586">
        <v>5.51</v>
      </c>
      <c r="J47" s="1586">
        <v>4.8899999999999997</v>
      </c>
      <c r="K47" s="1586">
        <v>6.43</v>
      </c>
      <c r="L47" s="1587">
        <v>5.36</v>
      </c>
      <c r="N47" s="1668">
        <f t="shared" ref="N47:O50" si="42">B47/B48-1</f>
        <v>4.1339718365245526E-2</v>
      </c>
      <c r="O47" s="1588">
        <f t="shared" si="42"/>
        <v>4.0324492593776018E-2</v>
      </c>
      <c r="P47" s="1588">
        <f t="shared" ref="P47:Q50" si="43">E47/E48-1</f>
        <v>6.1625555347990968E-2</v>
      </c>
      <c r="Q47" s="1588">
        <f t="shared" si="43"/>
        <v>4.6757569250590603E-2</v>
      </c>
      <c r="R47" s="1559"/>
      <c r="S47" s="1673"/>
      <c r="T47" s="1560"/>
      <c r="U47" s="1560"/>
      <c r="V47" s="1560"/>
      <c r="AC47" s="1560"/>
      <c r="AD47" s="1560"/>
      <c r="AE47" s="1560"/>
      <c r="AF47" s="1560"/>
    </row>
    <row r="48" spans="1:32">
      <c r="A48" s="1551" t="s">
        <v>1687</v>
      </c>
      <c r="B48" s="1561">
        <f t="shared" ref="B48:C50" si="44">B49+(B$47-B$51)*I48/SUM(I$47:I$50)</f>
        <v>180.5366651097618</v>
      </c>
      <c r="C48" s="1561">
        <f t="shared" si="44"/>
        <v>158.60435967302453</v>
      </c>
      <c r="D48" s="1561">
        <f t="shared" si="24"/>
        <v>158.60435967302453</v>
      </c>
      <c r="E48" s="1561">
        <f t="shared" ref="E48:F50" si="45">E49+(E$47-E$51)*K48/SUM(K$47:K$50)</f>
        <v>239.25573260785075</v>
      </c>
      <c r="F48" s="1561">
        <f t="shared" si="45"/>
        <v>141.38899430740037</v>
      </c>
      <c r="G48" s="1873">
        <v>2007</v>
      </c>
      <c r="H48" s="1569">
        <v>3</v>
      </c>
      <c r="I48" s="1569">
        <v>8.65</v>
      </c>
      <c r="J48" s="1569">
        <v>8.06</v>
      </c>
      <c r="K48" s="1569">
        <v>9.94</v>
      </c>
      <c r="L48" s="1570">
        <v>5.8</v>
      </c>
      <c r="N48" s="1668">
        <f t="shared" si="42"/>
        <v>6.940217571740015E-2</v>
      </c>
      <c r="O48" s="1588">
        <f t="shared" si="42"/>
        <v>7.1197482471153428E-2</v>
      </c>
      <c r="P48" s="1588">
        <f t="shared" si="43"/>
        <v>0.10529679922579582</v>
      </c>
      <c r="Q48" s="1588">
        <f t="shared" si="43"/>
        <v>5.3292245059512133E-2</v>
      </c>
      <c r="R48" s="1559"/>
      <c r="S48" s="1663"/>
      <c r="T48" s="1558"/>
      <c r="U48" s="1558"/>
      <c r="V48" s="1558"/>
      <c r="AC48" s="1589"/>
      <c r="AD48" s="1589"/>
      <c r="AE48" s="1589"/>
      <c r="AF48" s="1589"/>
    </row>
    <row r="49" spans="1:32">
      <c r="A49" s="1551" t="s">
        <v>1688</v>
      </c>
      <c r="B49" s="1561">
        <f t="shared" si="44"/>
        <v>168.82017748715555</v>
      </c>
      <c r="C49" s="1561">
        <f t="shared" si="44"/>
        <v>148.06267029972753</v>
      </c>
      <c r="D49" s="1561">
        <f t="shared" si="24"/>
        <v>148.06267029972753</v>
      </c>
      <c r="E49" s="1561">
        <f t="shared" si="45"/>
        <v>216.46288379323747</v>
      </c>
      <c r="F49" s="1561">
        <f t="shared" si="45"/>
        <v>134.23529411764704</v>
      </c>
      <c r="G49" s="1873">
        <v>2007</v>
      </c>
      <c r="H49" s="1555">
        <v>2</v>
      </c>
      <c r="I49" s="1555">
        <v>3.67</v>
      </c>
      <c r="J49" s="1555">
        <v>2.3199999999999998</v>
      </c>
      <c r="K49" s="1555">
        <v>5.0199999999999996</v>
      </c>
      <c r="L49" s="1563">
        <v>6.71</v>
      </c>
      <c r="N49" s="1668">
        <f t="shared" si="42"/>
        <v>3.0339138143848032E-2</v>
      </c>
      <c r="O49" s="1588">
        <f t="shared" si="42"/>
        <v>2.0922341588790472E-2</v>
      </c>
      <c r="P49" s="1588">
        <f t="shared" si="43"/>
        <v>5.6164796592717003E-2</v>
      </c>
      <c r="Q49" s="1588">
        <f t="shared" si="43"/>
        <v>6.5704536723887319E-2</v>
      </c>
      <c r="R49" s="1559"/>
      <c r="S49" s="1663"/>
      <c r="T49" s="1558"/>
      <c r="U49" s="1558"/>
      <c r="V49" s="1558"/>
      <c r="AC49" s="1589"/>
      <c r="AD49" s="1589"/>
      <c r="AE49" s="1589"/>
      <c r="AF49" s="1589"/>
    </row>
    <row r="50" spans="1:32">
      <c r="A50" s="1551" t="s">
        <v>1689</v>
      </c>
      <c r="B50" s="1561">
        <f t="shared" si="44"/>
        <v>163.84913591779542</v>
      </c>
      <c r="C50" s="1561">
        <f t="shared" si="44"/>
        <v>145.0283378746594</v>
      </c>
      <c r="D50" s="1561">
        <f t="shared" si="24"/>
        <v>145.0283378746594</v>
      </c>
      <c r="E50" s="1561">
        <f t="shared" si="45"/>
        <v>204.95180722891567</v>
      </c>
      <c r="F50" s="1561">
        <f t="shared" si="45"/>
        <v>125.95920303605313</v>
      </c>
      <c r="G50" s="1874">
        <v>2007</v>
      </c>
      <c r="H50" s="1554">
        <v>1</v>
      </c>
      <c r="I50" s="1554">
        <v>3.58</v>
      </c>
      <c r="J50" s="1554">
        <v>3.08</v>
      </c>
      <c r="K50" s="1554">
        <v>4.34</v>
      </c>
      <c r="L50" s="1562">
        <v>3.21</v>
      </c>
      <c r="N50" s="1669">
        <f t="shared" si="42"/>
        <v>3.0497710174814063E-2</v>
      </c>
      <c r="O50" s="1590">
        <f t="shared" si="42"/>
        <v>2.8569772160704998E-2</v>
      </c>
      <c r="P50" s="1590">
        <f t="shared" si="43"/>
        <v>5.1034908866234296E-2</v>
      </c>
      <c r="Q50" s="1590">
        <f t="shared" si="43"/>
        <v>3.245248390207478E-2</v>
      </c>
      <c r="R50" s="1559"/>
      <c r="S50" s="1665">
        <f>B50/B51-1</f>
        <v>3.0497710174814063E-2</v>
      </c>
      <c r="T50" s="1564">
        <f>C50/C51-1</f>
        <v>2.8569772160704998E-2</v>
      </c>
      <c r="U50" s="1564">
        <f>E50/E51-1</f>
        <v>5.1034908866234296E-2</v>
      </c>
      <c r="V50" s="1564">
        <f>F50/F51-1</f>
        <v>3.245248390207478E-2</v>
      </c>
      <c r="AC50" s="1589"/>
      <c r="AD50" s="1589"/>
      <c r="AE50" s="1589"/>
      <c r="AF50" s="1589"/>
    </row>
    <row r="51" spans="1:32" ht="13.5" thickBot="1">
      <c r="A51" s="1551" t="s">
        <v>1690</v>
      </c>
      <c r="B51" s="1572">
        <v>159</v>
      </c>
      <c r="C51" s="1572">
        <v>141</v>
      </c>
      <c r="D51" s="1572">
        <f t="shared" si="24"/>
        <v>141</v>
      </c>
      <c r="E51" s="1572">
        <v>195</v>
      </c>
      <c r="F51" s="1656">
        <v>122</v>
      </c>
      <c r="G51" s="1872">
        <v>2006</v>
      </c>
      <c r="H51" s="1566">
        <v>4</v>
      </c>
      <c r="I51" s="1566">
        <v>3.79</v>
      </c>
      <c r="J51" s="1566">
        <v>2.21</v>
      </c>
      <c r="K51" s="1566">
        <v>5.65</v>
      </c>
      <c r="L51" s="1567">
        <v>5.41</v>
      </c>
      <c r="N51" s="1668">
        <f t="shared" ref="N51:O54" si="46">I51/SUM(I$51:I$54)*(B$51/B$55-1)</f>
        <v>7.245466462748526E-2</v>
      </c>
      <c r="O51" s="1588">
        <f t="shared" si="46"/>
        <v>2.3237230038062766E-2</v>
      </c>
      <c r="P51" s="1588">
        <f t="shared" ref="P51:Q54" si="47">K51/SUM(K$51:K$54)*(E$51/E$55-1)</f>
        <v>0.16146893866323722</v>
      </c>
      <c r="Q51" s="1588">
        <f t="shared" si="47"/>
        <v>5.0755230321793784E-2</v>
      </c>
      <c r="R51" s="1559"/>
      <c r="S51" s="1673"/>
      <c r="T51" s="1560"/>
      <c r="U51" s="1560"/>
      <c r="V51" s="1560"/>
      <c r="AC51" s="1589"/>
      <c r="AD51" s="1589"/>
      <c r="AE51" s="1589"/>
      <c r="AF51" s="1589"/>
    </row>
    <row r="52" spans="1:32">
      <c r="A52" s="1551" t="s">
        <v>1691</v>
      </c>
      <c r="B52" s="1561">
        <f t="shared" ref="B52:C54" si="48">B53+(B$51-B$55)*I52/SUM(I$51:I$54)</f>
        <v>149.00125628140702</v>
      </c>
      <c r="C52" s="1561">
        <f t="shared" si="48"/>
        <v>137.95592286501378</v>
      </c>
      <c r="D52" s="1561">
        <f t="shared" si="24"/>
        <v>137.95592286501378</v>
      </c>
      <c r="E52" s="1561">
        <f t="shared" ref="E52:F54" si="49">E53+(E$51-E$55)*K52/SUM(K$51:K$54)</f>
        <v>169.97231450719823</v>
      </c>
      <c r="F52" s="1561">
        <f t="shared" si="49"/>
        <v>116.21390374331551</v>
      </c>
      <c r="G52" s="1873">
        <v>2006</v>
      </c>
      <c r="H52" s="1569">
        <v>3</v>
      </c>
      <c r="I52" s="1569">
        <v>0.92</v>
      </c>
      <c r="J52" s="1569">
        <v>1.08</v>
      </c>
      <c r="K52" s="1569">
        <v>0.73</v>
      </c>
      <c r="L52" s="1570">
        <v>1.08</v>
      </c>
      <c r="N52" s="1668">
        <f t="shared" si="46"/>
        <v>1.7587939698492462E-2</v>
      </c>
      <c r="O52" s="1588">
        <f t="shared" si="46"/>
        <v>1.1355750425840628E-2</v>
      </c>
      <c r="P52" s="1588">
        <f t="shared" si="47"/>
        <v>2.0862358446754544E-2</v>
      </c>
      <c r="Q52" s="1588">
        <f t="shared" si="47"/>
        <v>1.0132282578103011E-2</v>
      </c>
      <c r="R52" s="1559"/>
      <c r="S52" s="1663"/>
      <c r="T52" s="1558"/>
      <c r="U52" s="1558"/>
      <c r="V52" s="1558"/>
      <c r="AC52" s="1589"/>
      <c r="AD52" s="1589"/>
      <c r="AE52" s="1589"/>
      <c r="AF52" s="1589"/>
    </row>
    <row r="53" spans="1:32">
      <c r="A53" s="1551" t="s">
        <v>1692</v>
      </c>
      <c r="B53" s="1561">
        <f t="shared" si="48"/>
        <v>146.57412060301507</v>
      </c>
      <c r="C53" s="1561">
        <f t="shared" si="48"/>
        <v>136.46831955922866</v>
      </c>
      <c r="D53" s="1561">
        <f t="shared" si="24"/>
        <v>136.46831955922866</v>
      </c>
      <c r="E53" s="1561">
        <f t="shared" si="49"/>
        <v>166.73864894795128</v>
      </c>
      <c r="F53" s="1561">
        <f t="shared" si="49"/>
        <v>115.05882352941177</v>
      </c>
      <c r="G53" s="1873">
        <v>2006</v>
      </c>
      <c r="H53" s="1555">
        <v>2</v>
      </c>
      <c r="I53" s="1555">
        <v>0.96</v>
      </c>
      <c r="J53" s="1555">
        <v>0.25</v>
      </c>
      <c r="K53" s="1555">
        <v>1.9</v>
      </c>
      <c r="L53" s="1563">
        <v>0.95</v>
      </c>
      <c r="N53" s="1668">
        <f t="shared" si="46"/>
        <v>1.8352632728861701E-2</v>
      </c>
      <c r="O53" s="1588">
        <f t="shared" si="46"/>
        <v>2.6286459319075526E-3</v>
      </c>
      <c r="P53" s="1588">
        <f t="shared" si="47"/>
        <v>5.4299289107991269E-2</v>
      </c>
      <c r="Q53" s="1588">
        <f t="shared" si="47"/>
        <v>8.9126559714794995E-3</v>
      </c>
      <c r="R53" s="1559"/>
      <c r="S53" s="1663"/>
      <c r="T53" s="1558"/>
      <c r="U53" s="1558"/>
      <c r="V53" s="1558"/>
      <c r="AC53" s="1589"/>
      <c r="AD53" s="1589"/>
      <c r="AE53" s="1589"/>
      <c r="AF53" s="1589"/>
    </row>
    <row r="54" spans="1:32">
      <c r="A54" s="1551" t="s">
        <v>1693</v>
      </c>
      <c r="B54" s="1561">
        <f t="shared" si="48"/>
        <v>144.04145728643215</v>
      </c>
      <c r="C54" s="1561">
        <f t="shared" si="48"/>
        <v>136.12396694214877</v>
      </c>
      <c r="D54" s="1561">
        <f t="shared" si="24"/>
        <v>136.12396694214877</v>
      </c>
      <c r="E54" s="1561">
        <f t="shared" si="49"/>
        <v>158.32225913621264</v>
      </c>
      <c r="F54" s="1561">
        <f t="shared" si="49"/>
        <v>114.04278074866311</v>
      </c>
      <c r="G54" s="1874">
        <v>2006</v>
      </c>
      <c r="H54" s="1554">
        <v>1</v>
      </c>
      <c r="I54" s="1554">
        <v>2.29</v>
      </c>
      <c r="J54" s="1554">
        <v>3.72</v>
      </c>
      <c r="K54" s="1554">
        <v>0.75</v>
      </c>
      <c r="L54" s="1562">
        <v>0.04</v>
      </c>
      <c r="N54" s="1669">
        <f t="shared" si="46"/>
        <v>4.3778675988638847E-2</v>
      </c>
      <c r="O54" s="1590">
        <f t="shared" si="46"/>
        <v>3.9114251466784385E-2</v>
      </c>
      <c r="P54" s="1590">
        <f t="shared" si="47"/>
        <v>2.1433929911049188E-2</v>
      </c>
      <c r="Q54" s="1590">
        <f t="shared" si="47"/>
        <v>3.7526972511492629E-4</v>
      </c>
      <c r="R54" s="1559"/>
      <c r="S54" s="1665">
        <f>B54/B55-1</f>
        <v>4.3778675988638716E-2</v>
      </c>
      <c r="T54" s="1564">
        <f>C54/C55-1</f>
        <v>3.91142514667846E-2</v>
      </c>
      <c r="U54" s="1564">
        <f>E54/E55-1</f>
        <v>2.143392991104931E-2</v>
      </c>
      <c r="V54" s="1564">
        <f>F54/F55-1</f>
        <v>3.7526972511492396E-4</v>
      </c>
      <c r="AC54" s="1589"/>
      <c r="AD54" s="1589"/>
      <c r="AE54" s="1589"/>
      <c r="AF54" s="1589"/>
    </row>
    <row r="55" spans="1:32" ht="13.5" thickBot="1">
      <c r="A55" s="1551" t="s">
        <v>1694</v>
      </c>
      <c r="B55" s="1572">
        <v>138</v>
      </c>
      <c r="C55" s="1572">
        <v>131</v>
      </c>
      <c r="D55" s="1572">
        <f t="shared" si="24"/>
        <v>131</v>
      </c>
      <c r="E55" s="1572">
        <v>155</v>
      </c>
      <c r="F55" s="1656">
        <v>114</v>
      </c>
      <c r="G55" s="1872">
        <v>2005</v>
      </c>
      <c r="H55" s="1566">
        <v>4</v>
      </c>
      <c r="I55" s="1566">
        <v>3.29</v>
      </c>
      <c r="J55" s="1566">
        <v>1.44</v>
      </c>
      <c r="K55" s="1566">
        <v>0.66</v>
      </c>
      <c r="L55" s="1567">
        <v>7.78</v>
      </c>
      <c r="N55" s="1668">
        <f t="shared" ref="N55:O58" si="50">I55/SUM(I$55:I$58)*(B$55/B$59-1)</f>
        <v>9.9404603216919935E-2</v>
      </c>
      <c r="O55" s="1588">
        <f t="shared" si="50"/>
        <v>4.7636550760861554E-2</v>
      </c>
      <c r="P55" s="1588">
        <f t="shared" ref="P55:Q58" si="51">K55/SUM(K$55:K$58)*(E$55/E$59-1)</f>
        <v>8.3756345177664976E-2</v>
      </c>
      <c r="Q55" s="1588">
        <f t="shared" si="51"/>
        <v>5.2148766661559584E-2</v>
      </c>
      <c r="R55" s="1559"/>
      <c r="S55" s="1673"/>
      <c r="T55" s="1560"/>
      <c r="U55" s="1560"/>
      <c r="V55" s="1560"/>
      <c r="AC55" s="1589"/>
      <c r="AD55" s="1589"/>
      <c r="AE55" s="1589"/>
      <c r="AF55" s="1589"/>
    </row>
    <row r="56" spans="1:32">
      <c r="A56" s="1551" t="s">
        <v>1695</v>
      </c>
      <c r="B56" s="1561">
        <f t="shared" ref="B56:C58" si="52">B57+(B$55-B$59)*I56/SUM(I$55:I$58)</f>
        <v>125.9720430107527</v>
      </c>
      <c r="C56" s="1561">
        <f t="shared" si="52"/>
        <v>125.1883408071749</v>
      </c>
      <c r="D56" s="1561">
        <f t="shared" si="24"/>
        <v>125.1883408071749</v>
      </c>
      <c r="E56" s="1561">
        <f t="shared" ref="E56:F58" si="53">E57+(E$55-E$59)*K56/SUM(K$55:K$58)</f>
        <v>144.61421319796952</v>
      </c>
      <c r="F56" s="1561">
        <f t="shared" si="53"/>
        <v>108.42008196721311</v>
      </c>
      <c r="G56" s="1873">
        <v>2005</v>
      </c>
      <c r="H56" s="1569">
        <v>3</v>
      </c>
      <c r="I56" s="1569">
        <v>0.46</v>
      </c>
      <c r="J56" s="1569">
        <v>0.32</v>
      </c>
      <c r="K56" s="1569">
        <v>0.42</v>
      </c>
      <c r="L56" s="1570">
        <v>0.64</v>
      </c>
      <c r="N56" s="1668">
        <f t="shared" si="50"/>
        <v>1.3898515951301874E-2</v>
      </c>
      <c r="O56" s="1588">
        <f t="shared" si="50"/>
        <v>1.0585900169080346E-2</v>
      </c>
      <c r="P56" s="1588">
        <f t="shared" si="51"/>
        <v>5.3299492385786795E-2</v>
      </c>
      <c r="Q56" s="1588">
        <f t="shared" si="51"/>
        <v>4.2898728359123568E-3</v>
      </c>
      <c r="R56" s="1559"/>
      <c r="S56" s="1663"/>
      <c r="T56" s="1558"/>
      <c r="U56" s="1558"/>
      <c r="V56" s="1558"/>
      <c r="AC56" s="1589"/>
      <c r="AD56" s="1589"/>
      <c r="AE56" s="1589"/>
      <c r="AF56" s="1589"/>
    </row>
    <row r="57" spans="1:32">
      <c r="A57" s="1551" t="s">
        <v>1696</v>
      </c>
      <c r="B57" s="1561">
        <f t="shared" si="52"/>
        <v>124.29032258064517</v>
      </c>
      <c r="C57" s="1561">
        <f t="shared" si="52"/>
        <v>123.8968609865471</v>
      </c>
      <c r="D57" s="1561">
        <f t="shared" si="24"/>
        <v>123.8968609865471</v>
      </c>
      <c r="E57" s="1561">
        <f t="shared" si="53"/>
        <v>138.00507614213197</v>
      </c>
      <c r="F57" s="1561">
        <f t="shared" si="53"/>
        <v>107.96106557377048</v>
      </c>
      <c r="G57" s="1873">
        <v>2005</v>
      </c>
      <c r="H57" s="1555">
        <v>2</v>
      </c>
      <c r="I57" s="1555">
        <v>0.47</v>
      </c>
      <c r="J57" s="1555">
        <v>0.1</v>
      </c>
      <c r="K57" s="1555">
        <v>0.52</v>
      </c>
      <c r="L57" s="1563">
        <v>0.79</v>
      </c>
      <c r="N57" s="1668">
        <f t="shared" si="50"/>
        <v>1.420065760241713E-2</v>
      </c>
      <c r="O57" s="1588">
        <f t="shared" si="50"/>
        <v>3.3080938028376083E-3</v>
      </c>
      <c r="P57" s="1588">
        <f t="shared" si="51"/>
        <v>6.598984771573603E-2</v>
      </c>
      <c r="Q57" s="1588">
        <f t="shared" si="51"/>
        <v>5.2953117818293153E-3</v>
      </c>
      <c r="R57" s="1559"/>
      <c r="S57" s="1663"/>
      <c r="T57" s="1558"/>
      <c r="U57" s="1558"/>
      <c r="V57" s="1558"/>
      <c r="AC57" s="1589"/>
      <c r="AD57" s="1589"/>
      <c r="AE57" s="1589"/>
      <c r="AF57" s="1589"/>
    </row>
    <row r="58" spans="1:32">
      <c r="A58" s="1551" t="s">
        <v>1697</v>
      </c>
      <c r="B58" s="1561">
        <f t="shared" si="52"/>
        <v>122.57204301075269</v>
      </c>
      <c r="C58" s="1561">
        <f t="shared" si="52"/>
        <v>123.4932735426009</v>
      </c>
      <c r="D58" s="1561">
        <f t="shared" si="24"/>
        <v>123.4932735426009</v>
      </c>
      <c r="E58" s="1561">
        <f t="shared" si="53"/>
        <v>129.82233502538071</v>
      </c>
      <c r="F58" s="1561">
        <f t="shared" si="53"/>
        <v>107.39446721311475</v>
      </c>
      <c r="G58" s="1874">
        <v>2005</v>
      </c>
      <c r="H58" s="1554">
        <v>1</v>
      </c>
      <c r="I58" s="1554">
        <v>0.43</v>
      </c>
      <c r="J58" s="1554">
        <v>0.37</v>
      </c>
      <c r="K58" s="1554">
        <v>0.37</v>
      </c>
      <c r="L58" s="1562">
        <v>0.55000000000000004</v>
      </c>
      <c r="N58" s="1669">
        <f t="shared" si="50"/>
        <v>1.2992090997956099E-2</v>
      </c>
      <c r="O58" s="1590">
        <f t="shared" si="50"/>
        <v>1.2239947070499151E-2</v>
      </c>
      <c r="P58" s="1590">
        <f t="shared" si="51"/>
        <v>4.6954314720812178E-2</v>
      </c>
      <c r="Q58" s="1590">
        <f t="shared" si="51"/>
        <v>3.6866094683621815E-3</v>
      </c>
      <c r="R58" s="1559"/>
      <c r="S58" s="1665">
        <f>B58/B59-1</f>
        <v>1.2992090997956174E-2</v>
      </c>
      <c r="T58" s="1564">
        <f>C58/C59-1</f>
        <v>1.2239947070499246E-2</v>
      </c>
      <c r="U58" s="1564">
        <f>E58/E59-1</f>
        <v>4.695431472081224E-2</v>
      </c>
      <c r="V58" s="1564">
        <f>F58/F59-1</f>
        <v>3.6866094683620787E-3</v>
      </c>
      <c r="AC58" s="1589"/>
      <c r="AD58" s="1589"/>
      <c r="AE58" s="1589"/>
      <c r="AF58" s="1589"/>
    </row>
    <row r="59" spans="1:32" ht="13.5" thickBot="1">
      <c r="A59" s="1551" t="s">
        <v>1698</v>
      </c>
      <c r="B59" s="1577">
        <v>121</v>
      </c>
      <c r="C59" s="1577">
        <v>122</v>
      </c>
      <c r="D59" s="1577">
        <f t="shared" si="24"/>
        <v>122</v>
      </c>
      <c r="E59" s="1577">
        <v>124</v>
      </c>
      <c r="F59" s="1657">
        <v>107</v>
      </c>
      <c r="G59" s="1872">
        <v>2004</v>
      </c>
      <c r="H59" s="1566">
        <v>4</v>
      </c>
      <c r="I59" s="1566">
        <v>0.33</v>
      </c>
      <c r="J59" s="1566">
        <v>0.5</v>
      </c>
      <c r="K59" s="1566">
        <v>0.5</v>
      </c>
      <c r="L59" s="1567">
        <v>0</v>
      </c>
      <c r="N59" s="1668">
        <f t="shared" ref="N59:O62" si="54">I59/SUM(I$59:I$62)*(B$59/B$63-1)</f>
        <v>1.3391770148526898E-2</v>
      </c>
      <c r="O59" s="1588">
        <f t="shared" si="54"/>
        <v>1.063264221158958E-2</v>
      </c>
      <c r="P59" s="1588">
        <f t="shared" ref="P59:Q62" si="55">K59/SUM(K$59:K$62)*(E$59/E$63-1)</f>
        <v>2.2244466688911134E-2</v>
      </c>
      <c r="Q59" s="1588">
        <f t="shared" si="55"/>
        <v>0</v>
      </c>
      <c r="R59" s="1559"/>
      <c r="S59" s="1673"/>
      <c r="T59" s="1560"/>
      <c r="U59" s="1560"/>
      <c r="V59" s="1560"/>
      <c r="AC59" s="1589"/>
      <c r="AD59" s="1589"/>
      <c r="AE59" s="1589"/>
      <c r="AF59" s="1589"/>
    </row>
    <row r="60" spans="1:32">
      <c r="A60" s="1551" t="s">
        <v>1699</v>
      </c>
      <c r="B60" s="1561">
        <f t="shared" ref="B60:C62" si="56">B61+(B$59-B$63)*I60/SUM(I$59:I$62)</f>
        <v>119.51351351351352</v>
      </c>
      <c r="C60" s="1561">
        <f t="shared" si="56"/>
        <v>120.7878787878788</v>
      </c>
      <c r="D60" s="1561">
        <f t="shared" si="24"/>
        <v>120.7878787878788</v>
      </c>
      <c r="E60" s="1561">
        <f t="shared" ref="E60:F62" si="57">E61+(E$59-E$63)*K60/SUM(K$59:K$62)</f>
        <v>121.5975975975976</v>
      </c>
      <c r="F60" s="1561">
        <f t="shared" si="57"/>
        <v>107</v>
      </c>
      <c r="G60" s="1873">
        <v>2004</v>
      </c>
      <c r="H60" s="1569">
        <v>3</v>
      </c>
      <c r="I60" s="1569">
        <v>0.56000000000000005</v>
      </c>
      <c r="J60" s="1569">
        <v>0.8</v>
      </c>
      <c r="K60" s="1569">
        <v>0.83</v>
      </c>
      <c r="L60" s="1570">
        <v>0.06</v>
      </c>
      <c r="N60" s="1668">
        <f t="shared" si="54"/>
        <v>2.2725428130833527E-2</v>
      </c>
      <c r="O60" s="1588">
        <f t="shared" si="54"/>
        <v>1.7012227538543329E-2</v>
      </c>
      <c r="P60" s="1588">
        <f t="shared" si="55"/>
        <v>3.6925814703592477E-2</v>
      </c>
      <c r="Q60" s="1588">
        <f t="shared" si="55"/>
        <v>2.8846153846153744E-2</v>
      </c>
      <c r="R60" s="1559"/>
      <c r="S60" s="1663"/>
      <c r="T60" s="1558"/>
      <c r="U60" s="1558"/>
      <c r="V60" s="1558"/>
      <c r="AC60" s="1589"/>
      <c r="AD60" s="1589"/>
      <c r="AE60" s="1589"/>
      <c r="AF60" s="1589"/>
    </row>
    <row r="61" spans="1:32">
      <c r="A61" s="1551" t="s">
        <v>1700</v>
      </c>
      <c r="B61" s="1561">
        <f t="shared" si="56"/>
        <v>116.99099099099099</v>
      </c>
      <c r="C61" s="1561">
        <f t="shared" si="56"/>
        <v>118.84848484848486</v>
      </c>
      <c r="D61" s="1561">
        <f t="shared" si="24"/>
        <v>118.84848484848486</v>
      </c>
      <c r="E61" s="1561">
        <f t="shared" si="57"/>
        <v>117.60960960960961</v>
      </c>
      <c r="F61" s="1561">
        <f t="shared" si="57"/>
        <v>104</v>
      </c>
      <c r="G61" s="1873">
        <v>2004</v>
      </c>
      <c r="H61" s="1555">
        <v>2</v>
      </c>
      <c r="I61" s="1555">
        <v>1</v>
      </c>
      <c r="J61" s="1555">
        <v>1.5</v>
      </c>
      <c r="K61" s="1555">
        <v>1.5</v>
      </c>
      <c r="L61" s="1563">
        <v>0</v>
      </c>
      <c r="N61" s="1668">
        <f t="shared" si="54"/>
        <v>4.0581121662202721E-2</v>
      </c>
      <c r="O61" s="1588">
        <f t="shared" si="54"/>
        <v>3.1897926634768738E-2</v>
      </c>
      <c r="P61" s="1588">
        <f t="shared" si="55"/>
        <v>6.6733400066733395E-2</v>
      </c>
      <c r="Q61" s="1588">
        <f t="shared" si="55"/>
        <v>0</v>
      </c>
      <c r="R61" s="1559"/>
      <c r="S61" s="1663"/>
      <c r="T61" s="1558"/>
      <c r="U61" s="1558"/>
      <c r="V61" s="1558"/>
      <c r="AC61" s="1589"/>
      <c r="AD61" s="1589"/>
      <c r="AE61" s="1589"/>
      <c r="AF61" s="1589"/>
    </row>
    <row r="62" spans="1:32" s="1582" customFormat="1" ht="13.5" thickBot="1">
      <c r="A62" s="1551" t="s">
        <v>1701</v>
      </c>
      <c r="B62" s="1579">
        <f t="shared" si="56"/>
        <v>112.48648648648648</v>
      </c>
      <c r="C62" s="1579">
        <f t="shared" si="56"/>
        <v>115.21212121212122</v>
      </c>
      <c r="D62" s="1579">
        <f t="shared" si="24"/>
        <v>115.21212121212122</v>
      </c>
      <c r="E62" s="1579">
        <f t="shared" si="57"/>
        <v>110.4024024024024</v>
      </c>
      <c r="F62" s="1579">
        <f t="shared" si="57"/>
        <v>104</v>
      </c>
      <c r="G62" s="1874">
        <v>2004</v>
      </c>
      <c r="H62" s="1580">
        <v>1</v>
      </c>
      <c r="I62" s="1580">
        <v>0.33</v>
      </c>
      <c r="J62" s="1580">
        <v>0.5</v>
      </c>
      <c r="K62" s="1580">
        <v>0.5</v>
      </c>
      <c r="L62" s="1581">
        <v>0</v>
      </c>
      <c r="N62" s="1670">
        <f t="shared" si="54"/>
        <v>1.3391770148526898E-2</v>
      </c>
      <c r="O62" s="1591">
        <f t="shared" si="54"/>
        <v>1.063264221158958E-2</v>
      </c>
      <c r="P62" s="1591">
        <f t="shared" si="55"/>
        <v>2.2244466688911134E-2</v>
      </c>
      <c r="Q62" s="1591">
        <f t="shared" si="55"/>
        <v>0</v>
      </c>
      <c r="R62" s="1584"/>
      <c r="S62" s="1667">
        <f>B62/B63-1</f>
        <v>1.3391770148526883E-2</v>
      </c>
      <c r="T62" s="1583">
        <f>C62/C63-1</f>
        <v>1.063264221158966E-2</v>
      </c>
      <c r="U62" s="1583">
        <f>E62/E63-1</f>
        <v>2.2244466688911224E-2</v>
      </c>
      <c r="V62" s="1583">
        <f>F62/F63-1</f>
        <v>0</v>
      </c>
      <c r="AC62" s="1592"/>
      <c r="AD62" s="1592"/>
      <c r="AE62" s="1592"/>
      <c r="AF62" s="1592"/>
    </row>
    <row r="63" spans="1:32" ht="13.5" thickBot="1">
      <c r="A63" s="1551" t="s">
        <v>1702</v>
      </c>
      <c r="B63" s="1593">
        <v>111</v>
      </c>
      <c r="C63" s="1593">
        <v>114</v>
      </c>
      <c r="D63" s="1593">
        <f t="shared" si="24"/>
        <v>114</v>
      </c>
      <c r="E63" s="1593">
        <v>108</v>
      </c>
      <c r="F63" s="1658">
        <v>104</v>
      </c>
      <c r="G63" s="1872">
        <v>2003</v>
      </c>
      <c r="H63" s="1586">
        <v>4</v>
      </c>
      <c r="I63" s="1594"/>
      <c r="J63" s="1594"/>
      <c r="K63" s="1594"/>
      <c r="L63" s="1594"/>
      <c r="N63" s="1671"/>
      <c r="O63" s="1594"/>
      <c r="P63" s="1594"/>
      <c r="Q63" s="1594"/>
      <c r="S63" s="1671"/>
      <c r="T63" s="1594"/>
      <c r="U63" s="1594"/>
      <c r="V63" s="1594"/>
      <c r="AC63" s="1589"/>
      <c r="AD63" s="1589"/>
      <c r="AE63" s="1589"/>
      <c r="AF63" s="1589"/>
    </row>
    <row r="64" spans="1:32">
      <c r="A64" s="1551" t="s">
        <v>1703</v>
      </c>
      <c r="B64" s="1595">
        <f t="shared" ref="B64:C66" si="58">B65+(B$63-B$67)/4</f>
        <v>109.75</v>
      </c>
      <c r="C64" s="1595">
        <f t="shared" si="58"/>
        <v>112.25</v>
      </c>
      <c r="D64" s="1595">
        <f t="shared" si="24"/>
        <v>112.25</v>
      </c>
      <c r="E64" s="1595">
        <f t="shared" ref="E64:F66" si="59">E65+(E$63-E$67)/4</f>
        <v>107.25</v>
      </c>
      <c r="F64" s="1595">
        <f t="shared" si="59"/>
        <v>103.5</v>
      </c>
      <c r="G64" s="1873">
        <v>2003</v>
      </c>
      <c r="H64" s="1569">
        <v>3</v>
      </c>
      <c r="I64" s="1594"/>
      <c r="J64" s="1594"/>
      <c r="K64" s="1594"/>
      <c r="L64" s="1594"/>
      <c r="AC64" s="1589"/>
      <c r="AD64" s="1589"/>
      <c r="AE64" s="1589"/>
      <c r="AF64" s="1589"/>
    </row>
    <row r="65" spans="1:32">
      <c r="A65" s="1551" t="s">
        <v>1704</v>
      </c>
      <c r="B65" s="1595">
        <f t="shared" si="58"/>
        <v>108.5</v>
      </c>
      <c r="C65" s="1595">
        <f t="shared" si="58"/>
        <v>110.5</v>
      </c>
      <c r="D65" s="1595">
        <f t="shared" si="24"/>
        <v>110.5</v>
      </c>
      <c r="E65" s="1595">
        <f t="shared" si="59"/>
        <v>106.5</v>
      </c>
      <c r="F65" s="1595">
        <f t="shared" si="59"/>
        <v>103</v>
      </c>
      <c r="G65" s="1873">
        <v>2003</v>
      </c>
      <c r="H65" s="1555">
        <v>2</v>
      </c>
      <c r="I65" s="1594"/>
      <c r="J65" s="1594"/>
      <c r="K65" s="1594"/>
      <c r="L65" s="1594"/>
      <c r="AC65" s="1589"/>
      <c r="AD65" s="1589"/>
      <c r="AE65" s="1589"/>
      <c r="AF65" s="1589"/>
    </row>
    <row r="66" spans="1:32" ht="13.5" thickBot="1">
      <c r="A66" s="1551" t="s">
        <v>1705</v>
      </c>
      <c r="B66" s="1595">
        <f t="shared" si="58"/>
        <v>107.25</v>
      </c>
      <c r="C66" s="1595">
        <f t="shared" si="58"/>
        <v>108.75</v>
      </c>
      <c r="D66" s="1595">
        <f t="shared" si="24"/>
        <v>108.75</v>
      </c>
      <c r="E66" s="1595">
        <f t="shared" si="59"/>
        <v>105.75</v>
      </c>
      <c r="F66" s="1595">
        <f t="shared" si="59"/>
        <v>102.5</v>
      </c>
      <c r="G66" s="1874">
        <v>2003</v>
      </c>
      <c r="H66" s="1596">
        <v>1</v>
      </c>
      <c r="I66" s="1594"/>
      <c r="J66" s="1594"/>
      <c r="K66" s="1594"/>
      <c r="L66" s="1594"/>
      <c r="S66" s="1663"/>
      <c r="T66" s="1558"/>
      <c r="U66" s="1558"/>
      <c r="AC66" s="1589"/>
      <c r="AD66" s="1589"/>
      <c r="AE66" s="1589"/>
      <c r="AF66" s="1589"/>
    </row>
    <row r="67" spans="1:32" ht="13.5" thickBot="1">
      <c r="A67" s="1551" t="s">
        <v>1706</v>
      </c>
      <c r="B67" s="1597">
        <v>106</v>
      </c>
      <c r="C67" s="1597">
        <v>107</v>
      </c>
      <c r="D67" s="1597">
        <f t="shared" si="24"/>
        <v>107</v>
      </c>
      <c r="E67" s="1597">
        <v>105</v>
      </c>
      <c r="F67" s="1659">
        <v>102</v>
      </c>
      <c r="G67" s="1872">
        <v>2002</v>
      </c>
      <c r="H67" s="1566">
        <v>4</v>
      </c>
      <c r="I67" s="1594"/>
      <c r="J67" s="1594"/>
      <c r="K67" s="1594"/>
      <c r="L67" s="1594"/>
      <c r="N67" s="1671"/>
      <c r="O67" s="1594"/>
      <c r="P67" s="1594"/>
      <c r="Q67" s="1594"/>
      <c r="S67" s="1671"/>
      <c r="T67" s="1594"/>
      <c r="U67" s="1594"/>
      <c r="V67" s="1594"/>
      <c r="AC67" s="1589"/>
      <c r="AD67" s="1589"/>
      <c r="AE67" s="1589"/>
      <c r="AF67" s="1589"/>
    </row>
    <row r="68" spans="1:32">
      <c r="A68" s="1551" t="s">
        <v>1707</v>
      </c>
      <c r="B68" s="1595">
        <f t="shared" ref="B68:C70" si="60">B69+(B$67-B$71)/4</f>
        <v>105</v>
      </c>
      <c r="C68" s="1595">
        <f t="shared" si="60"/>
        <v>106</v>
      </c>
      <c r="D68" s="1595">
        <f t="shared" si="24"/>
        <v>106</v>
      </c>
      <c r="E68" s="1595">
        <f t="shared" ref="E68:F70" si="61">E69+(E$67-E$71)/4</f>
        <v>104.5</v>
      </c>
      <c r="F68" s="1595">
        <f t="shared" si="61"/>
        <v>101.5</v>
      </c>
      <c r="G68" s="1873">
        <v>2002</v>
      </c>
      <c r="H68" s="1569">
        <v>3</v>
      </c>
      <c r="I68" s="1594"/>
      <c r="J68" s="1594"/>
      <c r="K68" s="1594"/>
      <c r="L68" s="1594"/>
      <c r="AC68" s="1589"/>
      <c r="AD68" s="1589"/>
      <c r="AE68" s="1589"/>
      <c r="AF68" s="1589"/>
    </row>
    <row r="69" spans="1:32">
      <c r="A69" s="1551" t="s">
        <v>1708</v>
      </c>
      <c r="B69" s="1595">
        <f t="shared" si="60"/>
        <v>104</v>
      </c>
      <c r="C69" s="1595">
        <f t="shared" si="60"/>
        <v>105</v>
      </c>
      <c r="D69" s="1595">
        <f t="shared" si="24"/>
        <v>105</v>
      </c>
      <c r="E69" s="1595">
        <f t="shared" si="61"/>
        <v>104</v>
      </c>
      <c r="F69" s="1595">
        <f t="shared" si="61"/>
        <v>101</v>
      </c>
      <c r="G69" s="1873">
        <v>2002</v>
      </c>
      <c r="H69" s="1555">
        <v>2</v>
      </c>
      <c r="I69" s="1594"/>
      <c r="J69" s="1594"/>
      <c r="K69" s="1594"/>
      <c r="L69" s="1594"/>
      <c r="AC69" s="1589"/>
      <c r="AD69" s="1589"/>
      <c r="AE69" s="1589"/>
      <c r="AF69" s="1589"/>
    </row>
    <row r="70" spans="1:32" s="1620" customFormat="1" ht="13.5" thickBot="1">
      <c r="A70" s="1616" t="s">
        <v>1709</v>
      </c>
      <c r="B70" s="1625">
        <f t="shared" si="60"/>
        <v>103</v>
      </c>
      <c r="C70" s="1625">
        <f t="shared" si="60"/>
        <v>104</v>
      </c>
      <c r="D70" s="1625">
        <f t="shared" si="24"/>
        <v>104</v>
      </c>
      <c r="E70" s="1625">
        <f t="shared" si="61"/>
        <v>103.5</v>
      </c>
      <c r="F70" s="1625">
        <f t="shared" si="61"/>
        <v>100.5</v>
      </c>
      <c r="G70" s="1874">
        <v>2002</v>
      </c>
      <c r="H70" s="1626">
        <v>1</v>
      </c>
      <c r="I70" s="1627"/>
      <c r="J70" s="1627"/>
      <c r="K70" s="1627"/>
      <c r="L70" s="1627"/>
      <c r="N70" s="1672"/>
      <c r="S70" s="1672"/>
      <c r="AC70" s="1628"/>
      <c r="AD70" s="1628"/>
      <c r="AE70" s="1628"/>
      <c r="AF70" s="1628"/>
    </row>
    <row r="71" spans="1:32" ht="13.5" thickBot="1">
      <c r="B71" s="1598">
        <v>102</v>
      </c>
      <c r="C71" s="1599">
        <v>103</v>
      </c>
      <c r="D71" s="1599">
        <f t="shared" si="24"/>
        <v>103</v>
      </c>
      <c r="E71" s="1599">
        <v>103</v>
      </c>
      <c r="F71" s="1660">
        <v>100</v>
      </c>
      <c r="I71" s="1594"/>
      <c r="J71" s="1594"/>
      <c r="K71" s="1594"/>
      <c r="L71" s="1594"/>
      <c r="N71" s="1671"/>
      <c r="O71" s="1594"/>
      <c r="P71" s="1594"/>
      <c r="Q71" s="1594"/>
      <c r="S71" s="1671"/>
      <c r="T71" s="1594"/>
      <c r="U71" s="1594"/>
      <c r="V71" s="1594"/>
      <c r="AC71" s="1560"/>
      <c r="AD71" s="1560"/>
      <c r="AE71" s="1560"/>
      <c r="AF71" s="1560"/>
    </row>
    <row r="73" spans="1:32" s="1680" customFormat="1">
      <c r="A73" s="1679" t="s">
        <v>1716</v>
      </c>
      <c r="G73" s="1681"/>
      <c r="N73" s="1681"/>
      <c r="S73" s="1681"/>
    </row>
    <row r="74" spans="1:32" s="1680" customFormat="1">
      <c r="A74" s="1680" t="s">
        <v>1717</v>
      </c>
      <c r="G74" s="1681"/>
      <c r="N74" s="1681"/>
      <c r="S74" s="1681"/>
    </row>
    <row r="75" spans="1:32" s="1680" customFormat="1">
      <c r="A75" s="1680" t="s">
        <v>1718</v>
      </c>
      <c r="G75" s="1681"/>
      <c r="I75" s="1682"/>
      <c r="J75" s="1682"/>
      <c r="K75" s="1682"/>
      <c r="L75" s="1682"/>
      <c r="N75" s="1683"/>
      <c r="O75" s="1682"/>
      <c r="P75" s="1682"/>
      <c r="Q75" s="1682"/>
      <c r="S75" s="1683"/>
      <c r="T75" s="1682"/>
      <c r="U75" s="1682"/>
      <c r="V75" s="1682"/>
    </row>
    <row r="76" spans="1:32" s="1680" customFormat="1">
      <c r="A76" s="1680" t="s">
        <v>1719</v>
      </c>
      <c r="G76" s="1681"/>
      <c r="N76" s="1681"/>
      <c r="S76" s="1681"/>
    </row>
    <row r="83" spans="14:29" ht="13.5" thickBot="1"/>
    <row r="84" spans="14:29" ht="24">
      <c r="S84" s="1675" t="s">
        <v>1710</v>
      </c>
      <c r="T84" s="1600" t="s">
        <v>1711</v>
      </c>
      <c r="U84" s="1600" t="s">
        <v>1712</v>
      </c>
      <c r="V84" s="1600" t="s">
        <v>1713</v>
      </c>
      <c r="W84" s="1601" t="s">
        <v>1714</v>
      </c>
      <c r="X84" s="1602">
        <v>2006</v>
      </c>
      <c r="Y84" s="1603">
        <v>4</v>
      </c>
      <c r="Z84" s="1603">
        <v>3.79</v>
      </c>
      <c r="AA84" s="1603">
        <v>2.21</v>
      </c>
      <c r="AB84" s="1603">
        <v>5.65</v>
      </c>
      <c r="AC84" s="1604">
        <v>5.41</v>
      </c>
    </row>
    <row r="85" spans="14:29">
      <c r="N85" s="1673"/>
      <c r="O85" s="1560"/>
      <c r="P85" s="1560"/>
      <c r="Q85" s="1560"/>
      <c r="S85" s="1676">
        <v>2006</v>
      </c>
      <c r="T85" s="1606">
        <v>15.1</v>
      </c>
      <c r="U85" s="1606">
        <v>7.43</v>
      </c>
      <c r="V85" s="1606">
        <v>26.26</v>
      </c>
      <c r="W85" s="1607">
        <v>7.6</v>
      </c>
      <c r="X85" s="1608">
        <v>2006</v>
      </c>
      <c r="Y85" s="1609">
        <v>3</v>
      </c>
      <c r="Z85" s="1609">
        <v>0.92</v>
      </c>
      <c r="AA85" s="1609">
        <v>1.08</v>
      </c>
      <c r="AB85" s="1609">
        <v>0.73</v>
      </c>
      <c r="AC85" s="1610">
        <v>1.08</v>
      </c>
    </row>
    <row r="86" spans="14:29">
      <c r="N86" s="1673"/>
      <c r="O86" s="1560"/>
      <c r="P86" s="1560"/>
      <c r="Q86" s="1560"/>
      <c r="S86" s="1677">
        <v>2005</v>
      </c>
      <c r="T86" s="1609">
        <v>13.9</v>
      </c>
      <c r="U86" s="1609">
        <v>7.49</v>
      </c>
      <c r="V86" s="1609">
        <v>24.92</v>
      </c>
      <c r="W86" s="1610">
        <v>6.51</v>
      </c>
      <c r="X86" s="1605">
        <v>2006</v>
      </c>
      <c r="Y86" s="1606">
        <v>2</v>
      </c>
      <c r="Z86" s="1606">
        <v>0.96</v>
      </c>
      <c r="AA86" s="1606">
        <v>0.25</v>
      </c>
      <c r="AB86" s="1606">
        <v>1.9</v>
      </c>
      <c r="AC86" s="1607">
        <v>0.95</v>
      </c>
    </row>
    <row r="87" spans="14:29" ht="13.5" thickBot="1">
      <c r="N87" s="1673"/>
      <c r="O87" s="1560"/>
      <c r="P87" s="1560"/>
      <c r="Q87" s="1560"/>
      <c r="S87" s="1676">
        <v>2004</v>
      </c>
      <c r="T87" s="1606">
        <v>9.48</v>
      </c>
      <c r="U87" s="1606">
        <v>7.2</v>
      </c>
      <c r="V87" s="1606">
        <v>14.68</v>
      </c>
      <c r="W87" s="1607">
        <v>2.2000000000000002</v>
      </c>
      <c r="X87" s="1611">
        <v>2006</v>
      </c>
      <c r="Y87" s="1612">
        <v>1</v>
      </c>
      <c r="Z87" s="1612">
        <v>2.29</v>
      </c>
      <c r="AA87" s="1612">
        <v>3.72</v>
      </c>
      <c r="AB87" s="1612">
        <v>0.75</v>
      </c>
      <c r="AC87" s="1613">
        <v>0.04</v>
      </c>
    </row>
    <row r="88" spans="14:29">
      <c r="N88" s="1673"/>
      <c r="O88" s="1560"/>
      <c r="P88" s="1560"/>
      <c r="Q88" s="1560"/>
      <c r="S88" s="1677">
        <v>2003</v>
      </c>
      <c r="T88" s="1609">
        <v>4.5</v>
      </c>
      <c r="U88" s="1609">
        <v>6.12</v>
      </c>
      <c r="V88" s="1609">
        <v>2.34</v>
      </c>
      <c r="W88" s="1610">
        <v>2.36</v>
      </c>
    </row>
    <row r="89" spans="14:29" ht="13.5" thickBot="1">
      <c r="N89" s="1673"/>
      <c r="O89" s="1560"/>
      <c r="P89" s="1560"/>
      <c r="Q89" s="1560"/>
      <c r="S89" s="1678">
        <v>2002</v>
      </c>
      <c r="T89" s="1614">
        <v>3.59</v>
      </c>
      <c r="U89" s="1614">
        <v>4.54</v>
      </c>
      <c r="V89" s="1614">
        <v>2.5499999999999998</v>
      </c>
      <c r="W89" s="1615">
        <v>1.52</v>
      </c>
    </row>
    <row r="90" spans="14:29">
      <c r="N90" s="1673"/>
      <c r="O90" s="1560"/>
      <c r="P90" s="1560"/>
      <c r="Q90" s="1560"/>
    </row>
    <row r="91" spans="14:29">
      <c r="N91" s="1673"/>
      <c r="O91" s="1560"/>
      <c r="P91" s="1560"/>
      <c r="Q91" s="1560"/>
    </row>
    <row r="92" spans="14:29">
      <c r="N92" s="1673"/>
      <c r="O92" s="1560"/>
      <c r="P92" s="1560"/>
      <c r="Q92" s="1560"/>
    </row>
    <row r="93" spans="14:29">
      <c r="N93" s="1673"/>
      <c r="O93" s="1560"/>
      <c r="P93" s="1560"/>
      <c r="Q93" s="1560"/>
    </row>
    <row r="94" spans="14:29">
      <c r="N94" s="1673"/>
      <c r="O94" s="1560"/>
      <c r="P94" s="1560"/>
      <c r="Q94" s="1560"/>
    </row>
    <row r="95" spans="14:29">
      <c r="N95" s="1673"/>
      <c r="O95" s="1560"/>
      <c r="P95" s="1560"/>
      <c r="Q95" s="1560"/>
    </row>
    <row r="96" spans="14:29">
      <c r="N96" s="1673"/>
      <c r="O96" s="1560"/>
      <c r="P96" s="1560"/>
      <c r="Q96" s="1560"/>
    </row>
    <row r="97" spans="14:17">
      <c r="N97" s="1673"/>
      <c r="O97" s="1560"/>
      <c r="P97" s="1560"/>
      <c r="Q97" s="1560"/>
    </row>
    <row r="98" spans="14:17">
      <c r="N98" s="1673"/>
      <c r="O98" s="1560"/>
      <c r="P98" s="1560"/>
      <c r="Q98" s="1560"/>
    </row>
    <row r="99" spans="14:17">
      <c r="N99" s="1673"/>
      <c r="O99" s="1560"/>
      <c r="P99" s="1560"/>
      <c r="Q99" s="1560"/>
    </row>
    <row r="100" spans="14:17">
      <c r="N100" s="1673"/>
      <c r="O100" s="1560"/>
      <c r="P100" s="1560"/>
      <c r="Q100" s="1560"/>
    </row>
    <row r="101" spans="14:17">
      <c r="N101" s="1673"/>
      <c r="O101" s="1560"/>
      <c r="P101" s="1560"/>
      <c r="Q101" s="1560"/>
    </row>
    <row r="102" spans="14:17">
      <c r="N102" s="1673"/>
      <c r="O102" s="1560"/>
      <c r="P102" s="1560"/>
      <c r="Q102" s="1560"/>
    </row>
    <row r="103" spans="14:17">
      <c r="N103" s="1673"/>
      <c r="O103" s="1560"/>
      <c r="P103" s="1560"/>
      <c r="Q103" s="1560"/>
    </row>
    <row r="104" spans="14:17">
      <c r="N104" s="1673"/>
      <c r="O104" s="1560"/>
      <c r="P104" s="1560"/>
      <c r="Q104" s="1560"/>
    </row>
    <row r="105" spans="14:17">
      <c r="N105" s="1673"/>
      <c r="O105" s="1560"/>
      <c r="P105" s="1560"/>
      <c r="Q105" s="1560"/>
    </row>
  </sheetData>
  <sheetProtection sheet="1" objects="1" scenarios="1"/>
  <mergeCells count="18">
    <mergeCell ref="G63:G66"/>
    <mergeCell ref="G67:G70"/>
    <mergeCell ref="G39:G42"/>
    <mergeCell ref="G43:G46"/>
    <mergeCell ref="G47:G50"/>
    <mergeCell ref="G51:G54"/>
    <mergeCell ref="G55:G58"/>
    <mergeCell ref="G59:G62"/>
    <mergeCell ref="S2:V2"/>
    <mergeCell ref="G35:G38"/>
    <mergeCell ref="G11:G14"/>
    <mergeCell ref="G15:G18"/>
    <mergeCell ref="G19:G22"/>
    <mergeCell ref="G23:G26"/>
    <mergeCell ref="G27:G30"/>
    <mergeCell ref="G31:G34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6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1"/>
    <col min="2" max="3" width="9" style="246"/>
    <col min="4" max="5" width="14" style="246" customWidth="1"/>
    <col min="6" max="6" width="9" style="246"/>
    <col min="7" max="7" width="9" style="1487" customWidth="1"/>
    <col min="8" max="8" width="9" style="246" customWidth="1"/>
    <col min="9" max="10" width="14" style="246" customWidth="1"/>
    <col min="11" max="11" width="9" style="246" customWidth="1"/>
    <col min="12" max="12" width="9" style="1487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8" t="s">
        <v>974</v>
      </c>
      <c r="H1" s="249">
        <f>'2014基准地价'!M18</f>
        <v>36</v>
      </c>
      <c r="I1" s="1448" t="s">
        <v>1649</v>
      </c>
      <c r="J1" s="1462" t="str">
        <f>'2014基准地价'!N19</f>
        <v>2017-1</v>
      </c>
      <c r="K1" s="298"/>
      <c r="L1" s="1460" t="s">
        <v>974</v>
      </c>
      <c r="M1" s="249">
        <f>'2002基准地价'!B24</f>
        <v>12</v>
      </c>
      <c r="N1" s="1448" t="s">
        <v>1649</v>
      </c>
      <c r="O1" s="1462" t="str">
        <f>'2002基准地价'!C25</f>
        <v>2014-3</v>
      </c>
      <c r="P1" s="299"/>
    </row>
    <row r="2" spans="1:23">
      <c r="G2" s="28">
        <f ca="1">ROUND(SUMIF(季度2014,$J$1,G4:G19),4)</f>
        <v>1.5100000000000001E-2</v>
      </c>
      <c r="H2" s="28">
        <f ca="1">ROUND(SUMIF(季度2014,$J$1,H4:H19),4)</f>
        <v>1.26E-2</v>
      </c>
      <c r="I2" s="28">
        <f ca="1">ROUND(SUMIF(季度2014,$J$1,I4:I19),4)</f>
        <v>1.26E-2</v>
      </c>
      <c r="J2" s="28">
        <f ca="1">ROUND(SUMIF(季度2014,$J$1,J4:J19),4)</f>
        <v>1.6E-2</v>
      </c>
      <c r="K2" s="1450">
        <f ca="1">ROUND(SUMIF(季度2014,$J$1,K4:K19),4)</f>
        <v>1.2E-2</v>
      </c>
      <c r="L2" s="1455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49" t="s">
        <v>267</v>
      </c>
      <c r="B3" s="1446" t="s">
        <v>281</v>
      </c>
      <c r="C3" s="1446" t="s">
        <v>283</v>
      </c>
      <c r="D3" s="1446" t="s">
        <v>1315</v>
      </c>
      <c r="E3" s="1446" t="s">
        <v>1362</v>
      </c>
      <c r="F3" s="1451" t="s">
        <v>2</v>
      </c>
      <c r="G3" s="1454" t="s">
        <v>281</v>
      </c>
      <c r="H3" s="1446" t="s">
        <v>0</v>
      </c>
      <c r="I3" s="1446" t="s">
        <v>1315</v>
      </c>
      <c r="J3" s="1446" t="s">
        <v>1362</v>
      </c>
      <c r="K3" s="1451" t="s">
        <v>2</v>
      </c>
      <c r="L3" s="1454" t="s">
        <v>281</v>
      </c>
      <c r="M3" s="1446" t="s">
        <v>0</v>
      </c>
      <c r="N3" s="1446" t="s">
        <v>1315</v>
      </c>
      <c r="O3" s="1446" t="s">
        <v>1362</v>
      </c>
      <c r="P3" s="1446" t="s">
        <v>2</v>
      </c>
    </row>
    <row r="4" spans="1:23">
      <c r="A4" s="684" t="s">
        <v>1600</v>
      </c>
      <c r="B4" s="624"/>
      <c r="C4" s="624"/>
      <c r="D4" s="624"/>
      <c r="E4" s="624"/>
      <c r="F4" s="1452"/>
      <c r="G4" s="1457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0">
        <f>AVERAGE(F4:F$18)</f>
        <v>1.32E-2</v>
      </c>
      <c r="L4" s="1457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2"/>
      <c r="G5" s="1457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0">
        <f>AVERAGE(F5:F$18)</f>
        <v>1.32E-2</v>
      </c>
      <c r="L5" s="1457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2"/>
      <c r="G6" s="1457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0">
        <f>AVERAGE(F6:F$18)</f>
        <v>1.32E-2</v>
      </c>
      <c r="L6" s="1457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2"/>
      <c r="G7" s="1457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0">
        <f>AVERAGE(F7:F$18)</f>
        <v>1.32E-2</v>
      </c>
      <c r="L7" s="1457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3">
        <f>W8/100</f>
        <v>1.5700000000000002E-2</v>
      </c>
      <c r="G8" s="1457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0">
        <f>AVERAGE(F8:F$18)</f>
        <v>1.32E-2</v>
      </c>
      <c r="L8" s="1457"/>
      <c r="M8" s="28"/>
      <c r="N8" s="28"/>
      <c r="O8" s="28"/>
      <c r="P8" s="28"/>
      <c r="R8" s="1463">
        <v>2016</v>
      </c>
      <c r="S8" s="1464">
        <v>4</v>
      </c>
      <c r="T8" s="1464">
        <v>4.5599999999999996</v>
      </c>
      <c r="U8" s="1464">
        <v>2.15</v>
      </c>
      <c r="V8" s="1464">
        <v>5.32</v>
      </c>
      <c r="W8" s="1465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3">
        <f t="shared" ref="F9:F59" si="4">W9/100</f>
        <v>1.9699999999999999E-2</v>
      </c>
      <c r="G9" s="1457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0">
        <f>AVERAGE(F9:F$18)</f>
        <v>1.295E-2</v>
      </c>
      <c r="L9" s="1457"/>
      <c r="M9" s="28"/>
      <c r="N9" s="28"/>
      <c r="O9" s="28"/>
      <c r="P9" s="28"/>
      <c r="R9" s="1466">
        <v>2016</v>
      </c>
      <c r="S9" s="1467">
        <v>3</v>
      </c>
      <c r="T9" s="1467">
        <v>4.12</v>
      </c>
      <c r="U9" s="1467">
        <v>2</v>
      </c>
      <c r="V9" s="1467">
        <v>4.79</v>
      </c>
      <c r="W9" s="1468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3">
        <f t="shared" si="4"/>
        <v>1.41E-2</v>
      </c>
      <c r="G10" s="1457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0">
        <f>AVERAGE(F10:F$18)</f>
        <v>1.2200000000000001E-2</v>
      </c>
      <c r="L10" s="1457"/>
      <c r="M10" s="28"/>
      <c r="N10" s="28"/>
      <c r="O10" s="28"/>
      <c r="P10" s="28"/>
      <c r="R10" s="1469">
        <v>2016</v>
      </c>
      <c r="S10" s="1470">
        <v>2</v>
      </c>
      <c r="T10" s="1470">
        <v>3.85</v>
      </c>
      <c r="U10" s="1470">
        <v>1.95</v>
      </c>
      <c r="V10" s="1470">
        <v>4.4800000000000004</v>
      </c>
      <c r="W10" s="1471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3">
        <f t="shared" si="4"/>
        <v>1.4800000000000001E-2</v>
      </c>
      <c r="G11" s="1457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0">
        <f>AVERAGE(F11:F$18)</f>
        <v>1.1962500000000001E-2</v>
      </c>
      <c r="L11" s="1457"/>
      <c r="M11" s="28"/>
      <c r="N11" s="28"/>
      <c r="O11" s="28"/>
      <c r="P11" s="28"/>
      <c r="R11" s="1466">
        <v>2016</v>
      </c>
      <c r="S11" s="1467">
        <v>1</v>
      </c>
      <c r="T11" s="1467">
        <v>4.09</v>
      </c>
      <c r="U11" s="1467">
        <v>2.93</v>
      </c>
      <c r="V11" s="1467">
        <v>4.54</v>
      </c>
      <c r="W11" s="1468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3">
        <f t="shared" si="4"/>
        <v>1.89E-2</v>
      </c>
      <c r="G12" s="1457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0">
        <f>AVERAGE(F12:F$18)</f>
        <v>1.155714285714286E-2</v>
      </c>
      <c r="L12" s="1457"/>
      <c r="M12" s="28"/>
      <c r="N12" s="28"/>
      <c r="O12" s="28"/>
      <c r="P12" s="28"/>
      <c r="R12" s="1472">
        <v>2015</v>
      </c>
      <c r="S12" s="1473">
        <v>4</v>
      </c>
      <c r="T12" s="1473">
        <v>1.63</v>
      </c>
      <c r="U12" s="1473">
        <v>1.1100000000000001</v>
      </c>
      <c r="V12" s="1473">
        <v>1.77</v>
      </c>
      <c r="W12" s="1474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3">
        <f t="shared" si="4"/>
        <v>1.26E-2</v>
      </c>
      <c r="G13" s="1457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0">
        <f>AVERAGE(F13:F$18)</f>
        <v>1.0333333333333333E-2</v>
      </c>
      <c r="L13" s="1457"/>
      <c r="M13" s="28"/>
      <c r="N13" s="28"/>
      <c r="O13" s="28"/>
      <c r="P13" s="28"/>
      <c r="R13" s="1475">
        <v>2015</v>
      </c>
      <c r="S13" s="1476">
        <v>3</v>
      </c>
      <c r="T13" s="1476">
        <v>1.65</v>
      </c>
      <c r="U13" s="1476">
        <v>0.92</v>
      </c>
      <c r="V13" s="1476">
        <v>1.88</v>
      </c>
      <c r="W13" s="1477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3">
        <f t="shared" si="4"/>
        <v>8.8000000000000005E-3</v>
      </c>
      <c r="G14" s="1457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0">
        <f>AVERAGE(F14:F$18)</f>
        <v>9.8799999999999999E-3</v>
      </c>
      <c r="L14" s="1457"/>
      <c r="M14" s="28"/>
      <c r="N14" s="28"/>
      <c r="O14" s="28"/>
      <c r="P14" s="28"/>
      <c r="R14" s="1469">
        <v>2015</v>
      </c>
      <c r="S14" s="1470">
        <v>2</v>
      </c>
      <c r="T14" s="1470">
        <v>0.77</v>
      </c>
      <c r="U14" s="1470">
        <v>0.69</v>
      </c>
      <c r="V14" s="1470">
        <v>0.8</v>
      </c>
      <c r="W14" s="1471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3">
        <f t="shared" si="4"/>
        <v>9.300000000000001E-3</v>
      </c>
      <c r="G15" s="1457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0">
        <f>AVERAGE(F15:F$18)</f>
        <v>1.0149999999999999E-2</v>
      </c>
      <c r="L15" s="1457"/>
      <c r="M15" s="28"/>
      <c r="N15" s="28"/>
      <c r="O15" s="28"/>
      <c r="P15" s="28"/>
      <c r="R15" s="1466">
        <v>2015</v>
      </c>
      <c r="S15" s="1467">
        <v>1</v>
      </c>
      <c r="T15" s="1467">
        <v>0.51</v>
      </c>
      <c r="U15" s="1467">
        <v>0.54</v>
      </c>
      <c r="V15" s="1467">
        <v>0.48</v>
      </c>
      <c r="W15" s="1468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3">
        <f t="shared" si="4"/>
        <v>8.8999999999999999E-3</v>
      </c>
      <c r="G16" s="1457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0">
        <f>AVERAGE(F16:F$18)</f>
        <v>1.0433333333333334E-2</v>
      </c>
      <c r="L16" s="1457"/>
      <c r="M16" s="28"/>
      <c r="N16" s="28"/>
      <c r="O16" s="28"/>
      <c r="P16" s="28"/>
      <c r="R16" s="1472">
        <v>2014</v>
      </c>
      <c r="S16" s="1473">
        <v>4</v>
      </c>
      <c r="T16" s="1473">
        <v>0.21</v>
      </c>
      <c r="U16" s="1473">
        <v>0.41</v>
      </c>
      <c r="V16" s="1473">
        <v>0.12</v>
      </c>
      <c r="W16" s="1474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3">
        <f t="shared" si="4"/>
        <v>7.1999999999999998E-3</v>
      </c>
      <c r="G17" s="1457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0">
        <f>AVERAGE(F17:F$18)</f>
        <v>1.12E-2</v>
      </c>
      <c r="L17" s="1457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8">
        <v>2014</v>
      </c>
      <c r="S17" s="1479">
        <v>3</v>
      </c>
      <c r="T17" s="1479">
        <v>0.83</v>
      </c>
      <c r="U17" s="1479">
        <v>1.47</v>
      </c>
      <c r="V17" s="1479">
        <v>0.65</v>
      </c>
      <c r="W17" s="1480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3">
        <f t="shared" si="4"/>
        <v>1.52E-2</v>
      </c>
      <c r="G18" s="1457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8">
        <f t="shared" si="5"/>
        <v>1.52E-2</v>
      </c>
      <c r="L18" s="1457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1">
        <v>2014</v>
      </c>
      <c r="S18" s="1482">
        <v>2</v>
      </c>
      <c r="T18" s="1482">
        <v>2.4</v>
      </c>
      <c r="U18" s="1482">
        <v>2.0299999999999998</v>
      </c>
      <c r="V18" s="1482">
        <v>2.59</v>
      </c>
      <c r="W18" s="1483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3">
        <f t="shared" si="4"/>
        <v>1.3600000000000001E-2</v>
      </c>
      <c r="G19" s="1456">
        <v>0</v>
      </c>
      <c r="H19" s="26">
        <v>0</v>
      </c>
      <c r="I19" s="26">
        <v>0</v>
      </c>
      <c r="J19" s="26">
        <v>0</v>
      </c>
      <c r="K19" s="1459">
        <v>0</v>
      </c>
      <c r="L19" s="1457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4">
        <v>2014</v>
      </c>
      <c r="S19" s="1485">
        <v>1</v>
      </c>
      <c r="T19" s="1485">
        <v>2.97</v>
      </c>
      <c r="U19" s="1485">
        <v>2.34</v>
      </c>
      <c r="V19" s="1485">
        <v>3.28</v>
      </c>
      <c r="W19" s="1486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3">
        <f t="shared" si="4"/>
        <v>8.6999999999999994E-3</v>
      </c>
      <c r="L20" s="1457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8">
        <v>2013</v>
      </c>
      <c r="S20" s="1489">
        <v>4</v>
      </c>
      <c r="T20" s="1489">
        <v>1.83</v>
      </c>
      <c r="U20" s="1489">
        <v>1.68</v>
      </c>
      <c r="V20" s="1489">
        <v>1.97</v>
      </c>
      <c r="W20" s="1490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3">
        <f t="shared" si="4"/>
        <v>8.8000000000000005E-3</v>
      </c>
      <c r="L21" s="1457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5">
        <v>2013</v>
      </c>
      <c r="S21" s="1476">
        <v>3</v>
      </c>
      <c r="T21" s="1476">
        <v>1.86</v>
      </c>
      <c r="U21" s="1476">
        <v>1.72</v>
      </c>
      <c r="V21" s="1476">
        <v>1.98</v>
      </c>
      <c r="W21" s="1477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3">
        <f t="shared" si="4"/>
        <v>6.8999999999999999E-3</v>
      </c>
      <c r="L22" s="1457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69">
        <v>2013</v>
      </c>
      <c r="S22" s="1470">
        <v>2</v>
      </c>
      <c r="T22" s="1470">
        <v>2.04</v>
      </c>
      <c r="U22" s="1470">
        <v>2.33</v>
      </c>
      <c r="V22" s="1470">
        <v>2.0699999999999998</v>
      </c>
      <c r="W22" s="1471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3">
        <f t="shared" si="4"/>
        <v>9.5999999999999992E-3</v>
      </c>
      <c r="L23" s="1457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6">
        <v>2013</v>
      </c>
      <c r="S23" s="1467">
        <v>1</v>
      </c>
      <c r="T23" s="1467">
        <v>1.67</v>
      </c>
      <c r="U23" s="1467">
        <v>1.31</v>
      </c>
      <c r="V23" s="1467">
        <v>1.85</v>
      </c>
      <c r="W23" s="1468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3">
        <f t="shared" si="4"/>
        <v>9.0000000000000011E-3</v>
      </c>
      <c r="L24" s="1457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2">
        <v>2012</v>
      </c>
      <c r="S24" s="1473">
        <v>4</v>
      </c>
      <c r="T24" s="1473">
        <v>0.91</v>
      </c>
      <c r="U24" s="1473">
        <v>0.68</v>
      </c>
      <c r="V24" s="1473">
        <v>0.98</v>
      </c>
      <c r="W24" s="1474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3">
        <f t="shared" si="4"/>
        <v>5.7999999999999996E-3</v>
      </c>
      <c r="L25" s="1457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5">
        <v>2012</v>
      </c>
      <c r="S25" s="1476">
        <v>3</v>
      </c>
      <c r="T25" s="1476">
        <v>0.09</v>
      </c>
      <c r="U25" s="1476">
        <v>0.28999999999999998</v>
      </c>
      <c r="V25" s="1476">
        <v>-0.01</v>
      </c>
      <c r="W25" s="1477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3">
        <f t="shared" si="4"/>
        <v>1.24E-2</v>
      </c>
      <c r="L26" s="1457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69">
        <v>2012</v>
      </c>
      <c r="S26" s="1470">
        <v>2</v>
      </c>
      <c r="T26" s="1470">
        <v>0.02</v>
      </c>
      <c r="U26" s="1470">
        <v>0.12</v>
      </c>
      <c r="V26" s="1470">
        <v>-0.08</v>
      </c>
      <c r="W26" s="1471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3">
        <f t="shared" si="4"/>
        <v>4.5999999999999999E-3</v>
      </c>
      <c r="L27" s="1457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6">
        <v>2012</v>
      </c>
      <c r="S27" s="1467">
        <v>1</v>
      </c>
      <c r="T27" s="1467">
        <v>0.02</v>
      </c>
      <c r="U27" s="1467">
        <v>0.13</v>
      </c>
      <c r="V27" s="1467">
        <v>-0.04</v>
      </c>
      <c r="W27" s="1468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3">
        <f t="shared" si="4"/>
        <v>4.5999999999999999E-3</v>
      </c>
      <c r="L28" s="1457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2">
        <v>2011</v>
      </c>
      <c r="S28" s="1473">
        <v>4</v>
      </c>
      <c r="T28" s="1473">
        <v>-0.2</v>
      </c>
      <c r="U28" s="1473">
        <v>0.04</v>
      </c>
      <c r="V28" s="1473">
        <v>-0.34</v>
      </c>
      <c r="W28" s="1474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3">
        <f t="shared" si="4"/>
        <v>5.3E-3</v>
      </c>
      <c r="L29" s="1457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5">
        <v>2011</v>
      </c>
      <c r="S29" s="1476">
        <v>3</v>
      </c>
      <c r="T29" s="1476">
        <v>0.13</v>
      </c>
      <c r="U29" s="1476">
        <v>0.75</v>
      </c>
      <c r="V29" s="1476">
        <v>-0.08</v>
      </c>
      <c r="W29" s="1477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3">
        <f t="shared" si="4"/>
        <v>-2E-3</v>
      </c>
      <c r="L30" s="1457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69">
        <v>2011</v>
      </c>
      <c r="S30" s="1470">
        <v>2</v>
      </c>
      <c r="T30" s="1470">
        <v>-0.4</v>
      </c>
      <c r="U30" s="1470">
        <v>0.17</v>
      </c>
      <c r="V30" s="1470">
        <v>-0.57999999999999996</v>
      </c>
      <c r="W30" s="1471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3">
        <f t="shared" si="4"/>
        <v>7.9500000000000001E-2</v>
      </c>
      <c r="L31" s="1457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6">
        <v>2011</v>
      </c>
      <c r="S31" s="1467">
        <v>1</v>
      </c>
      <c r="T31" s="1467">
        <v>2.65</v>
      </c>
      <c r="U31" s="1467">
        <v>3.76</v>
      </c>
      <c r="V31" s="1467">
        <v>1.89</v>
      </c>
      <c r="W31" s="1468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3">
        <f t="shared" si="4"/>
        <v>2.7200000000000002E-2</v>
      </c>
      <c r="L32" s="1457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2">
        <v>2010</v>
      </c>
      <c r="S32" s="1473">
        <v>4</v>
      </c>
      <c r="T32" s="1473">
        <v>5.72</v>
      </c>
      <c r="U32" s="1473">
        <v>6.57</v>
      </c>
      <c r="V32" s="1473">
        <v>5.72</v>
      </c>
      <c r="W32" s="1474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3">
        <f t="shared" si="4"/>
        <v>4.2099999999999999E-2</v>
      </c>
      <c r="L33" s="1457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5">
        <v>2010</v>
      </c>
      <c r="S33" s="1476">
        <v>3</v>
      </c>
      <c r="T33" s="1476">
        <v>4.7300000000000004</v>
      </c>
      <c r="U33" s="1476">
        <v>3.9</v>
      </c>
      <c r="V33" s="1476">
        <v>5.03</v>
      </c>
      <c r="W33" s="1477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3">
        <f t="shared" si="4"/>
        <v>4.2300000000000004E-2</v>
      </c>
      <c r="L34" s="1457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69">
        <v>2010</v>
      </c>
      <c r="S34" s="1470">
        <v>2</v>
      </c>
      <c r="T34" s="1470">
        <v>4.6900000000000004</v>
      </c>
      <c r="U34" s="1470">
        <v>3.55</v>
      </c>
      <c r="V34" s="1470">
        <v>5.07</v>
      </c>
      <c r="W34" s="1471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3">
        <f t="shared" si="4"/>
        <v>4.5100000000000001E-2</v>
      </c>
      <c r="L35" s="1457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6">
        <v>2010</v>
      </c>
      <c r="S35" s="1467">
        <v>1</v>
      </c>
      <c r="T35" s="1467">
        <v>5.4</v>
      </c>
      <c r="U35" s="1467">
        <v>3.2</v>
      </c>
      <c r="V35" s="1467">
        <v>6.16</v>
      </c>
      <c r="W35" s="1468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3">
        <f t="shared" si="4"/>
        <v>6.7000000000000002E-3</v>
      </c>
      <c r="L36" s="1457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2">
        <v>2009</v>
      </c>
      <c r="S36" s="1473">
        <v>4</v>
      </c>
      <c r="T36" s="1473">
        <v>2.2999999999999998</v>
      </c>
      <c r="U36" s="1473">
        <v>1.04</v>
      </c>
      <c r="V36" s="1473">
        <v>2.84</v>
      </c>
      <c r="W36" s="1474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3">
        <f t="shared" si="4"/>
        <v>8.5000000000000006E-3</v>
      </c>
      <c r="L37" s="1457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5">
        <v>2009</v>
      </c>
      <c r="S37" s="1476">
        <v>3</v>
      </c>
      <c r="T37" s="1476">
        <v>2.1</v>
      </c>
      <c r="U37" s="1476">
        <v>1.86</v>
      </c>
      <c r="V37" s="1476">
        <v>2.29</v>
      </c>
      <c r="W37" s="1477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3">
        <f t="shared" si="4"/>
        <v>-2.07E-2</v>
      </c>
      <c r="L38" s="1457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69">
        <v>2009</v>
      </c>
      <c r="S38" s="1470">
        <v>2</v>
      </c>
      <c r="T38" s="1470">
        <v>0.86</v>
      </c>
      <c r="U38" s="1470">
        <v>-1.1299999999999999</v>
      </c>
      <c r="V38" s="1470">
        <v>1.79</v>
      </c>
      <c r="W38" s="1471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3">
        <f t="shared" si="4"/>
        <v>1.52E-2</v>
      </c>
      <c r="L39" s="1457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6">
        <v>2009</v>
      </c>
      <c r="S39" s="1467">
        <v>1</v>
      </c>
      <c r="T39" s="1467">
        <v>-2.64</v>
      </c>
      <c r="U39" s="1467">
        <v>-2.5299999999999998</v>
      </c>
      <c r="V39" s="1467">
        <v>-3.02</v>
      </c>
      <c r="W39" s="1468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3">
        <f t="shared" si="4"/>
        <v>-1.66E-2</v>
      </c>
      <c r="L40" s="1457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2">
        <v>2008</v>
      </c>
      <c r="S40" s="1473">
        <v>4</v>
      </c>
      <c r="T40" s="1473">
        <v>1.73</v>
      </c>
      <c r="U40" s="1473">
        <v>0.03</v>
      </c>
      <c r="V40" s="1473">
        <v>2.59</v>
      </c>
      <c r="W40" s="1474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3">
        <f t="shared" si="4"/>
        <v>2.2200000000000001E-2</v>
      </c>
      <c r="L41" s="1457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5">
        <v>2008</v>
      </c>
      <c r="S41" s="1476">
        <v>3</v>
      </c>
      <c r="T41" s="1476">
        <v>1.96</v>
      </c>
      <c r="U41" s="1476">
        <v>2.36</v>
      </c>
      <c r="V41" s="1476">
        <v>1.82</v>
      </c>
      <c r="W41" s="1477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3">
        <f t="shared" si="4"/>
        <v>6.8600000000000008E-2</v>
      </c>
      <c r="L42" s="1457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69">
        <v>2008</v>
      </c>
      <c r="S42" s="1470">
        <v>2</v>
      </c>
      <c r="T42" s="1470">
        <v>4.93</v>
      </c>
      <c r="U42" s="1470">
        <v>7.38</v>
      </c>
      <c r="V42" s="1470">
        <v>3.98</v>
      </c>
      <c r="W42" s="1471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3">
        <f t="shared" si="4"/>
        <v>4.82E-2</v>
      </c>
      <c r="L43" s="1457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6">
        <v>2008</v>
      </c>
      <c r="S43" s="1467">
        <v>1</v>
      </c>
      <c r="T43" s="1467">
        <v>4.1399999999999997</v>
      </c>
      <c r="U43" s="1467">
        <v>3.45</v>
      </c>
      <c r="V43" s="1467">
        <v>4.95</v>
      </c>
      <c r="W43" s="1468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3">
        <f t="shared" si="4"/>
        <v>5.3600000000000002E-2</v>
      </c>
      <c r="L44" s="1457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2">
        <v>2007</v>
      </c>
      <c r="S44" s="1473">
        <v>4</v>
      </c>
      <c r="T44" s="1473">
        <v>5.51</v>
      </c>
      <c r="U44" s="1473">
        <v>4.8899999999999997</v>
      </c>
      <c r="V44" s="1473">
        <v>6.43</v>
      </c>
      <c r="W44" s="1474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3">
        <f t="shared" si="4"/>
        <v>5.7999999999999996E-2</v>
      </c>
      <c r="L45" s="1457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5">
        <v>2007</v>
      </c>
      <c r="S45" s="1476">
        <v>3</v>
      </c>
      <c r="T45" s="1476">
        <v>8.65</v>
      </c>
      <c r="U45" s="1476">
        <v>8.06</v>
      </c>
      <c r="V45" s="1476">
        <v>9.94</v>
      </c>
      <c r="W45" s="1477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3">
        <f t="shared" si="4"/>
        <v>6.7099999999999993E-2</v>
      </c>
      <c r="L46" s="1457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69">
        <v>2007</v>
      </c>
      <c r="S46" s="1470">
        <v>2</v>
      </c>
      <c r="T46" s="1470">
        <v>3.67</v>
      </c>
      <c r="U46" s="1470">
        <v>2.3199999999999998</v>
      </c>
      <c r="V46" s="1470">
        <v>5.0199999999999996</v>
      </c>
      <c r="W46" s="1471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3">
        <f t="shared" si="4"/>
        <v>3.2099999999999997E-2</v>
      </c>
      <c r="L47" s="1457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6">
        <v>2007</v>
      </c>
      <c r="S47" s="1467">
        <v>1</v>
      </c>
      <c r="T47" s="1467">
        <v>3.58</v>
      </c>
      <c r="U47" s="1467">
        <v>3.08</v>
      </c>
      <c r="V47" s="1467">
        <v>4.34</v>
      </c>
      <c r="W47" s="1468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3">
        <f t="shared" si="4"/>
        <v>5.4100000000000002E-2</v>
      </c>
      <c r="L48" s="1457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2">
        <v>2006</v>
      </c>
      <c r="S48" s="1473">
        <v>4</v>
      </c>
      <c r="T48" s="1473">
        <v>3.79</v>
      </c>
      <c r="U48" s="1473">
        <v>2.21</v>
      </c>
      <c r="V48" s="1473">
        <v>5.65</v>
      </c>
      <c r="W48" s="1474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3">
        <f t="shared" si="4"/>
        <v>1.0800000000000001E-2</v>
      </c>
      <c r="L49" s="1457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5">
        <v>2006</v>
      </c>
      <c r="S49" s="1476">
        <v>3</v>
      </c>
      <c r="T49" s="1476">
        <v>0.92</v>
      </c>
      <c r="U49" s="1476">
        <v>1.08</v>
      </c>
      <c r="V49" s="1476">
        <v>0.73</v>
      </c>
      <c r="W49" s="1477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3">
        <f t="shared" si="4"/>
        <v>9.4999999999999998E-3</v>
      </c>
      <c r="L50" s="1457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69">
        <v>2006</v>
      </c>
      <c r="S50" s="1470">
        <v>2</v>
      </c>
      <c r="T50" s="1470">
        <v>0.96</v>
      </c>
      <c r="U50" s="1470">
        <v>0.25</v>
      </c>
      <c r="V50" s="1470">
        <v>1.9</v>
      </c>
      <c r="W50" s="1471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3">
        <f t="shared" si="4"/>
        <v>4.0000000000000002E-4</v>
      </c>
      <c r="L51" s="1457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6">
        <v>2006</v>
      </c>
      <c r="S51" s="1467">
        <v>1</v>
      </c>
      <c r="T51" s="1467">
        <v>2.29</v>
      </c>
      <c r="U51" s="1467">
        <v>3.72</v>
      </c>
      <c r="V51" s="1467">
        <v>0.75</v>
      </c>
      <c r="W51" s="1468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3">
        <f t="shared" si="4"/>
        <v>7.7800000000000008E-2</v>
      </c>
      <c r="L52" s="1457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2">
        <v>2005</v>
      </c>
      <c r="S52" s="1473">
        <v>4</v>
      </c>
      <c r="T52" s="1473">
        <v>3.29</v>
      </c>
      <c r="U52" s="1473">
        <v>1.44</v>
      </c>
      <c r="V52" s="1473">
        <v>0.66</v>
      </c>
      <c r="W52" s="1474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3">
        <f t="shared" si="4"/>
        <v>6.4000000000000003E-3</v>
      </c>
      <c r="L53" s="1457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5">
        <v>2005</v>
      </c>
      <c r="S53" s="1476">
        <v>3</v>
      </c>
      <c r="T53" s="1476">
        <v>0.46</v>
      </c>
      <c r="U53" s="1476">
        <v>0.32</v>
      </c>
      <c r="V53" s="1476">
        <v>0.42</v>
      </c>
      <c r="W53" s="1477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3">
        <f t="shared" si="4"/>
        <v>7.9000000000000008E-3</v>
      </c>
      <c r="L54" s="1457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69">
        <v>2005</v>
      </c>
      <c r="S54" s="1470">
        <v>2</v>
      </c>
      <c r="T54" s="1470">
        <v>0.47</v>
      </c>
      <c r="U54" s="1470">
        <v>0.1</v>
      </c>
      <c r="V54" s="1470">
        <v>0.52</v>
      </c>
      <c r="W54" s="1471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3">
        <f t="shared" si="4"/>
        <v>5.5000000000000005E-3</v>
      </c>
      <c r="L55" s="1457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6">
        <v>2005</v>
      </c>
      <c r="S55" s="1467">
        <v>1</v>
      </c>
      <c r="T55" s="1467">
        <v>0.43</v>
      </c>
      <c r="U55" s="1467">
        <v>0.37</v>
      </c>
      <c r="V55" s="1467">
        <v>0.37</v>
      </c>
      <c r="W55" s="1468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3">
        <f t="shared" si="4"/>
        <v>0</v>
      </c>
      <c r="L56" s="1457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2">
        <v>2004</v>
      </c>
      <c r="S56" s="1473">
        <v>4</v>
      </c>
      <c r="T56" s="1473">
        <v>0.33</v>
      </c>
      <c r="U56" s="1473">
        <v>0.5</v>
      </c>
      <c r="V56" s="1473">
        <v>0.5</v>
      </c>
      <c r="W56" s="1474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3">
        <f t="shared" si="4"/>
        <v>5.9999999999999995E-4</v>
      </c>
      <c r="L57" s="1457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5">
        <v>2004</v>
      </c>
      <c r="S57" s="1476">
        <v>3</v>
      </c>
      <c r="T57" s="1476">
        <v>0.56000000000000005</v>
      </c>
      <c r="U57" s="1476">
        <v>0.8</v>
      </c>
      <c r="V57" s="1476">
        <v>0.83</v>
      </c>
      <c r="W57" s="1477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3">
        <f t="shared" si="4"/>
        <v>0</v>
      </c>
      <c r="L58" s="1457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69">
        <v>2004</v>
      </c>
      <c r="S58" s="1470">
        <v>2</v>
      </c>
      <c r="T58" s="1470">
        <v>1</v>
      </c>
      <c r="U58" s="1470">
        <v>1.5</v>
      </c>
      <c r="V58" s="1470">
        <v>1.5</v>
      </c>
      <c r="W58" s="1471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3">
        <f t="shared" si="4"/>
        <v>0</v>
      </c>
      <c r="L59" s="1457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1">
        <v>2004</v>
      </c>
      <c r="S59" s="1492">
        <v>1</v>
      </c>
      <c r="T59" s="1492">
        <v>0.33</v>
      </c>
      <c r="U59" s="1492">
        <v>0.5</v>
      </c>
      <c r="V59" s="1492">
        <v>0.5</v>
      </c>
      <c r="W59" s="1493">
        <v>0</v>
      </c>
      <c r="X59" s="1463">
        <v>2004</v>
      </c>
      <c r="Y59" s="1464">
        <v>121</v>
      </c>
      <c r="Z59" s="1464">
        <v>122</v>
      </c>
      <c r="AA59" s="1464">
        <v>124</v>
      </c>
      <c r="AB59" s="1465">
        <v>107</v>
      </c>
    </row>
    <row r="60" spans="1:28" ht="15" thickBot="1">
      <c r="A60" s="684" t="s">
        <v>1641</v>
      </c>
      <c r="B60" s="1494">
        <f t="shared" ref="B60:C67" si="6">T60</f>
        <v>1.14E-2</v>
      </c>
      <c r="C60" s="1494">
        <f t="shared" si="6"/>
        <v>1.5599999999999999E-2</v>
      </c>
      <c r="D60" s="495">
        <f t="shared" si="2"/>
        <v>1.5599999999999999E-2</v>
      </c>
      <c r="E60" s="1494">
        <f t="shared" ref="E60:F67" si="7">V60</f>
        <v>7.0000000000000001E-3</v>
      </c>
      <c r="F60" s="1495">
        <f t="shared" si="7"/>
        <v>4.7999999999999996E-3</v>
      </c>
      <c r="L60" s="1457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3">
        <v>2003</v>
      </c>
      <c r="S60" s="1473">
        <v>4</v>
      </c>
      <c r="T60" s="1496">
        <f>ROUND(Y60/Y61-1,4)</f>
        <v>1.14E-2</v>
      </c>
      <c r="U60" s="1496">
        <f t="shared" ref="U60:W60" si="8">ROUND(Z60/Z61-1,4)</f>
        <v>1.5599999999999999E-2</v>
      </c>
      <c r="V60" s="1496">
        <f t="shared" si="8"/>
        <v>7.0000000000000001E-3</v>
      </c>
      <c r="W60" s="1496">
        <f t="shared" si="8"/>
        <v>4.7999999999999996E-3</v>
      </c>
      <c r="X60" s="1466">
        <v>2003</v>
      </c>
      <c r="Y60" s="1467">
        <v>111</v>
      </c>
      <c r="Z60" s="1467">
        <v>114</v>
      </c>
      <c r="AA60" s="1467">
        <v>108</v>
      </c>
      <c r="AB60" s="1468">
        <v>104</v>
      </c>
    </row>
    <row r="61" spans="1:28" ht="14.25">
      <c r="A61" s="684" t="s">
        <v>1642</v>
      </c>
      <c r="B61" s="1494">
        <f t="shared" si="6"/>
        <v>1.15E-2</v>
      </c>
      <c r="C61" s="1494">
        <f t="shared" si="6"/>
        <v>1.5800000000000002E-2</v>
      </c>
      <c r="D61" s="495">
        <f t="shared" si="2"/>
        <v>1.5800000000000002E-2</v>
      </c>
      <c r="E61" s="1494">
        <f t="shared" si="7"/>
        <v>7.0000000000000001E-3</v>
      </c>
      <c r="F61" s="1495">
        <f t="shared" si="7"/>
        <v>4.8999999999999998E-3</v>
      </c>
      <c r="L61" s="1457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6">
        <v>3</v>
      </c>
      <c r="T61" s="1496">
        <f t="shared" ref="T61:T66" si="9">ROUND(Y61/Y62-1,4)</f>
        <v>1.15E-2</v>
      </c>
      <c r="U61" s="1496">
        <f t="shared" ref="U61:U66" si="10">ROUND(Z61/Z62-1,4)</f>
        <v>1.5800000000000002E-2</v>
      </c>
      <c r="V61" s="1496">
        <f t="shared" ref="V61:V66" si="11">ROUND(AA61/AA62-1,4)</f>
        <v>7.0000000000000001E-3</v>
      </c>
      <c r="W61" s="1496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4">
        <f t="shared" si="6"/>
        <v>1.17E-2</v>
      </c>
      <c r="C62" s="1494">
        <f t="shared" si="6"/>
        <v>1.61E-2</v>
      </c>
      <c r="D62" s="495">
        <f t="shared" si="2"/>
        <v>1.61E-2</v>
      </c>
      <c r="E62" s="1494">
        <f t="shared" si="7"/>
        <v>7.1000000000000004E-3</v>
      </c>
      <c r="F62" s="1495">
        <f t="shared" si="7"/>
        <v>4.8999999999999998E-3</v>
      </c>
      <c r="L62" s="1457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0">
        <v>2</v>
      </c>
      <c r="T62" s="1496">
        <f t="shared" si="9"/>
        <v>1.17E-2</v>
      </c>
      <c r="U62" s="1496">
        <f t="shared" si="10"/>
        <v>1.61E-2</v>
      </c>
      <c r="V62" s="1496">
        <f t="shared" si="11"/>
        <v>7.1000000000000004E-3</v>
      </c>
      <c r="W62" s="1496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4">
        <f t="shared" si="6"/>
        <v>1.18E-2</v>
      </c>
      <c r="C63" s="1494">
        <f t="shared" si="6"/>
        <v>1.6400000000000001E-2</v>
      </c>
      <c r="D63" s="495">
        <f t="shared" si="2"/>
        <v>1.6400000000000001E-2</v>
      </c>
      <c r="E63" s="1494">
        <f t="shared" si="7"/>
        <v>7.1000000000000004E-3</v>
      </c>
      <c r="F63" s="1495">
        <f t="shared" si="7"/>
        <v>4.8999999999999998E-3</v>
      </c>
      <c r="L63" s="1457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2">
        <v>1</v>
      </c>
      <c r="T63" s="1496">
        <f t="shared" si="9"/>
        <v>1.18E-2</v>
      </c>
      <c r="U63" s="1496">
        <f t="shared" si="10"/>
        <v>1.6400000000000001E-2</v>
      </c>
      <c r="V63" s="1496">
        <f t="shared" si="11"/>
        <v>7.1000000000000004E-3</v>
      </c>
      <c r="W63" s="1496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4">
        <f t="shared" si="6"/>
        <v>9.4999999999999998E-3</v>
      </c>
      <c r="C64" s="1494">
        <f t="shared" si="6"/>
        <v>9.4000000000000004E-3</v>
      </c>
      <c r="D64" s="495">
        <f t="shared" si="2"/>
        <v>9.4000000000000004E-3</v>
      </c>
      <c r="E64" s="1494">
        <f t="shared" si="7"/>
        <v>4.7999999999999996E-3</v>
      </c>
      <c r="F64" s="1495">
        <f t="shared" si="7"/>
        <v>4.8999999999999998E-3</v>
      </c>
      <c r="L64" s="1457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6">
        <v>2002</v>
      </c>
      <c r="S64" s="1473">
        <v>4</v>
      </c>
      <c r="T64" s="1496">
        <f t="shared" si="9"/>
        <v>9.4999999999999998E-3</v>
      </c>
      <c r="U64" s="1496">
        <f t="shared" si="10"/>
        <v>9.4000000000000004E-3</v>
      </c>
      <c r="V64" s="1496">
        <f t="shared" si="11"/>
        <v>4.7999999999999996E-3</v>
      </c>
      <c r="W64" s="1496">
        <f t="shared" si="12"/>
        <v>4.8999999999999998E-3</v>
      </c>
      <c r="X64" s="1469">
        <v>2002</v>
      </c>
      <c r="Y64" s="1470">
        <v>106</v>
      </c>
      <c r="Z64" s="1470">
        <v>107</v>
      </c>
      <c r="AA64" s="1470">
        <v>105</v>
      </c>
      <c r="AB64" s="1471">
        <v>102</v>
      </c>
    </row>
    <row r="65" spans="1:28" ht="14.25">
      <c r="A65" s="684" t="s">
        <v>1646</v>
      </c>
      <c r="B65" s="1494">
        <f t="shared" si="6"/>
        <v>9.5999999999999992E-3</v>
      </c>
      <c r="C65" s="1494">
        <f t="shared" si="6"/>
        <v>9.4999999999999998E-3</v>
      </c>
      <c r="D65" s="495">
        <f t="shared" si="2"/>
        <v>9.4999999999999998E-3</v>
      </c>
      <c r="E65" s="1494">
        <f t="shared" si="7"/>
        <v>4.7999999999999996E-3</v>
      </c>
      <c r="F65" s="1495">
        <f t="shared" si="7"/>
        <v>5.0000000000000001E-3</v>
      </c>
      <c r="L65" s="1457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6">
        <v>3</v>
      </c>
      <c r="T65" s="1496">
        <f t="shared" si="9"/>
        <v>9.5999999999999992E-3</v>
      </c>
      <c r="U65" s="1496">
        <f t="shared" si="10"/>
        <v>9.4999999999999998E-3</v>
      </c>
      <c r="V65" s="1496">
        <f t="shared" si="11"/>
        <v>4.7999999999999996E-3</v>
      </c>
      <c r="W65" s="1496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4">
        <f t="shared" si="6"/>
        <v>9.7000000000000003E-3</v>
      </c>
      <c r="C66" s="1494">
        <f t="shared" si="6"/>
        <v>9.5999999999999992E-3</v>
      </c>
      <c r="D66" s="495">
        <f t="shared" si="2"/>
        <v>9.5999999999999992E-3</v>
      </c>
      <c r="E66" s="1494">
        <f t="shared" si="7"/>
        <v>4.7999999999999996E-3</v>
      </c>
      <c r="F66" s="1495">
        <f t="shared" si="7"/>
        <v>5.0000000000000001E-3</v>
      </c>
      <c r="L66" s="1457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0">
        <v>2</v>
      </c>
      <c r="T66" s="1496">
        <f t="shared" si="9"/>
        <v>9.7000000000000003E-3</v>
      </c>
      <c r="U66" s="1496">
        <f t="shared" si="10"/>
        <v>9.5999999999999992E-3</v>
      </c>
      <c r="V66" s="1496">
        <f t="shared" si="11"/>
        <v>4.7999999999999996E-3</v>
      </c>
      <c r="W66" s="1496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4">
        <f t="shared" si="6"/>
        <v>9.7999999999999997E-3</v>
      </c>
      <c r="C67" s="1494">
        <f t="shared" si="6"/>
        <v>9.7000000000000003E-3</v>
      </c>
      <c r="D67" s="495">
        <f t="shared" si="2"/>
        <v>9.7000000000000003E-3</v>
      </c>
      <c r="E67" s="1494">
        <f t="shared" si="7"/>
        <v>4.8999999999999998E-3</v>
      </c>
      <c r="F67" s="1495">
        <f t="shared" si="7"/>
        <v>5.0000000000000001E-3</v>
      </c>
      <c r="L67" s="1456">
        <v>0</v>
      </c>
      <c r="M67" s="26">
        <v>0</v>
      </c>
      <c r="N67" s="26">
        <v>0</v>
      </c>
      <c r="O67" s="26">
        <v>0</v>
      </c>
      <c r="P67" s="26">
        <v>0</v>
      </c>
      <c r="S67" s="1492">
        <v>1</v>
      </c>
      <c r="T67" s="1496">
        <f>ROUND(Y67/Y68-1,4)</f>
        <v>9.7999999999999997E-3</v>
      </c>
      <c r="U67" s="1496">
        <f>ROUND(Z67/Z68-1,4)</f>
        <v>9.7000000000000003E-3</v>
      </c>
      <c r="V67" s="1496">
        <f>ROUND(AA67/AA68-1,4)</f>
        <v>4.8999999999999998E-3</v>
      </c>
      <c r="W67" s="1496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6">
        <v>2001</v>
      </c>
      <c r="Y68" s="1467">
        <v>102</v>
      </c>
      <c r="Z68" s="1467">
        <v>103</v>
      </c>
      <c r="AA68" s="1467">
        <v>103</v>
      </c>
      <c r="AB68" s="1468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3" sqref="J23"/>
    </sheetView>
  </sheetViews>
  <sheetFormatPr defaultRowHeight="13.5"/>
  <sheetData/>
  <phoneticPr fontId="10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3" customWidth="1"/>
    <col min="3" max="3" width="45.5" style="1322" customWidth="1"/>
    <col min="4" max="4" width="2.625" style="1322" customWidth="1"/>
    <col min="5" max="5" width="5.875" style="1322" customWidth="1"/>
    <col min="6" max="6" width="30.25" style="1323" customWidth="1"/>
    <col min="7" max="7" width="41.875" style="1324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1"/>
      <c r="E1" s="499"/>
      <c r="F1" s="499"/>
      <c r="G1" s="499"/>
    </row>
    <row r="2" spans="1:18" ht="19.5" thickBot="1">
      <c r="A2" s="1292"/>
      <c r="B2" s="1293"/>
      <c r="C2" s="1294" t="s">
        <v>208</v>
      </c>
      <c r="D2" s="1295"/>
      <c r="E2" s="1296"/>
      <c r="F2" s="1296"/>
      <c r="G2" s="1297" t="s">
        <v>209</v>
      </c>
    </row>
    <row r="3" spans="1:18" ht="75">
      <c r="A3" s="1298" t="s">
        <v>210</v>
      </c>
      <c r="B3" s="1299" t="s">
        <v>4</v>
      </c>
      <c r="C3" s="1300" t="s">
        <v>219</v>
      </c>
      <c r="D3" s="1295"/>
      <c r="E3" s="1301" t="s">
        <v>211</v>
      </c>
      <c r="F3" s="1299" t="s">
        <v>212</v>
      </c>
      <c r="G3" s="1302" t="s">
        <v>1754</v>
      </c>
    </row>
    <row r="4" spans="1:18" ht="56.25">
      <c r="A4" s="1303"/>
      <c r="B4" s="1304" t="s">
        <v>213</v>
      </c>
      <c r="C4" s="1305" t="s">
        <v>220</v>
      </c>
      <c r="D4" s="1295"/>
      <c r="E4" s="1306"/>
      <c r="F4" s="1307" t="s">
        <v>214</v>
      </c>
      <c r="G4" s="1308" t="s">
        <v>221</v>
      </c>
    </row>
    <row r="5" spans="1:18" ht="37.5">
      <c r="A5" s="1303"/>
      <c r="B5" s="1304" t="s">
        <v>215</v>
      </c>
      <c r="C5" s="1305" t="s">
        <v>222</v>
      </c>
      <c r="D5" s="1309"/>
      <c r="E5" s="1306"/>
      <c r="F5" s="1307" t="s">
        <v>216</v>
      </c>
      <c r="G5" s="1310" t="s">
        <v>956</v>
      </c>
    </row>
    <row r="6" spans="1:18" ht="56.25">
      <c r="A6" s="1303"/>
      <c r="B6" s="1307" t="s">
        <v>7</v>
      </c>
      <c r="C6" s="1308" t="s">
        <v>203</v>
      </c>
      <c r="D6" s="1309"/>
      <c r="E6" s="1306"/>
      <c r="F6" s="1307" t="s">
        <v>204</v>
      </c>
      <c r="G6" s="1311" t="s">
        <v>205</v>
      </c>
    </row>
    <row r="7" spans="1:18" ht="37.5">
      <c r="A7" s="1303"/>
      <c r="B7" s="1307" t="s">
        <v>11</v>
      </c>
      <c r="C7" s="1310" t="s">
        <v>956</v>
      </c>
      <c r="D7" s="1295"/>
      <c r="E7" s="1306"/>
      <c r="F7" s="1312" t="s">
        <v>1197</v>
      </c>
      <c r="G7" s="1313" t="s">
        <v>1199</v>
      </c>
    </row>
    <row r="8" spans="1:18" ht="37.5">
      <c r="A8" s="1303"/>
      <c r="B8" s="1307" t="s">
        <v>10</v>
      </c>
      <c r="C8" s="1305" t="s">
        <v>206</v>
      </c>
      <c r="D8" s="1309"/>
      <c r="E8" s="1306"/>
      <c r="F8" s="1312" t="s">
        <v>1198</v>
      </c>
      <c r="G8" s="1308" t="s">
        <v>1200</v>
      </c>
    </row>
    <row r="9" spans="1:18" ht="37.5">
      <c r="A9" s="1303"/>
      <c r="B9" s="1312" t="s">
        <v>1197</v>
      </c>
      <c r="C9" s="1308" t="s">
        <v>1199</v>
      </c>
      <c r="D9" s="1295"/>
      <c r="E9" s="1306"/>
      <c r="F9" s="1307" t="s">
        <v>9</v>
      </c>
      <c r="G9" s="1314"/>
    </row>
    <row r="10" spans="1:18">
      <c r="A10" s="1303"/>
      <c r="B10" s="1312" t="s">
        <v>1198</v>
      </c>
      <c r="C10" s="1308" t="s">
        <v>1200</v>
      </c>
      <c r="D10" s="1295"/>
      <c r="E10" s="1306"/>
      <c r="F10" s="1307" t="s">
        <v>217</v>
      </c>
      <c r="G10" s="1310"/>
    </row>
    <row r="11" spans="1:18" s="445" customFormat="1" ht="19.5" thickBot="1">
      <c r="A11" s="1303"/>
      <c r="B11" s="1307" t="s">
        <v>9</v>
      </c>
      <c r="C11" s="1314"/>
      <c r="D11" s="447"/>
      <c r="E11" s="1315"/>
      <c r="F11" s="1316" t="s">
        <v>218</v>
      </c>
      <c r="G11" s="1317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8"/>
      <c r="B12" s="1316" t="s">
        <v>8</v>
      </c>
      <c r="C12" s="1319"/>
      <c r="D12" s="447"/>
      <c r="E12" s="1320"/>
      <c r="F12" s="1320"/>
      <c r="G12" s="1321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6" customWidth="1"/>
    <col min="2" max="9" width="15.75" style="1696" customWidth="1"/>
    <col min="10" max="16384" width="9" style="1696"/>
  </cols>
  <sheetData>
    <row r="1" spans="1:10" ht="16.5">
      <c r="A1" s="1693" t="s">
        <v>1722</v>
      </c>
      <c r="B1" s="1693">
        <f>SUM(B14:B23)</f>
        <v>67.11</v>
      </c>
      <c r="C1" s="1694"/>
      <c r="D1" s="1694"/>
      <c r="E1" s="1694"/>
      <c r="F1" s="1694"/>
      <c r="G1" s="1695"/>
    </row>
    <row r="2" spans="1:10" ht="16.5">
      <c r="A2" s="1693" t="s">
        <v>1723</v>
      </c>
      <c r="B2" s="1693">
        <f>SUM(C14:C23)</f>
        <v>0</v>
      </c>
      <c r="C2" s="1694"/>
      <c r="D2" s="1694"/>
      <c r="E2" s="1694"/>
      <c r="F2" s="1694"/>
      <c r="G2" s="1695"/>
    </row>
    <row r="3" spans="1:10" ht="16.5">
      <c r="A3" s="1693" t="s">
        <v>1724</v>
      </c>
      <c r="B3" s="1697">
        <f>主表!B3</f>
        <v>38322</v>
      </c>
      <c r="C3" s="1694"/>
      <c r="D3" s="1694"/>
      <c r="E3" s="1694"/>
      <c r="F3" s="1694"/>
      <c r="G3" s="1695"/>
    </row>
    <row r="4" spans="1:10" ht="33">
      <c r="A4" s="1693" t="s">
        <v>1725</v>
      </c>
      <c r="B4" s="1693" t="s">
        <v>1726</v>
      </c>
      <c r="C4" s="1693" t="s">
        <v>1727</v>
      </c>
      <c r="D4" s="1693" t="s">
        <v>1728</v>
      </c>
      <c r="E4" s="1694"/>
      <c r="F4" s="1695"/>
      <c r="G4" s="1695"/>
    </row>
    <row r="5" spans="1:10" ht="16.5">
      <c r="A5" s="1693" t="s">
        <v>1729</v>
      </c>
      <c r="B5" s="1693">
        <f>SUM(D14:D23)</f>
        <v>0</v>
      </c>
      <c r="C5" s="1693">
        <f>ROUND(B5*10000/$B$1,0)</f>
        <v>0</v>
      </c>
      <c r="D5" s="1693" t="e">
        <f>ROUND(B5*10000/$B$2,0)</f>
        <v>#DIV/0!</v>
      </c>
      <c r="E5" s="1694"/>
      <c r="F5" s="1695"/>
      <c r="G5" s="1695"/>
    </row>
    <row r="6" spans="1:10" ht="16.5">
      <c r="A6" s="1693" t="s">
        <v>1730</v>
      </c>
      <c r="B6" s="1693">
        <f>SUM(G14:G23)</f>
        <v>0</v>
      </c>
      <c r="C6" s="1693">
        <f>ROUND(B6*10000/$B$1,0)</f>
        <v>0</v>
      </c>
      <c r="D6" s="1693" t="e">
        <f>ROUND(B6*10000/$B$2,0)</f>
        <v>#DIV/0!</v>
      </c>
      <c r="E6" s="1694"/>
      <c r="F6" s="1695"/>
      <c r="G6" s="1695"/>
    </row>
    <row r="7" spans="1:10" ht="16.5">
      <c r="A7" s="1693" t="s">
        <v>1731</v>
      </c>
      <c r="B7" s="1693">
        <f>SUM(H14:H23)</f>
        <v>0</v>
      </c>
      <c r="C7" s="1693">
        <f>ROUND(B7*10000/$B$1,0)</f>
        <v>0</v>
      </c>
      <c r="D7" s="1693" t="e">
        <f>ROUND(B7*10000/$B$2,0)</f>
        <v>#DIV/0!</v>
      </c>
      <c r="E7" s="1694"/>
      <c r="F7" s="1695"/>
      <c r="G7" s="1695"/>
    </row>
    <row r="8" spans="1:10" ht="16.5">
      <c r="A8" s="1693" t="s">
        <v>1732</v>
      </c>
      <c r="B8" s="1693">
        <f>SUM(I14:I23)</f>
        <v>0</v>
      </c>
      <c r="C8" s="1693">
        <f>ROUND(B8*10000/$B$1,0)</f>
        <v>0</v>
      </c>
      <c r="D8" s="1693" t="e">
        <f>ROUND(B8*10000/$B$2,0)</f>
        <v>#DIV/0!</v>
      </c>
      <c r="E8" s="1694"/>
      <c r="F8" s="1695"/>
      <c r="G8" s="1695"/>
    </row>
    <row r="9" spans="1:10" ht="16.5">
      <c r="A9" s="1693" t="s">
        <v>1733</v>
      </c>
      <c r="B9" s="1698"/>
      <c r="C9" s="1694"/>
      <c r="D9" s="1694"/>
      <c r="E9" s="1694"/>
      <c r="F9" s="1695"/>
      <c r="G9" s="1695"/>
    </row>
    <row r="10" spans="1:10" ht="16.5">
      <c r="A10" s="1693" t="s">
        <v>1734</v>
      </c>
      <c r="B10" s="1698"/>
      <c r="C10" s="1694"/>
      <c r="D10" s="1694"/>
      <c r="E10" s="1694"/>
      <c r="F10" s="1695"/>
      <c r="G10" s="1695"/>
    </row>
    <row r="11" spans="1:10" ht="16.5">
      <c r="A11" s="1693" t="s">
        <v>1753</v>
      </c>
      <c r="B11" s="1693">
        <f ca="1">结果表!B19</f>
        <v>0</v>
      </c>
      <c r="C11" s="1693">
        <f ca="1">结果表!B18</f>
        <v>0</v>
      </c>
      <c r="D11" s="1694"/>
      <c r="E11" s="1694"/>
      <c r="F11" s="1695"/>
      <c r="G11" s="1695"/>
    </row>
    <row r="12" spans="1:10" ht="16.5">
      <c r="A12" s="1694"/>
      <c r="B12" s="1694"/>
      <c r="C12" s="1694"/>
      <c r="D12" s="1694"/>
      <c r="E12" s="1694"/>
      <c r="F12" s="1695"/>
      <c r="G12" s="1695"/>
    </row>
    <row r="13" spans="1:10" ht="33">
      <c r="A13" s="1699" t="s">
        <v>1735</v>
      </c>
      <c r="B13" s="1700" t="s">
        <v>1736</v>
      </c>
      <c r="C13" s="1700" t="s">
        <v>1737</v>
      </c>
      <c r="D13" s="1700" t="s">
        <v>1738</v>
      </c>
      <c r="E13" s="1693" t="s">
        <v>1727</v>
      </c>
      <c r="F13" s="1693" t="s">
        <v>1739</v>
      </c>
      <c r="G13" s="1700" t="s">
        <v>1740</v>
      </c>
      <c r="H13" s="1700" t="s">
        <v>1741</v>
      </c>
      <c r="I13" s="1700" t="s">
        <v>1742</v>
      </c>
      <c r="J13" s="1695"/>
    </row>
    <row r="14" spans="1:10" ht="16.5">
      <c r="A14" s="1701" t="s">
        <v>1743</v>
      </c>
      <c r="B14" s="1700">
        <f>主表!B7</f>
        <v>67.11</v>
      </c>
      <c r="C14" s="1700">
        <f>主表!B6</f>
        <v>0</v>
      </c>
      <c r="D14" s="1700"/>
      <c r="E14" s="1700">
        <f>ROUND(D14*10000/B14,0)</f>
        <v>0</v>
      </c>
      <c r="F14" s="1700" t="e">
        <f>ROUND(D14*10000/C14,0)</f>
        <v>#DIV/0!</v>
      </c>
      <c r="G14" s="1700"/>
      <c r="H14" s="1700"/>
      <c r="I14" s="1700"/>
      <c r="J14" s="1695"/>
    </row>
    <row r="15" spans="1:10" ht="16.5">
      <c r="A15" s="1701" t="s">
        <v>1744</v>
      </c>
      <c r="B15" s="1702"/>
      <c r="C15" s="1702"/>
      <c r="D15" s="1702"/>
      <c r="E15" s="1700" t="e">
        <f t="shared" ref="E15:E23" si="0">ROUND(D15*10000/B15,0)</f>
        <v>#DIV/0!</v>
      </c>
      <c r="F15" s="1700" t="e">
        <f t="shared" ref="F15:F23" si="1">ROUND(D15*10000/C15,0)</f>
        <v>#DIV/0!</v>
      </c>
      <c r="G15" s="1703"/>
      <c r="H15" s="1703"/>
      <c r="I15" s="1702"/>
      <c r="J15" s="1695"/>
    </row>
    <row r="16" spans="1:10" ht="16.5">
      <c r="A16" s="1701" t="s">
        <v>1745</v>
      </c>
      <c r="B16" s="1702"/>
      <c r="C16" s="1702"/>
      <c r="D16" s="1702"/>
      <c r="E16" s="1700" t="e">
        <f t="shared" si="0"/>
        <v>#DIV/0!</v>
      </c>
      <c r="F16" s="1700" t="e">
        <f t="shared" si="1"/>
        <v>#DIV/0!</v>
      </c>
      <c r="G16" s="1703"/>
      <c r="H16" s="1703"/>
      <c r="I16" s="1702"/>
    </row>
    <row r="17" spans="1:9" ht="16.5">
      <c r="A17" s="1701" t="s">
        <v>1746</v>
      </c>
      <c r="B17" s="1702"/>
      <c r="C17" s="1702"/>
      <c r="D17" s="1702"/>
      <c r="E17" s="1700" t="e">
        <f t="shared" si="0"/>
        <v>#DIV/0!</v>
      </c>
      <c r="F17" s="1700" t="e">
        <f t="shared" si="1"/>
        <v>#DIV/0!</v>
      </c>
      <c r="G17" s="1703"/>
      <c r="H17" s="1703"/>
      <c r="I17" s="1702"/>
    </row>
    <row r="18" spans="1:9" ht="16.5">
      <c r="A18" s="1701" t="s">
        <v>1747</v>
      </c>
      <c r="B18" s="1702"/>
      <c r="C18" s="1702"/>
      <c r="D18" s="1702"/>
      <c r="E18" s="1700" t="e">
        <f t="shared" si="0"/>
        <v>#DIV/0!</v>
      </c>
      <c r="F18" s="1700" t="e">
        <f t="shared" si="1"/>
        <v>#DIV/0!</v>
      </c>
      <c r="G18" s="1702"/>
      <c r="H18" s="1702"/>
      <c r="I18" s="1702"/>
    </row>
    <row r="19" spans="1:9" ht="16.5">
      <c r="A19" s="1701" t="s">
        <v>1748</v>
      </c>
      <c r="B19" s="1702"/>
      <c r="C19" s="1702"/>
      <c r="D19" s="1702"/>
      <c r="E19" s="1700" t="e">
        <f t="shared" si="0"/>
        <v>#DIV/0!</v>
      </c>
      <c r="F19" s="1700" t="e">
        <f t="shared" si="1"/>
        <v>#DIV/0!</v>
      </c>
      <c r="G19" s="1702"/>
      <c r="H19" s="1702"/>
      <c r="I19" s="1702"/>
    </row>
    <row r="20" spans="1:9" ht="16.5">
      <c r="A20" s="1701" t="s">
        <v>1749</v>
      </c>
      <c r="B20" s="1702"/>
      <c r="C20" s="1702"/>
      <c r="D20" s="1702"/>
      <c r="E20" s="1700" t="e">
        <f t="shared" si="0"/>
        <v>#DIV/0!</v>
      </c>
      <c r="F20" s="1700" t="e">
        <f t="shared" si="1"/>
        <v>#DIV/0!</v>
      </c>
      <c r="G20" s="1702"/>
      <c r="H20" s="1702"/>
      <c r="I20" s="1702"/>
    </row>
    <row r="21" spans="1:9" ht="16.5">
      <c r="A21" s="1701" t="s">
        <v>1750</v>
      </c>
      <c r="B21" s="1702"/>
      <c r="C21" s="1702"/>
      <c r="D21" s="1702"/>
      <c r="E21" s="1700" t="e">
        <f t="shared" si="0"/>
        <v>#DIV/0!</v>
      </c>
      <c r="F21" s="1700" t="e">
        <f t="shared" si="1"/>
        <v>#DIV/0!</v>
      </c>
      <c r="G21" s="1702"/>
      <c r="H21" s="1702"/>
      <c r="I21" s="1702"/>
    </row>
    <row r="22" spans="1:9" ht="16.5">
      <c r="A22" s="1701" t="s">
        <v>1751</v>
      </c>
      <c r="B22" s="1702"/>
      <c r="C22" s="1702"/>
      <c r="D22" s="1702"/>
      <c r="E22" s="1700" t="e">
        <f t="shared" si="0"/>
        <v>#DIV/0!</v>
      </c>
      <c r="F22" s="1700" t="e">
        <f t="shared" si="1"/>
        <v>#DIV/0!</v>
      </c>
      <c r="G22" s="1702"/>
      <c r="H22" s="1702"/>
      <c r="I22" s="1702"/>
    </row>
    <row r="23" spans="1:9" ht="16.5">
      <c r="A23" s="1701" t="s">
        <v>1752</v>
      </c>
      <c r="B23" s="1702"/>
      <c r="C23" s="1702"/>
      <c r="D23" s="1702"/>
      <c r="E23" s="1700" t="e">
        <f t="shared" si="0"/>
        <v>#DIV/0!</v>
      </c>
      <c r="F23" s="1700" t="e">
        <f t="shared" si="1"/>
        <v>#DIV/0!</v>
      </c>
      <c r="G23" s="1702"/>
      <c r="H23" s="1702"/>
      <c r="I23" s="1702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4" t="s">
        <v>1368</v>
      </c>
      <c r="B2" s="1764"/>
      <c r="C2" s="1764"/>
      <c r="D2" s="1764"/>
      <c r="E2" s="1764"/>
      <c r="F2" s="1764"/>
      <c r="G2" s="1764"/>
      <c r="H2" s="665"/>
      <c r="I2" s="227"/>
      <c r="X2" s="221"/>
      <c r="AG2" s="189"/>
    </row>
    <row r="3" spans="1:33" ht="13.5">
      <c r="A3" s="1765" t="s">
        <v>1369</v>
      </c>
      <c r="B3" s="1766"/>
      <c r="C3" s="1767"/>
      <c r="D3" s="1768" t="s">
        <v>1370</v>
      </c>
      <c r="E3" s="1766"/>
      <c r="F3" s="1766"/>
      <c r="G3" s="1769"/>
      <c r="H3" s="665"/>
      <c r="I3" s="227"/>
      <c r="X3" s="221"/>
      <c r="AG3" s="189"/>
    </row>
    <row r="4" spans="1:33" ht="27">
      <c r="A4" s="1330" t="s">
        <v>1371</v>
      </c>
      <c r="B4" s="1331" t="s">
        <v>1372</v>
      </c>
      <c r="C4" s="1332" t="s">
        <v>1373</v>
      </c>
      <c r="D4" s="1770" t="s">
        <v>1371</v>
      </c>
      <c r="E4" s="1762"/>
      <c r="F4" s="1331" t="s">
        <v>1372</v>
      </c>
      <c r="G4" s="1333" t="s">
        <v>1374</v>
      </c>
      <c r="H4" s="665"/>
      <c r="I4" s="221"/>
      <c r="X4" s="221"/>
      <c r="AG4" s="189"/>
    </row>
    <row r="5" spans="1:33" ht="13.5">
      <c r="A5" s="1771" t="s">
        <v>1375</v>
      </c>
      <c r="B5" s="1756">
        <f>主表!F5</f>
        <v>3718</v>
      </c>
      <c r="C5" s="1772" t="s">
        <v>1376</v>
      </c>
      <c r="D5" s="1762" t="s">
        <v>1377</v>
      </c>
      <c r="E5" s="1763"/>
      <c r="F5" s="1334">
        <f>SUM(F6:F10)</f>
        <v>0</v>
      </c>
      <c r="G5" s="1335" t="s">
        <v>1654</v>
      </c>
      <c r="H5" s="665"/>
      <c r="I5" s="227"/>
      <c r="X5" s="221"/>
      <c r="AG5" s="189"/>
    </row>
    <row r="6" spans="1:33" ht="27">
      <c r="A6" s="1771"/>
      <c r="B6" s="1756"/>
      <c r="C6" s="1772"/>
      <c r="D6" s="1773" t="s">
        <v>1398</v>
      </c>
      <c r="E6" s="1334" t="s">
        <v>1378</v>
      </c>
      <c r="F6" s="1334">
        <f>主表!F14</f>
        <v>0</v>
      </c>
      <c r="G6" s="1335" t="s">
        <v>1379</v>
      </c>
      <c r="H6" s="665"/>
      <c r="I6" s="227"/>
      <c r="X6" s="221"/>
      <c r="AG6" s="189"/>
    </row>
    <row r="7" spans="1:33" ht="13.5">
      <c r="A7" s="1771"/>
      <c r="B7" s="1756"/>
      <c r="C7" s="1772"/>
      <c r="D7" s="1773"/>
      <c r="E7" s="1334" t="s">
        <v>1380</v>
      </c>
      <c r="F7" s="1334">
        <f>主表!F15</f>
        <v>0</v>
      </c>
      <c r="G7" s="1335"/>
      <c r="H7" s="665"/>
      <c r="I7" s="227"/>
      <c r="X7" s="221"/>
      <c r="AG7" s="189"/>
    </row>
    <row r="8" spans="1:33" ht="13.5">
      <c r="A8" s="1771"/>
      <c r="B8" s="1756"/>
      <c r="C8" s="1772"/>
      <c r="D8" s="1758" t="s">
        <v>1399</v>
      </c>
      <c r="E8" s="1759"/>
      <c r="F8" s="1334">
        <f>主表!F16</f>
        <v>0</v>
      </c>
      <c r="G8" s="1335" t="str">
        <f>"按建安工程费的"&amp;TEXT(主表!G16,"0.0%")&amp;"计取"</f>
        <v>按建安工程费的0.0%计取</v>
      </c>
      <c r="H8" s="665"/>
      <c r="I8" s="227"/>
      <c r="X8" s="221"/>
      <c r="AG8" s="189"/>
    </row>
    <row r="9" spans="1:33" ht="13.5">
      <c r="A9" s="1771"/>
      <c r="B9" s="1756"/>
      <c r="C9" s="1772"/>
      <c r="D9" s="1758" t="s">
        <v>1400</v>
      </c>
      <c r="E9" s="1759"/>
      <c r="F9" s="1334">
        <f>主表!F18</f>
        <v>0</v>
      </c>
      <c r="G9" s="1335" t="str">
        <f>"按建安工程费的"&amp;TEXT(主表!G18,"0.0%")&amp;"计取"</f>
        <v>按建安工程费的0.0%计取</v>
      </c>
      <c r="H9" s="665"/>
      <c r="I9" s="227"/>
      <c r="X9" s="221"/>
      <c r="AG9" s="189"/>
    </row>
    <row r="10" spans="1:33" ht="13.5">
      <c r="A10" s="1771"/>
      <c r="B10" s="1756"/>
      <c r="C10" s="1772"/>
      <c r="D10" s="1758" t="s">
        <v>1401</v>
      </c>
      <c r="E10" s="1759"/>
      <c r="F10" s="1334">
        <f>主表!F19</f>
        <v>0</v>
      </c>
      <c r="G10" s="1335" t="str">
        <f>"按建安工程费的"&amp;TEXT(主表!G19,"0.0%")&amp;"计取"</f>
        <v>按建安工程费的0.0%计取</v>
      </c>
      <c r="H10" s="665"/>
      <c r="I10" s="227"/>
      <c r="X10" s="221"/>
      <c r="AG10" s="189"/>
    </row>
    <row r="11" spans="1:33" ht="13.5">
      <c r="A11" s="1330" t="s">
        <v>1381</v>
      </c>
      <c r="B11" s="1334">
        <f>主表!F8</f>
        <v>0</v>
      </c>
      <c r="C11" s="1336" t="str">
        <f>"按前期开发成本的"&amp;TEXT(主表!G8,"0.0%")&amp;"计取"</f>
        <v>按前期开发成本的0.0%计取</v>
      </c>
      <c r="D11" s="1762" t="s">
        <v>1382</v>
      </c>
      <c r="E11" s="1763"/>
      <c r="F11" s="1334">
        <f>主表!F20</f>
        <v>0</v>
      </c>
      <c r="G11" s="1335" t="str">
        <f>"按房屋建设成本的"&amp;主表!G20&amp;"计取"</f>
        <v>按房屋建设成本的计取</v>
      </c>
      <c r="H11" s="665"/>
      <c r="I11" s="227"/>
      <c r="X11" s="221"/>
      <c r="AG11" s="189"/>
    </row>
    <row r="12" spans="1:33" ht="40.5">
      <c r="A12" s="1330" t="s">
        <v>1383</v>
      </c>
      <c r="B12" s="1334">
        <f ca="1">主表!F9</f>
        <v>0</v>
      </c>
      <c r="C12" s="1337" t="str">
        <f ca="1">"前期开发期为"&amp;主表!B24&amp;"年，贷款利率为"&amp;TEXT(主表!G9,"0.00%")&amp;"，"&amp;主表!H9</f>
        <v>前期开发期为年，贷款利率为3.00%，计息期为年，单利计息</v>
      </c>
      <c r="D12" s="1762" t="s">
        <v>1384</v>
      </c>
      <c r="E12" s="1763"/>
      <c r="F12" s="1334">
        <f ca="1">主表!F21</f>
        <v>0</v>
      </c>
      <c r="G12" s="1335" t="str">
        <f ca="1">"房屋建设期为"&amp;主表!B23&amp;"年，贷款利率为"&amp;TEXT(主表!G21,"0.00%")&amp;"，"&amp;主表!H21</f>
        <v>房屋建设期为年，贷款利率为0.00%，计息期为年，复利计息</v>
      </c>
      <c r="H12" s="665"/>
      <c r="I12" s="227"/>
      <c r="X12" s="221"/>
      <c r="AG12" s="189"/>
    </row>
    <row r="13" spans="1:33" ht="27">
      <c r="A13" s="1330" t="s">
        <v>1385</v>
      </c>
      <c r="B13" s="1334">
        <f>主表!F10</f>
        <v>0</v>
      </c>
      <c r="C13" s="1337" t="str">
        <f>"按前期开发成本及其管理费用的"&amp;TEXT(主表!G10,"0%")&amp;"计取"</f>
        <v>按前期开发成本及其管理费用的0%计取</v>
      </c>
      <c r="D13" s="1762" t="s">
        <v>1385</v>
      </c>
      <c r="E13" s="1763"/>
      <c r="F13" s="1334">
        <f>主表!F22</f>
        <v>0</v>
      </c>
      <c r="G13" s="1335" t="str">
        <f>"按房屋建设成本及其管理费用的"&amp;TEXT(主表!G22,"0%")&amp;"计取"</f>
        <v>按房屋建设成本及其管理费用的0%计取</v>
      </c>
      <c r="H13" s="665"/>
      <c r="I13" s="227"/>
      <c r="X13" s="221"/>
      <c r="AG13" s="189"/>
    </row>
    <row r="14" spans="1:33" ht="13.5">
      <c r="A14" s="1330" t="s">
        <v>1386</v>
      </c>
      <c r="B14" s="1334">
        <f ca="1">SUM(B5:B13)</f>
        <v>3718</v>
      </c>
      <c r="C14" s="1337" t="s">
        <v>1387</v>
      </c>
      <c r="D14" s="1762" t="s">
        <v>1386</v>
      </c>
      <c r="E14" s="1763"/>
      <c r="F14" s="1334">
        <f ca="1">F5+F11+F12+F13</f>
        <v>0</v>
      </c>
      <c r="G14" s="1335" t="s">
        <v>1387</v>
      </c>
      <c r="H14" s="665"/>
      <c r="I14" s="227"/>
      <c r="X14" s="221"/>
      <c r="AG14" s="189"/>
    </row>
    <row r="15" spans="1:33" ht="27.75" thickBot="1">
      <c r="A15" s="1330" t="s">
        <v>1388</v>
      </c>
      <c r="B15" s="1756">
        <f ca="1">主表!F24</f>
        <v>3718</v>
      </c>
      <c r="C15" s="1757"/>
      <c r="D15" s="1758" t="s">
        <v>1389</v>
      </c>
      <c r="E15" s="1759"/>
      <c r="F15" s="1759"/>
      <c r="G15" s="1760"/>
      <c r="H15" s="665"/>
      <c r="I15" s="227"/>
      <c r="X15" s="221"/>
      <c r="AG15" s="189"/>
    </row>
    <row r="16" spans="1:33" ht="27.75" thickBot="1">
      <c r="A16" s="1330" t="s">
        <v>1390</v>
      </c>
      <c r="B16" s="1756">
        <f ca="1">主表!F25</f>
        <v>24.951499999999999</v>
      </c>
      <c r="C16" s="1757"/>
      <c r="D16" s="1758" t="s">
        <v>1391</v>
      </c>
      <c r="E16" s="1759"/>
      <c r="F16" s="1759"/>
      <c r="G16" s="1760"/>
      <c r="H16" s="1339" t="str">
        <f ca="1">NUMBERSTRING(INT(B16*10000),2)&amp;"元整"</f>
        <v>贰拾肆万玖仟伍佰壹拾伍元整</v>
      </c>
      <c r="I16" s="1340"/>
      <c r="X16" s="221"/>
      <c r="AG16" s="189"/>
    </row>
    <row r="17" spans="1:33" ht="13.5">
      <c r="A17" s="1330" t="s">
        <v>1392</v>
      </c>
      <c r="B17" s="1761">
        <f>主表!F33</f>
        <v>0</v>
      </c>
      <c r="C17" s="1757"/>
      <c r="D17" s="1758" t="s">
        <v>1393</v>
      </c>
      <c r="E17" s="1759"/>
      <c r="F17" s="1759"/>
      <c r="G17" s="1760"/>
      <c r="H17" s="665"/>
      <c r="I17" s="227"/>
      <c r="X17" s="221"/>
      <c r="AG17" s="189"/>
    </row>
    <row r="18" spans="1:33" ht="27.75" thickBot="1">
      <c r="A18" s="1330" t="s">
        <v>1394</v>
      </c>
      <c r="B18" s="1756">
        <f ca="1">主表!F35</f>
        <v>0</v>
      </c>
      <c r="C18" s="1757"/>
      <c r="D18" s="1758" t="s">
        <v>1395</v>
      </c>
      <c r="E18" s="1759"/>
      <c r="F18" s="1759"/>
      <c r="G18" s="1760"/>
      <c r="H18" s="663"/>
      <c r="I18" s="227"/>
      <c r="X18" s="221"/>
      <c r="AG18" s="189"/>
    </row>
    <row r="19" spans="1:33" ht="27.75" thickBot="1">
      <c r="A19" s="1338" t="s">
        <v>1396</v>
      </c>
      <c r="B19" s="1751">
        <f ca="1">主表!F36</f>
        <v>0</v>
      </c>
      <c r="C19" s="1752"/>
      <c r="D19" s="1753" t="s">
        <v>1397</v>
      </c>
      <c r="E19" s="1754"/>
      <c r="F19" s="1754"/>
      <c r="G19" s="1755"/>
      <c r="H19" s="1339" t="str">
        <f ca="1">NUMBERSTRING(INT(B19*10000),2)&amp;"元整"</f>
        <v>零元整</v>
      </c>
      <c r="I19" s="1340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4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3"/>
      <c r="E23" s="1343"/>
      <c r="F23" s="1343"/>
      <c r="G23" s="1345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6" t="s">
        <v>225</v>
      </c>
      <c r="H26" s="227"/>
      <c r="I26" s="227"/>
      <c r="W26" s="221"/>
      <c r="X26" s="221"/>
      <c r="AF26" s="189"/>
      <c r="AG26" s="189"/>
    </row>
    <row r="27" spans="1:33">
      <c r="A27" s="1341" t="s">
        <v>226</v>
      </c>
      <c r="B27" s="1342"/>
      <c r="C27" s="1342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6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6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28" sqref="B28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79" t="s">
        <v>1288</v>
      </c>
      <c r="E2" s="1780"/>
      <c r="F2" s="1780"/>
      <c r="G2" s="1780"/>
      <c r="H2" s="1781"/>
      <c r="I2" s="1198"/>
      <c r="J2" s="1198"/>
      <c r="K2" s="1249"/>
      <c r="L2" s="1249"/>
      <c r="N2" s="516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8">
        <v>38322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3">
        <f>IF(B22="",O2,YEAR(B3)-B22)</f>
        <v>60</v>
      </c>
    </row>
    <row r="4" spans="1:18" ht="15.75" customHeight="1">
      <c r="A4" s="1199" t="s">
        <v>1546</v>
      </c>
      <c r="B4" s="518">
        <v>38322</v>
      </c>
      <c r="C4" s="1197"/>
      <c r="D4" s="1205" t="s">
        <v>1289</v>
      </c>
      <c r="E4" s="1206" t="s">
        <v>1585</v>
      </c>
      <c r="F4" s="1207">
        <f ca="1">F5+F8+F9+F10</f>
        <v>3718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7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3">
        <f>IF(B4&lt;DATE(2002,12,10),F6,F6-F7)</f>
        <v>3718</v>
      </c>
      <c r="G5" s="1215"/>
      <c r="H5" s="1216" t="s">
        <v>1299</v>
      </c>
      <c r="I5" s="1210"/>
      <c r="J5" s="1193"/>
      <c r="K5" s="1249"/>
      <c r="L5" s="1249"/>
      <c r="N5" s="515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/>
      <c r="C6" s="1197"/>
      <c r="D6" s="1218" t="s">
        <v>1281</v>
      </c>
      <c r="E6" s="1214" t="s">
        <v>1234</v>
      </c>
      <c r="F6" s="1053">
        <f>IF(B4&lt;DATE(2002,12,10),'1993基准地价'!B3,IF(B4&gt;=DATE(2014,8,28),'2014基准地价'!B3,'2002基准地价'!B3))</f>
        <v>4975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7" t="s">
        <v>1580</v>
      </c>
      <c r="J6" s="1193"/>
      <c r="K6" s="1249"/>
      <c r="L6" s="1249"/>
      <c r="N6" s="515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67.11</v>
      </c>
      <c r="C7" s="1197"/>
      <c r="D7" s="1218" t="s">
        <v>1282</v>
      </c>
      <c r="E7" s="1214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1257</v>
      </c>
      <c r="G7" s="1223"/>
      <c r="H7" s="1384" t="s">
        <v>1776</v>
      </c>
      <c r="I7" s="1224" t="s">
        <v>1573</v>
      </c>
      <c r="J7" s="1193"/>
      <c r="K7" s="1249"/>
      <c r="L7" s="1249"/>
      <c r="N7" s="515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 t="e">
        <f>ROUND(B7/B6,2)</f>
        <v>#DIV/0!</v>
      </c>
      <c r="C8" s="1197"/>
      <c r="D8" s="1226">
        <v>2</v>
      </c>
      <c r="E8" s="1227" t="s">
        <v>1237</v>
      </c>
      <c r="F8" s="1228">
        <f>ROUND(F5*G8,0)</f>
        <v>0</v>
      </c>
      <c r="G8" s="664"/>
      <c r="H8" s="1229"/>
      <c r="I8" s="1210" t="s">
        <v>1298</v>
      </c>
      <c r="J8" s="1193"/>
      <c r="K8" s="1249"/>
      <c r="L8" s="1249"/>
      <c r="N8" s="515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0</v>
      </c>
      <c r="G9" s="1230">
        <f ca="1">存贷款利率!G2</f>
        <v>0.03</v>
      </c>
      <c r="H9" s="1231" t="str">
        <f>"计息期为"&amp;B24&amp;"年，"&amp;IF(B24&lt;=1,"单利计息","复利计息")</f>
        <v>计息期为年，单利计息</v>
      </c>
      <c r="I9" s="1232"/>
      <c r="J9" s="1233"/>
      <c r="K9" s="1249"/>
      <c r="L9" s="1249"/>
      <c r="N9" s="515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747" t="s">
        <v>584</v>
      </c>
      <c r="C10" s="1197"/>
      <c r="D10" s="1235">
        <v>4</v>
      </c>
      <c r="E10" s="1236" t="s">
        <v>1239</v>
      </c>
      <c r="F10" s="1237">
        <f>ROUND((F5+F8)*G10,0)</f>
        <v>0</v>
      </c>
      <c r="G10" s="521"/>
      <c r="H10" s="1238" t="s">
        <v>1241</v>
      </c>
      <c r="I10" s="1239" t="s">
        <v>1240</v>
      </c>
      <c r="J10" s="1240"/>
      <c r="K10" s="1249"/>
      <c r="L10" s="1249"/>
      <c r="N10" s="515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/>
      <c r="C11" s="1197"/>
      <c r="D11" s="1241" t="s">
        <v>1295</v>
      </c>
      <c r="E11" s="1242" t="s">
        <v>1587</v>
      </c>
      <c r="F11" s="1207">
        <f ca="1">F12+F20+F21+F22</f>
        <v>0</v>
      </c>
      <c r="G11" s="1243"/>
      <c r="H11" s="1244" t="s">
        <v>1242</v>
      </c>
      <c r="I11" s="1210"/>
      <c r="J11" s="1193"/>
      <c r="K11" s="1249"/>
      <c r="L11" s="1249"/>
      <c r="N11" s="515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1767</v>
      </c>
      <c r="C12" s="1197"/>
      <c r="D12" s="1226">
        <v>1</v>
      </c>
      <c r="E12" s="1227" t="s">
        <v>1588</v>
      </c>
      <c r="F12" s="1228">
        <f>F13+F16+F17</f>
        <v>0</v>
      </c>
      <c r="G12" s="1245"/>
      <c r="H12" s="1246" t="s">
        <v>1300</v>
      </c>
      <c r="I12" s="1210"/>
      <c r="J12" s="1193"/>
      <c r="K12" s="1249"/>
      <c r="L12" s="1249"/>
      <c r="N12" s="515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70</v>
      </c>
      <c r="C13" s="1197"/>
      <c r="D13" s="1218" t="s">
        <v>1281</v>
      </c>
      <c r="E13" s="1227" t="s">
        <v>1243</v>
      </c>
      <c r="F13" s="1228">
        <f>F14+F15</f>
        <v>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508"/>
      <c r="C14" s="1197"/>
      <c r="D14" s="1226" t="s">
        <v>1284</v>
      </c>
      <c r="E14" s="1227" t="s">
        <v>1244</v>
      </c>
      <c r="F14" s="522"/>
      <c r="G14" s="1247"/>
      <c r="H14" s="1219"/>
      <c r="I14" s="1210"/>
      <c r="J14" s="1193"/>
      <c r="K14" s="1249"/>
      <c r="L14" s="1249"/>
    </row>
    <row r="15" spans="1:18" ht="15.75" customHeight="1">
      <c r="A15" s="509" t="s">
        <v>201</v>
      </c>
      <c r="B15" s="510">
        <f>IF(B14="",B13-(YEAR($B$4)-B22+B23+B24),ROUNDDOWN(MIN((B14-$B$4)/365,B13),2))</f>
        <v>-1934</v>
      </c>
      <c r="C15" s="1197"/>
      <c r="D15" s="1226" t="s">
        <v>1285</v>
      </c>
      <c r="E15" s="1227" t="s">
        <v>1245</v>
      </c>
      <c r="F15" s="522"/>
      <c r="G15" s="1247"/>
      <c r="H15" s="1219"/>
      <c r="I15" s="1210"/>
      <c r="J15" s="1193"/>
      <c r="K15" s="1249"/>
      <c r="L15" s="1249"/>
    </row>
    <row r="16" spans="1:18" ht="15.75" customHeight="1">
      <c r="A16" s="509" t="s">
        <v>1651</v>
      </c>
      <c r="B16" s="1287">
        <v>70</v>
      </c>
      <c r="C16" s="1197"/>
      <c r="D16" s="1218" t="s">
        <v>1282</v>
      </c>
      <c r="E16" s="1227" t="s">
        <v>1246</v>
      </c>
      <c r="F16" s="1053">
        <f>ROUND(F13*G16,0)</f>
        <v>0</v>
      </c>
      <c r="G16" s="520"/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9" t="s">
        <v>1652</v>
      </c>
      <c r="B17" s="1501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0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-9.3606103358581499E+32</v>
      </c>
      <c r="C18" s="1197"/>
      <c r="D18" s="1226" t="s">
        <v>1286</v>
      </c>
      <c r="E18" s="1227" t="s">
        <v>1296</v>
      </c>
      <c r="F18" s="1053">
        <f>ROUND(IF(B12="住宅/居住",F13*G18,0),0)</f>
        <v>0</v>
      </c>
      <c r="G18" s="520"/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3">
        <f>ROUND(F13*G19,0)</f>
        <v>0</v>
      </c>
      <c r="G19" s="520"/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5" t="s">
        <v>1158</v>
      </c>
      <c r="B20" s="512" t="s">
        <v>1768</v>
      </c>
      <c r="C20" s="1197"/>
      <c r="D20" s="1226">
        <v>2</v>
      </c>
      <c r="E20" s="1227" t="s">
        <v>1237</v>
      </c>
      <c r="F20" s="1228">
        <f>ROUND(F12*G20,0)</f>
        <v>0</v>
      </c>
      <c r="G20" s="664"/>
      <c r="H20" s="1219"/>
      <c r="I20" s="1232" t="s">
        <v>1253</v>
      </c>
      <c r="J20" s="1193"/>
      <c r="K20" s="1249"/>
      <c r="L20" s="1249"/>
    </row>
    <row r="21" spans="1:18" ht="15.75" customHeight="1">
      <c r="A21" s="515" t="s">
        <v>1159</v>
      </c>
      <c r="B21" s="513" t="s">
        <v>1150</v>
      </c>
      <c r="C21" s="1197"/>
      <c r="D21" s="1419">
        <v>3</v>
      </c>
      <c r="E21" s="1420" t="s">
        <v>1589</v>
      </c>
      <c r="F21" s="1421">
        <f ca="1">ROUND((F12+F20)*(POWER((1+G21),B23/2)-1),0)</f>
        <v>0</v>
      </c>
      <c r="G21" s="1422">
        <f ca="1">存贷款利率!G1</f>
        <v>0</v>
      </c>
      <c r="H21" s="1231" t="str">
        <f>"计息期为"&amp;B23&amp;"年，"&amp;"复利计息"</f>
        <v>计息期为年，复利计息</v>
      </c>
      <c r="I21" s="1220"/>
      <c r="J21" s="1203"/>
      <c r="K21" s="1249"/>
      <c r="L21" s="1249"/>
    </row>
    <row r="22" spans="1:18" ht="15.75" customHeight="1" thickBot="1">
      <c r="A22" s="515" t="s">
        <v>1160</v>
      </c>
      <c r="B22" s="514"/>
      <c r="C22" s="1197"/>
      <c r="D22" s="1235">
        <v>4</v>
      </c>
      <c r="E22" s="1236" t="s">
        <v>1590</v>
      </c>
      <c r="F22" s="1237">
        <f>ROUND((F12+F20)*G22,0)</f>
        <v>0</v>
      </c>
      <c r="G22" s="521"/>
      <c r="H22" s="1238" t="s">
        <v>1241</v>
      </c>
      <c r="I22" s="1290" t="str">
        <f>IF(B12="商业","商业用途35%-50%",IF(B12="工业","工业用途18%-28%",IF(B12="办公/综合","办公用途25%-40%","居住用途30%-50%")))</f>
        <v>居住用途30%-50%</v>
      </c>
      <c r="J22" s="1193"/>
      <c r="K22" s="1249"/>
      <c r="L22" s="1249"/>
    </row>
    <row r="23" spans="1:18" ht="15.75" customHeight="1" thickTop="1">
      <c r="A23" s="515" t="s">
        <v>1278</v>
      </c>
      <c r="B23" s="519"/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5" t="s">
        <v>1655</v>
      </c>
      <c r="B24" s="519"/>
      <c r="C24" s="1249"/>
      <c r="D24" s="1213">
        <v>1</v>
      </c>
      <c r="E24" s="1214" t="s">
        <v>1255</v>
      </c>
      <c r="F24" s="1053">
        <f ca="1">F4+F11</f>
        <v>3718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24.951499999999999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82" t="s">
        <v>1290</v>
      </c>
      <c r="E26" s="1783"/>
      <c r="F26" s="1783"/>
      <c r="G26" s="1783"/>
      <c r="H26" s="1784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8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</v>
      </c>
      <c r="G28" s="523"/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</v>
      </c>
      <c r="G29" s="1265">
        <f>1-G28</f>
        <v>1</v>
      </c>
      <c r="H29" s="1219"/>
      <c r="I29" s="1210"/>
      <c r="J29" s="1193"/>
      <c r="K29" s="1249"/>
      <c r="L29" s="1249"/>
      <c r="N29" s="1439"/>
      <c r="O29" s="1440" t="s">
        <v>1595</v>
      </c>
      <c r="P29" s="1440" t="s">
        <v>1596</v>
      </c>
      <c r="Q29" s="1440" t="s">
        <v>1597</v>
      </c>
      <c r="R29" s="1441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524"/>
      <c r="G30" s="1265">
        <f>IF(ISNUMBER(FIND("砖木",B20)),O30,SUMPRODUCT((N30:N32=E30)*(O29:R29=B20)*(O30:R32)))</f>
        <v>0.2</v>
      </c>
      <c r="H30" s="1266"/>
      <c r="I30" s="1774" t="s">
        <v>1599</v>
      </c>
      <c r="J30" s="1434"/>
      <c r="K30" s="1249"/>
      <c r="L30" s="1249"/>
      <c r="N30" s="1442" t="s">
        <v>1592</v>
      </c>
      <c r="O30" s="1443">
        <v>0.2</v>
      </c>
      <c r="P30" s="1443">
        <v>0.2</v>
      </c>
      <c r="Q30" s="1443">
        <v>0.2</v>
      </c>
      <c r="R30" s="1444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0</v>
      </c>
      <c r="G31" s="1265">
        <f>IF(ISNUMBER(FIND("砖木",B20)),O31,SUMPRODUCT((N30:N32=E31)*(O29:R29=B20)*(O30:R32)))</f>
        <v>0.5</v>
      </c>
      <c r="H31" s="1266"/>
      <c r="I31" s="1774"/>
      <c r="J31" s="1434"/>
      <c r="K31" s="1249"/>
      <c r="L31" s="1249"/>
      <c r="N31" s="1442" t="s">
        <v>1593</v>
      </c>
      <c r="O31" s="1443">
        <v>0.55000000000000004</v>
      </c>
      <c r="P31" s="1443">
        <v>0.45</v>
      </c>
      <c r="Q31" s="1443">
        <v>0.5</v>
      </c>
      <c r="R31" s="1444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0</v>
      </c>
      <c r="G32" s="1265">
        <f>IF(ISNUMBER(FIND("砖木",B20)),O32,SUMPRODUCT((N30:N32=E32)*(O29:R29=B20)*(O30:R32)))</f>
        <v>0.3</v>
      </c>
      <c r="H32" s="1266"/>
      <c r="I32" s="1774"/>
      <c r="J32" s="1434"/>
      <c r="K32" s="1249"/>
      <c r="L32" s="1249"/>
      <c r="N32" s="1442" t="s">
        <v>1594</v>
      </c>
      <c r="O32" s="1443">
        <v>0.25</v>
      </c>
      <c r="P32" s="1443">
        <v>0.35</v>
      </c>
      <c r="Q32" s="1443">
        <v>0.3</v>
      </c>
      <c r="R32" s="1444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</v>
      </c>
      <c r="G33" s="1258"/>
      <c r="H33" s="1259"/>
      <c r="I33" s="1289"/>
      <c r="J33" s="1193"/>
      <c r="K33" s="1249"/>
      <c r="L33" s="1249"/>
      <c r="N33" s="1445"/>
      <c r="O33" s="1527">
        <f>SUM(O30:O32)</f>
        <v>1</v>
      </c>
      <c r="P33" s="1527">
        <f t="shared" ref="P33:R33" si="0">SUM(P30:P32)</f>
        <v>1</v>
      </c>
      <c r="Q33" s="1527">
        <f t="shared" si="0"/>
        <v>1</v>
      </c>
      <c r="R33" s="1528">
        <f t="shared" si="0"/>
        <v>1</v>
      </c>
    </row>
    <row r="34" spans="1:18" ht="15.75" customHeight="1" thickBot="1">
      <c r="A34" s="1248"/>
      <c r="B34" s="1249"/>
      <c r="C34" s="1249"/>
      <c r="D34" s="1782" t="s">
        <v>1293</v>
      </c>
      <c r="E34" s="1783"/>
      <c r="F34" s="1783"/>
      <c r="G34" s="1783"/>
      <c r="H34" s="1784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0</v>
      </c>
      <c r="G35" s="1775" t="s">
        <v>1267</v>
      </c>
      <c r="H35" s="1776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0</v>
      </c>
      <c r="G36" s="1777" t="s">
        <v>1269</v>
      </c>
      <c r="H36" s="1778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67.11</v>
      </c>
      <c r="E1" s="725" t="s">
        <v>1571</v>
      </c>
      <c r="F1" s="1350"/>
      <c r="G1" s="1529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 t="e">
        <f ca="1">C26</f>
        <v>#DIV/0!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>
        <f>主表!B11</f>
        <v>0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498" t="s">
        <v>1229</v>
      </c>
      <c r="G3" s="238" t="e">
        <f>IF(F3="容积率",主表!B8,主表!B9)</f>
        <v>#DIV/0!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2"/>
      <c r="B4" s="1793"/>
      <c r="C4" s="1793"/>
      <c r="D4" s="1794"/>
      <c r="E4" s="1794"/>
      <c r="F4" s="1794"/>
      <c r="G4" s="1794"/>
      <c r="H4" s="1794"/>
      <c r="I4" s="1794"/>
      <c r="J4" s="1795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0</v>
      </c>
      <c r="D5" s="1710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6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797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797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797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797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6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798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798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799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6">
        <f>IF(E2="办公/综合",2,IF(E2="工业",2,IF(E2="住宅/居住",3,IF(E2="商业",IF(C8="不临58条商业街",2,3)))))</f>
        <v>3</v>
      </c>
      <c r="B16" s="845" t="s">
        <v>928</v>
      </c>
      <c r="C16" s="1511">
        <f>ROUND(SUM(G17:J17)/C17,0)</f>
        <v>0</v>
      </c>
      <c r="D16" s="1513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797"/>
      <c r="B17" s="880" t="s">
        <v>930</v>
      </c>
      <c r="C17" s="1512">
        <f>SUMPRODUCT(('2014修正'!A2:A5=E2)*('2014修正'!B1:M1=G2)*('2014修正'!B2:M5))</f>
        <v>2.5</v>
      </c>
      <c r="D17" s="1514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7.0000000000000007E-2</v>
      </c>
      <c r="N17" s="625">
        <f ca="1">ROUND($E$20*(1+N16),3)</f>
        <v>6.7000000000000004E-2</v>
      </c>
      <c r="O17" s="625">
        <f ca="1">ROUND($E$20*(1+O16),3)</f>
        <v>6.4000000000000001E-2</v>
      </c>
      <c r="P17" s="965">
        <f ca="1">ROUND($E$20*(1+P16),3)</f>
        <v>6.0999999999999999E-2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36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3">
        <f>IF(H19&lt;DATE(2014,8,28),0,ROUND(I19/F19,4))</f>
        <v>0</v>
      </c>
      <c r="D19" s="1506" t="s">
        <v>265</v>
      </c>
      <c r="E19" s="1548">
        <v>41640</v>
      </c>
      <c r="F19" s="1630">
        <f>ROUND(SUMIF(地价!B3:F3,E2,地价!B22:F22),0)</f>
        <v>423</v>
      </c>
      <c r="G19" s="1506" t="s">
        <v>266</v>
      </c>
      <c r="H19" s="1347">
        <f>主表!B4</f>
        <v>38322</v>
      </c>
      <c r="I19" s="1631">
        <f>ROUND(SUMPRODUCT((地价!A7:A22=YEAR(H19)&amp;"-"&amp;ROUNDUP(MONTH(H19)/3,0))*(地价!B3:F3=E2)*(地价!B7:F22)),0)</f>
        <v>0</v>
      </c>
      <c r="J19" s="1632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4">
        <f ca="1">ROUND(POWER(1+G20,J20-I20)*(POWER(1+G20,I20)-1)/(POWER(1+G20,J20)-1),4)</f>
        <v>-1.2906045736121199E+52</v>
      </c>
      <c r="D20" s="1507" t="s">
        <v>939</v>
      </c>
      <c r="E20" s="1508">
        <f ca="1">INDIRECT("'存贷款利率'!e"&amp;存贷款利率!$K$4)/100</f>
        <v>5.5800000000000002E-2</v>
      </c>
      <c r="F20" s="1505" t="s">
        <v>940</v>
      </c>
      <c r="G20" s="1509">
        <f ca="1">SUMIF(M15:P15,E2,M17:P17)</f>
        <v>6.4000000000000001E-2</v>
      </c>
      <c r="H20" s="1510" t="s">
        <v>1653</v>
      </c>
      <c r="I20" s="1054">
        <f>IF(H20="剩余土地使用年限",主表!B15,主表!B16)</f>
        <v>-1934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1.5100000000000001E-2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 t="e">
        <f>IF(B21="容积率修正",IF(G3&lt;=10,D22,J22),C23)</f>
        <v>#DIV/0!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1.26E-2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499" t="s">
        <v>1496</v>
      </c>
      <c r="D22" s="1499" t="e">
        <f>IF(E22=G22,F22,IF(G3&lt;=10,ROUND(F22+(H22-F22)*(G3-E22)/(G22-E22),4),"——"))</f>
        <v>#DIV/0!</v>
      </c>
      <c r="E22" s="1517" t="e">
        <f>ROUNDDOWN(G3,1)</f>
        <v>#DIV/0!</v>
      </c>
      <c r="F22" s="1518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516" t="e">
        <f>ROUNDUP(G3,1)</f>
        <v>#DIV/0!</v>
      </c>
      <c r="H22" s="1499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515" t="s">
        <v>284</v>
      </c>
      <c r="J22" s="392" t="e">
        <f>IF(G3&gt;10,D114,"——")</f>
        <v>#DIV/0!</v>
      </c>
      <c r="K22" s="784"/>
      <c r="L22" s="803" t="s">
        <v>1317</v>
      </c>
      <c r="M22" s="630"/>
      <c r="N22" s="28">
        <f ca="1">'地价（废）'!I2</f>
        <v>1.26E-2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1.6E-2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1.2E-2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 t="e">
        <f ca="1">E29+SUM(E33:E39)</f>
        <v>#DIV/0!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 t="e">
        <f ca="1">ROUND(C5*C18*C19*C20*C21*C24,0)</f>
        <v>#DIV/0!</v>
      </c>
      <c r="D29" s="624"/>
      <c r="E29" s="400" t="e">
        <f ca="1">ROUND(C29*D29,0)</f>
        <v>#DIV/0!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 t="e">
        <f ca="1">ROUND(IF(E2="工业",C29*M39,C29*M38),0)</f>
        <v>#DIV/0!</v>
      </c>
      <c r="D30" s="626"/>
      <c r="E30" s="400" t="e">
        <f ca="1">ROUND(C30*D30,0)</f>
        <v>#DIV/0!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1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2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2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3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4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5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4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5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0</v>
      </c>
      <c r="G70" s="494"/>
      <c r="H70" s="497">
        <f t="shared" ref="H70:H78" si="15">IFERROR($F$70*I70/2,"——")</f>
        <v>0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0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0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0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0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0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5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0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0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0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5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0" t="s">
        <v>1167</v>
      </c>
      <c r="B91" s="1800"/>
      <c r="C91" s="1800"/>
      <c r="D91" s="1800"/>
      <c r="E91" s="1800"/>
      <c r="F91" s="1800"/>
      <c r="G91" s="1800"/>
      <c r="H91" s="1800"/>
      <c r="I91" s="1800"/>
      <c r="J91" s="1800"/>
      <c r="K91" s="672"/>
      <c r="L91" s="672"/>
      <c r="M91" s="672"/>
      <c r="N91" s="672"/>
    </row>
    <row r="92" spans="1:37">
      <c r="A92" s="1786" t="s">
        <v>1168</v>
      </c>
      <c r="B92" s="1786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6"/>
      <c r="B93" s="1786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87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88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88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88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88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88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88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89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87" t="s">
        <v>1495</v>
      </c>
      <c r="B102" s="973" t="s">
        <v>1498</v>
      </c>
      <c r="C102" s="974" t="e">
        <f>$G$3</f>
        <v>#DIV/0!</v>
      </c>
      <c r="D102" s="974" t="e">
        <f t="shared" ref="D102:N102" si="25">$G$3</f>
        <v>#DIV/0!</v>
      </c>
      <c r="E102" s="974" t="e">
        <f t="shared" si="25"/>
        <v>#DIV/0!</v>
      </c>
      <c r="F102" s="974" t="e">
        <f t="shared" si="25"/>
        <v>#DIV/0!</v>
      </c>
      <c r="G102" s="974" t="e">
        <f t="shared" si="25"/>
        <v>#DIV/0!</v>
      </c>
      <c r="H102" s="974" t="e">
        <f t="shared" si="25"/>
        <v>#DIV/0!</v>
      </c>
      <c r="I102" s="974" t="e">
        <f t="shared" si="25"/>
        <v>#DIV/0!</v>
      </c>
      <c r="J102" s="974" t="e">
        <f t="shared" si="25"/>
        <v>#DIV/0!</v>
      </c>
      <c r="K102" s="974" t="e">
        <f t="shared" si="25"/>
        <v>#DIV/0!</v>
      </c>
      <c r="L102" s="974" t="e">
        <f t="shared" si="25"/>
        <v>#DIV/0!</v>
      </c>
      <c r="M102" s="974" t="e">
        <f t="shared" si="25"/>
        <v>#DIV/0!</v>
      </c>
      <c r="N102" s="974" t="e">
        <f t="shared" si="25"/>
        <v>#DIV/0!</v>
      </c>
    </row>
    <row r="103" spans="1:14" ht="12.75">
      <c r="A103" s="1788"/>
      <c r="B103" s="969">
        <v>1</v>
      </c>
      <c r="C103" s="970" t="e">
        <f>1.9362/C102</f>
        <v>#DIV/0!</v>
      </c>
      <c r="D103" s="970" t="e">
        <f>1.9362/D102</f>
        <v>#DIV/0!</v>
      </c>
      <c r="E103" s="970" t="e">
        <f>1.8629/E102</f>
        <v>#DIV/0!</v>
      </c>
      <c r="F103" s="970" t="e">
        <f>1.8629/F102</f>
        <v>#DIV/0!</v>
      </c>
      <c r="G103" s="970" t="e">
        <f>1.8629/G102</f>
        <v>#DIV/0!</v>
      </c>
      <c r="H103" s="970" t="e">
        <f>1.8629/H102</f>
        <v>#DIV/0!</v>
      </c>
      <c r="I103" s="970" t="e">
        <f>1.8629/I102</f>
        <v>#DIV/0!</v>
      </c>
      <c r="J103" s="970" t="e">
        <f>1.942/J102</f>
        <v>#DIV/0!</v>
      </c>
      <c r="K103" s="970" t="e">
        <f>1.942/K102</f>
        <v>#DIV/0!</v>
      </c>
      <c r="L103" s="970" t="e">
        <f>1.942/L102</f>
        <v>#DIV/0!</v>
      </c>
      <c r="M103" s="970" t="e">
        <f>1.942/M102</f>
        <v>#DIV/0!</v>
      </c>
      <c r="N103" s="970" t="e">
        <f>1.942/N102</f>
        <v>#DIV/0!</v>
      </c>
    </row>
    <row r="104" spans="1:14" ht="12.75">
      <c r="A104" s="1788"/>
      <c r="B104" s="969">
        <v>2</v>
      </c>
      <c r="C104" s="970" t="e">
        <f>1.4198/C102</f>
        <v>#DIV/0!</v>
      </c>
      <c r="D104" s="970" t="e">
        <f>1.4198/D102</f>
        <v>#DIV/0!</v>
      </c>
      <c r="E104" s="970" t="e">
        <f>1.3372/E102</f>
        <v>#DIV/0!</v>
      </c>
      <c r="F104" s="970" t="e">
        <f>1.3372/F102</f>
        <v>#DIV/0!</v>
      </c>
      <c r="G104" s="970" t="e">
        <f>1.3372/G102</f>
        <v>#DIV/0!</v>
      </c>
      <c r="H104" s="970" t="e">
        <f>1.3372/H102</f>
        <v>#DIV/0!</v>
      </c>
      <c r="I104" s="970" t="e">
        <f>1.3372/I102</f>
        <v>#DIV/0!</v>
      </c>
      <c r="J104" s="970" t="e">
        <f>1.2799/J102</f>
        <v>#DIV/0!</v>
      </c>
      <c r="K104" s="970" t="e">
        <f>1.2799/K102</f>
        <v>#DIV/0!</v>
      </c>
      <c r="L104" s="970" t="e">
        <f>1.2799/L102</f>
        <v>#DIV/0!</v>
      </c>
      <c r="M104" s="970" t="e">
        <f>1.2799/M102</f>
        <v>#DIV/0!</v>
      </c>
      <c r="N104" s="970" t="e">
        <f>1.2799/N102</f>
        <v>#DIV/0!</v>
      </c>
    </row>
    <row r="105" spans="1:14" ht="12.75">
      <c r="A105" s="1788"/>
      <c r="B105" s="969">
        <v>3</v>
      </c>
      <c r="C105" s="970" t="e">
        <f>1.1594/C102</f>
        <v>#DIV/0!</v>
      </c>
      <c r="D105" s="970" t="e">
        <f>1.1594/D102</f>
        <v>#DIV/0!</v>
      </c>
      <c r="E105" s="970" t="e">
        <f>1.0788/E102</f>
        <v>#DIV/0!</v>
      </c>
      <c r="F105" s="970" t="e">
        <f>1.0788/F102</f>
        <v>#DIV/0!</v>
      </c>
      <c r="G105" s="970" t="e">
        <f>1.0788/G102</f>
        <v>#DIV/0!</v>
      </c>
      <c r="H105" s="970" t="e">
        <f>1.0788/H102</f>
        <v>#DIV/0!</v>
      </c>
      <c r="I105" s="970" t="e">
        <f>1.0788/I102</f>
        <v>#DIV/0!</v>
      </c>
      <c r="J105" s="970" t="e">
        <f>1.0072/J102</f>
        <v>#DIV/0!</v>
      </c>
      <c r="K105" s="970" t="e">
        <f>1.0072/K102</f>
        <v>#DIV/0!</v>
      </c>
      <c r="L105" s="970" t="e">
        <f>1.0072/L102</f>
        <v>#DIV/0!</v>
      </c>
      <c r="M105" s="970" t="e">
        <f>1.0072/M102</f>
        <v>#DIV/0!</v>
      </c>
      <c r="N105" s="970" t="e">
        <f>1.0072/N102</f>
        <v>#DIV/0!</v>
      </c>
    </row>
    <row r="106" spans="1:14" ht="12.75">
      <c r="A106" s="1788"/>
      <c r="B106" s="969">
        <v>4</v>
      </c>
      <c r="C106" s="970" t="e">
        <f>0.9622/C102</f>
        <v>#DIV/0!</v>
      </c>
      <c r="D106" s="970" t="e">
        <f>0.9622/D102</f>
        <v>#DIV/0!</v>
      </c>
      <c r="E106" s="970" t="e">
        <f>0.8656/E102</f>
        <v>#DIV/0!</v>
      </c>
      <c r="F106" s="970" t="e">
        <f>0.8656/F102</f>
        <v>#DIV/0!</v>
      </c>
      <c r="G106" s="970" t="e">
        <f>0.8656/G102</f>
        <v>#DIV/0!</v>
      </c>
      <c r="H106" s="970" t="e">
        <f>0.8656/H102</f>
        <v>#DIV/0!</v>
      </c>
      <c r="I106" s="970" t="e">
        <f>0.8656/I102</f>
        <v>#DIV/0!</v>
      </c>
      <c r="J106" s="970" t="e">
        <f>0.7525/J102</f>
        <v>#DIV/0!</v>
      </c>
      <c r="K106" s="970" t="e">
        <f>0.7525/K102</f>
        <v>#DIV/0!</v>
      </c>
      <c r="L106" s="970" t="e">
        <f>0.7525/L102</f>
        <v>#DIV/0!</v>
      </c>
      <c r="M106" s="970" t="e">
        <f>0.7525/M102</f>
        <v>#DIV/0!</v>
      </c>
      <c r="N106" s="970" t="e">
        <f>0.7525/N102</f>
        <v>#DIV/0!</v>
      </c>
    </row>
    <row r="107" spans="1:14" ht="12.75">
      <c r="A107" s="1788"/>
      <c r="B107" s="969">
        <v>5</v>
      </c>
      <c r="C107" s="970" t="e">
        <f>0.8417/C102</f>
        <v>#DIV/0!</v>
      </c>
      <c r="D107" s="970" t="e">
        <f>0.8417/D102</f>
        <v>#DIV/0!</v>
      </c>
      <c r="E107" s="970" t="e">
        <f>0.7371/E102</f>
        <v>#DIV/0!</v>
      </c>
      <c r="F107" s="970" t="e">
        <f>0.7371/F102</f>
        <v>#DIV/0!</v>
      </c>
      <c r="G107" s="970" t="e">
        <f>0.7371/G102</f>
        <v>#DIV/0!</v>
      </c>
      <c r="H107" s="970" t="e">
        <f>0.7371/H102</f>
        <v>#DIV/0!</v>
      </c>
      <c r="I107" s="970" t="e">
        <f>0.7371/I102</f>
        <v>#DIV/0!</v>
      </c>
      <c r="J107" s="970" t="e">
        <f>0.5659/J102</f>
        <v>#DIV/0!</v>
      </c>
      <c r="K107" s="970" t="e">
        <f>0.5659/K102</f>
        <v>#DIV/0!</v>
      </c>
      <c r="L107" s="970" t="e">
        <f>0.5659/L102</f>
        <v>#DIV/0!</v>
      </c>
      <c r="M107" s="970" t="e">
        <f>0.5659/M102</f>
        <v>#DIV/0!</v>
      </c>
      <c r="N107" s="970" t="e">
        <f>0.5659/N102</f>
        <v>#DIV/0!</v>
      </c>
    </row>
    <row r="108" spans="1:14" ht="12.75">
      <c r="A108" s="1788"/>
      <c r="B108" s="969">
        <v>6</v>
      </c>
      <c r="C108" s="970" t="e">
        <f>0.7608/C102</f>
        <v>#DIV/0!</v>
      </c>
      <c r="D108" s="970" t="e">
        <f>0.7608/D102</f>
        <v>#DIV/0!</v>
      </c>
      <c r="E108" s="970" t="e">
        <f>0.6482/E102</f>
        <v>#DIV/0!</v>
      </c>
      <c r="F108" s="970" t="e">
        <f>0.6482/F102</f>
        <v>#DIV/0!</v>
      </c>
      <c r="G108" s="970" t="e">
        <f>0.6482/G102</f>
        <v>#DIV/0!</v>
      </c>
      <c r="H108" s="970" t="e">
        <f>0.6482/H102</f>
        <v>#DIV/0!</v>
      </c>
      <c r="I108" s="970" t="e">
        <f>0.6482/I102</f>
        <v>#DIV/0!</v>
      </c>
      <c r="J108" s="970" t="e">
        <f>0.4525/J102</f>
        <v>#DIV/0!</v>
      </c>
      <c r="K108" s="970" t="e">
        <f>0.4525/K102</f>
        <v>#DIV/0!</v>
      </c>
      <c r="L108" s="970" t="e">
        <f>0.4525/L102</f>
        <v>#DIV/0!</v>
      </c>
      <c r="M108" s="970" t="e">
        <f>0.4525/M102</f>
        <v>#DIV/0!</v>
      </c>
      <c r="N108" s="970" t="e">
        <f>0.4525/N102</f>
        <v>#DIV/0!</v>
      </c>
    </row>
    <row r="109" spans="1:14" ht="12.75">
      <c r="A109" s="1788"/>
      <c r="B109" s="1790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89"/>
      <c r="B110" s="1791"/>
      <c r="C110" s="972" t="e">
        <f>(-0.163*(C109^2)-0.59*C109+7617)*(10^(-4))/C102</f>
        <v>#DIV/0!</v>
      </c>
      <c r="D110" s="972" t="e">
        <f>(-0.163*(D109^2)-0.59*D109+7617)*(10^(-4))/D102</f>
        <v>#DIV/0!</v>
      </c>
      <c r="E110" s="972" t="e">
        <f>(-0.161*(E109^2)-7.509*E109+6533)*(10^(-4))/E102</f>
        <v>#DIV/0!</v>
      </c>
      <c r="F110" s="972" t="e">
        <f>(-0.161*(F109^2)-7.509*F109+6533)*(10^(-4))/F102</f>
        <v>#DIV/0!</v>
      </c>
      <c r="G110" s="972" t="e">
        <f>(-0.161*(G109^2)-7.509*G109+6533)*(10^(-4))/G102</f>
        <v>#DIV/0!</v>
      </c>
      <c r="H110" s="972" t="e">
        <f>(-0.161*(H109^2)-7.509*H109+6533)*(10^(-4))/H102</f>
        <v>#DIV/0!</v>
      </c>
      <c r="I110" s="972" t="e">
        <f>(-0.161*(I109^2)-7.509*I109+6533)*(10^(-4))/I102</f>
        <v>#DIV/0!</v>
      </c>
      <c r="J110" s="972" t="e">
        <f>(-0.214*(J109^2)-21.991*J109+4665)*(10^(-4))/J102</f>
        <v>#DIV/0!</v>
      </c>
      <c r="K110" s="972" t="e">
        <f>(-0.214*(K109^2)-21.991*K109+4665)*(10^(-4))/K102</f>
        <v>#DIV/0!</v>
      </c>
      <c r="L110" s="972" t="e">
        <f>(-0.214*(L109^2)-21.991*L109+4665)*(10^(-4))/L102</f>
        <v>#DIV/0!</v>
      </c>
      <c r="M110" s="972" t="e">
        <f>(-0.214*(M109^2)-21.991*M109+4665)*(10^(-4))/M102</f>
        <v>#DIV/0!</v>
      </c>
      <c r="N110" s="972" t="e">
        <f>(-0.214*(N109^2)-21.991*N109+4665)*(10^(-4))/N102</f>
        <v>#DIV/0!</v>
      </c>
    </row>
    <row r="111" spans="1:14">
      <c r="A111" s="1785" t="s">
        <v>1183</v>
      </c>
      <c r="B111" s="1785"/>
      <c r="C111" s="1785"/>
      <c r="D111" s="1785"/>
      <c r="E111" s="1785"/>
      <c r="F111" s="1785"/>
      <c r="G111" s="1785"/>
      <c r="H111" s="1785"/>
      <c r="I111" s="1785"/>
      <c r="J111" s="1785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 t="e">
        <f>G3</f>
        <v>#DIV/0!</v>
      </c>
      <c r="C114" s="955" t="s">
        <v>1482</v>
      </c>
      <c r="D114" s="351" t="e">
        <f>SUMPRODUCT((A116:A119=F114)*(B115:M115=H114)*B116:M119)</f>
        <v>#DIV/0!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817" t="s">
        <v>1317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817" t="s">
        <v>1318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818" t="s">
        <v>229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4" t="s">
        <v>990</v>
      </c>
      <c r="B1" s="1804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4" t="s">
        <v>292</v>
      </c>
      <c r="B1" s="1804"/>
      <c r="C1" s="1804"/>
      <c r="D1" s="1804"/>
      <c r="E1" s="1804"/>
      <c r="F1" s="1804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5" t="s">
        <v>305</v>
      </c>
      <c r="B2" s="1805"/>
      <c r="C2" s="1805"/>
      <c r="D2" s="1805"/>
      <c r="E2" s="1805"/>
      <c r="F2" s="1805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6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07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59</vt:i4>
      </vt:variant>
    </vt:vector>
  </HeadingPairs>
  <TitlesOfParts>
    <vt:vector size="80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2018-04-18T03:27:01Z</dcterms:modified>
</cp:coreProperties>
</file>