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4"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商业" sheetId="33" state="hidden" r:id="rId25"/>
    <sheet name="比较法-办公租金" sheetId="86" r:id="rId26"/>
    <sheet name="收益法 (元)" sheetId="67"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3" r:id="rId48"/>
    <sheet name="租金" sheetId="85" r:id="rId49"/>
  </sheets>
  <externalReferences>
    <externalReference r:id="rId50"/>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37" i="86" l="1"/>
  <c r="G37" i="86"/>
  <c r="E37" i="86"/>
  <c r="I10" i="34" l="1"/>
  <c r="G10" i="34"/>
  <c r="E10" i="34"/>
  <c r="C10" i="34"/>
  <c r="E67" i="34"/>
  <c r="F67" i="34"/>
  <c r="G67" i="34"/>
  <c r="D67" i="34"/>
  <c r="I48" i="86"/>
  <c r="G55" i="86" s="1"/>
  <c r="H55" i="86" s="1"/>
  <c r="B131" i="86"/>
  <c r="B129" i="86"/>
  <c r="B127" i="86"/>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E80" i="86"/>
  <c r="F80" i="86" s="1"/>
  <c r="G80" i="86" s="1"/>
  <c r="D80" i="86"/>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I7" i="86"/>
  <c r="J7" i="86" s="1"/>
  <c r="G7" i="86"/>
  <c r="H7" i="86" s="1"/>
  <c r="E7" i="86"/>
  <c r="F7" i="86" s="1"/>
  <c r="C7" i="86"/>
  <c r="C59" i="86" s="1"/>
  <c r="D59" i="86" s="1"/>
  <c r="E59" i="86" s="1"/>
  <c r="F59" i="86" s="1"/>
  <c r="G59" i="86" s="1"/>
  <c r="H59" i="86" s="1"/>
  <c r="I59" i="86" s="1"/>
  <c r="J59" i="86" s="1"/>
  <c r="K59" i="86" s="1"/>
  <c r="L59" i="86" s="1"/>
  <c r="M59" i="86" s="1"/>
  <c r="N59" i="86" s="1"/>
  <c r="O59" i="86" s="1"/>
  <c r="D3" i="86"/>
  <c r="F16" i="84"/>
  <c r="E18" i="84"/>
  <c r="E17" i="84"/>
  <c r="E16" i="84"/>
  <c r="E15" i="84"/>
  <c r="F13" i="84"/>
  <c r="F11" i="84"/>
  <c r="H11" i="84"/>
  <c r="F12" i="84"/>
  <c r="E12" i="84"/>
  <c r="D12" i="84"/>
  <c r="E11" i="84"/>
  <c r="D11" i="84"/>
  <c r="F8" i="84"/>
  <c r="G4" i="84"/>
  <c r="G5" i="84"/>
  <c r="G6" i="84"/>
  <c r="G7" i="84"/>
  <c r="G3" i="84"/>
  <c r="D2" i="86"/>
  <c r="W8" i="86" l="1"/>
  <c r="V48" i="86"/>
  <c r="W7" i="86"/>
  <c r="AC7" i="86"/>
  <c r="AA7" i="86"/>
  <c r="S7" i="86"/>
  <c r="U7" i="86"/>
  <c r="AB7"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W12" i="86"/>
  <c r="S14" i="86"/>
  <c r="S15" i="86"/>
  <c r="S17" i="86"/>
  <c r="S19" i="86"/>
  <c r="S21" i="86"/>
  <c r="S23" i="86"/>
  <c r="U25" i="86"/>
  <c r="AB34" i="86"/>
  <c r="U34" i="86"/>
  <c r="S9" i="86"/>
  <c r="U10" i="86"/>
  <c r="W11" i="86"/>
  <c r="S13" i="86"/>
  <c r="U14" i="86"/>
  <c r="U15" i="86"/>
  <c r="U17" i="86"/>
  <c r="U19" i="86"/>
  <c r="U21" i="86"/>
  <c r="U23" i="86"/>
  <c r="W25" i="86"/>
  <c r="U28" i="86"/>
  <c r="W29" i="86"/>
  <c r="S31" i="86"/>
  <c r="U32" i="86"/>
  <c r="W33" i="86"/>
  <c r="J34" i="86"/>
  <c r="S36" i="86"/>
  <c r="U38" i="86"/>
  <c r="W39" i="86"/>
  <c r="S41" i="86"/>
  <c r="U42" i="86"/>
  <c r="W43" i="86"/>
  <c r="S45" i="86"/>
  <c r="U46" i="86"/>
  <c r="W47" i="86"/>
  <c r="W28" i="86"/>
  <c r="S30" i="86"/>
  <c r="U31" i="86"/>
  <c r="W32" i="86"/>
  <c r="S35" i="86"/>
  <c r="U36" i="86"/>
  <c r="W38" i="86"/>
  <c r="S40" i="86"/>
  <c r="U41" i="86"/>
  <c r="W42" i="86"/>
  <c r="S44" i="86"/>
  <c r="U45" i="86"/>
  <c r="W46" i="86"/>
  <c r="S29" i="86"/>
  <c r="U30" i="86"/>
  <c r="W31" i="86"/>
  <c r="S33" i="86"/>
  <c r="F34" i="86"/>
  <c r="U35" i="86"/>
  <c r="W36" i="86"/>
  <c r="S39" i="86"/>
  <c r="U40" i="86"/>
  <c r="W41" i="86"/>
  <c r="S43" i="86"/>
  <c r="U44" i="86"/>
  <c r="W45" i="86"/>
  <c r="S47" i="86"/>
  <c r="S28" i="86"/>
  <c r="U29" i="86"/>
  <c r="W30" i="86"/>
  <c r="S32" i="86"/>
  <c r="U33" i="86"/>
  <c r="W35" i="86"/>
  <c r="S38" i="86"/>
  <c r="U39" i="86"/>
  <c r="W40" i="86"/>
  <c r="S42" i="86"/>
  <c r="U43" i="86"/>
  <c r="W44" i="86"/>
  <c r="S46" i="86"/>
  <c r="U47" i="86"/>
  <c r="F7" i="84"/>
  <c r="F6" i="84"/>
  <c r="F5" i="84"/>
  <c r="F4" i="84"/>
  <c r="F3" i="84"/>
  <c r="AA34" i="86" l="1"/>
  <c r="S34" i="86"/>
  <c r="AB27" i="86"/>
  <c r="U27" i="86"/>
  <c r="AC34" i="86"/>
  <c r="W34" i="86"/>
  <c r="B14" i="74"/>
  <c r="I10" i="33" l="1"/>
  <c r="G10" i="33"/>
  <c r="E44" i="33"/>
  <c r="E10" i="33"/>
  <c r="C18" i="31"/>
  <c r="C17" i="31"/>
  <c r="T7" i="31"/>
  <c r="D7" i="31"/>
  <c r="C7" i="31"/>
  <c r="B7" i="31"/>
  <c r="D5" i="31"/>
  <c r="E5" i="31"/>
  <c r="F5" i="31"/>
  <c r="G5" i="31"/>
  <c r="C5" i="31"/>
  <c r="B5" i="31"/>
  <c r="D4" i="31"/>
  <c r="E4" i="31"/>
  <c r="F4" i="31"/>
  <c r="C4" i="31"/>
  <c r="D3" i="31"/>
  <c r="E3" i="31"/>
  <c r="F3" i="31"/>
  <c r="C3" i="31"/>
  <c r="F19" i="6"/>
  <c r="C34" i="34" s="1"/>
  <c r="C10" i="33" l="1"/>
  <c r="E89" i="33"/>
  <c r="F89" i="33"/>
  <c r="G89" i="33"/>
  <c r="D89" i="33"/>
  <c r="E66" i="33"/>
  <c r="F66" i="33"/>
  <c r="D66" i="33"/>
  <c r="J49" i="67" l="1"/>
  <c r="N19" i="1"/>
  <c r="N21" i="1" s="1"/>
  <c r="N6" i="1" s="1"/>
  <c r="C37" i="86" s="1"/>
  <c r="J37" i="86" l="1"/>
  <c r="H37" i="86"/>
  <c r="F37" i="86"/>
  <c r="C37" i="34"/>
  <c r="Y6" i="1"/>
  <c r="C36" i="33"/>
  <c r="D3" i="4"/>
  <c r="G37" i="34" l="1"/>
  <c r="E37" i="34"/>
  <c r="AA37" i="86"/>
  <c r="R49" i="86" s="1"/>
  <c r="S37" i="86"/>
  <c r="AB37" i="86"/>
  <c r="T49" i="86" s="1"/>
  <c r="G49" i="86" s="1"/>
  <c r="U37" i="86"/>
  <c r="W37" i="86"/>
  <c r="AC37" i="86"/>
  <c r="V49" i="86" s="1"/>
  <c r="I49" i="86" s="1"/>
  <c r="I53" i="86" s="1"/>
  <c r="J53" i="86" s="1"/>
  <c r="E27" i="45"/>
  <c r="G53" i="86" l="1"/>
  <c r="H53" i="86" s="1"/>
  <c r="G54" i="86"/>
  <c r="H54" i="86" s="1"/>
  <c r="R50" i="86"/>
  <c r="E49" i="86"/>
  <c r="G14" i="73"/>
  <c r="F14" i="73"/>
  <c r="E14" i="73"/>
  <c r="I54" i="86" l="1"/>
  <c r="J54" i="86" s="1"/>
  <c r="E54" i="86"/>
  <c r="F54" i="86" s="1"/>
  <c r="E53" i="86"/>
  <c r="F53" i="86" s="1"/>
  <c r="C50" i="86"/>
  <c r="C49" i="86"/>
  <c r="I12" i="79"/>
  <c r="U6" i="1" l="1"/>
  <c r="B2" i="86"/>
  <c r="B3" i="8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E38" i="71" s="1"/>
  <c r="E39"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40" i="71"/>
  <c r="U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C75" i="71"/>
  <c r="D76" i="71"/>
  <c r="D80" i="71"/>
  <c r="S28" i="71"/>
  <c r="F28" i="71"/>
  <c r="F27" i="71"/>
  <c r="F26" i="71"/>
  <c r="AA3" i="71"/>
  <c r="C66" i="71"/>
  <c r="O65" i="71" s="1"/>
  <c r="D63" i="71"/>
  <c r="D75" i="71"/>
  <c r="C74" i="71"/>
  <c r="D74" i="71" s="1"/>
  <c r="C60" i="71"/>
  <c r="T60" i="71" s="1"/>
  <c r="D55" i="71"/>
  <c r="P67" i="71"/>
  <c r="D6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H29" i="39"/>
  <c r="AB29" i="39" s="1"/>
  <c r="J29" i="39"/>
  <c r="J18" i="36"/>
  <c r="AC18" i="36" s="1"/>
  <c r="H18" i="35"/>
  <c r="AB18" i="35" s="1"/>
  <c r="J18" i="35"/>
  <c r="AC18" i="35" s="1"/>
  <c r="H21" i="37"/>
  <c r="F21" i="37"/>
  <c r="H21" i="34"/>
  <c r="AB21" i="34" s="1"/>
  <c r="H21" i="33"/>
  <c r="U21" i="33" s="1"/>
  <c r="F21" i="33"/>
  <c r="S21" i="33" s="1"/>
  <c r="E83" i="21"/>
  <c r="F83" i="21" s="1"/>
  <c r="H1" i="69"/>
  <c r="AC25" i="40"/>
  <c r="W25" i="40"/>
  <c r="U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U34" i="35"/>
  <c r="F36" i="34"/>
  <c r="AA36" i="34" s="1"/>
  <c r="J35" i="34"/>
  <c r="AC35" i="34" s="1"/>
  <c r="U34" i="34"/>
  <c r="H39" i="33"/>
  <c r="AB39" i="33" s="1"/>
  <c r="F26" i="33"/>
  <c r="S26" i="33" s="1"/>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28" i="34"/>
  <c r="AA28" i="34" s="1"/>
  <c r="F25" i="34"/>
  <c r="S25" i="34" s="1"/>
  <c r="H23" i="34"/>
  <c r="U23" i="34" s="1"/>
  <c r="J23" i="34"/>
  <c r="AC23" i="34" s="1"/>
  <c r="F19" i="34"/>
  <c r="AA19" i="34" s="1"/>
  <c r="H17" i="34"/>
  <c r="U17" i="34" s="1"/>
  <c r="F15" i="34"/>
  <c r="AA15" i="34" s="1"/>
  <c r="J15" i="34"/>
  <c r="AC15" i="34" s="1"/>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W31" i="34"/>
  <c r="S11" i="36"/>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U39" i="37"/>
  <c r="U26" i="37"/>
  <c r="W47" i="34"/>
  <c r="AA13"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47" i="3"/>
  <c r="AZ67" i="3"/>
  <c r="AZ168"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AZ339" i="3" s="1"/>
  <c r="G340" i="3"/>
  <c r="BL343" i="3"/>
  <c r="G344" i="3"/>
  <c r="G348" i="3"/>
  <c r="G355" i="3"/>
  <c r="AZ335" i="3"/>
  <c r="G342" i="3"/>
  <c r="BL345" i="3"/>
  <c r="AZ345" i="3" s="1"/>
  <c r="G346" i="3"/>
  <c r="BL349" i="3"/>
  <c r="BL352" i="3"/>
  <c r="G353" i="3"/>
  <c r="BA357" i="3"/>
  <c r="BL358" i="3"/>
  <c r="G359" i="3"/>
  <c r="BA361" i="3"/>
  <c r="AZ361" i="3"/>
  <c r="BL362" i="3"/>
  <c r="G363" i="3"/>
  <c r="BA365" i="3"/>
  <c r="BL366" i="3"/>
  <c r="AZ366" i="3" s="1"/>
  <c r="G367" i="3"/>
  <c r="BA369" i="3"/>
  <c r="BL370" i="3"/>
  <c r="G371" i="3"/>
  <c r="BA373" i="3"/>
  <c r="AZ373" i="3"/>
  <c r="BL374" i="3"/>
  <c r="G375" i="3"/>
  <c r="BA377" i="3"/>
  <c r="AZ377" i="3"/>
  <c r="AZ237" i="3"/>
  <c r="AZ245"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506" i="3"/>
  <c r="G548" i="3"/>
  <c r="G538" i="3"/>
  <c r="G520" i="3"/>
  <c r="G502" i="3"/>
  <c r="BS5" i="3"/>
  <c r="BP5" i="3"/>
  <c r="BN5" i="3"/>
  <c r="BK5" i="3"/>
  <c r="BI5" i="3"/>
  <c r="BG5" i="3"/>
  <c r="BE5" i="3"/>
  <c r="BC5" i="3"/>
  <c r="G17" i="3"/>
  <c r="BA17" i="3"/>
  <c r="BT5" i="3"/>
  <c r="AZ350" i="3"/>
  <c r="AZ356" i="3"/>
  <c r="BA15" i="3"/>
  <c r="BB5" i="3"/>
  <c r="BR5" i="3"/>
  <c r="AZ392" i="3"/>
  <c r="G509" i="3"/>
  <c r="BL493" i="3"/>
  <c r="AZ493" i="3" s="1"/>
  <c r="U36" i="40"/>
  <c r="F83" i="43"/>
  <c r="H85" i="43" s="1"/>
  <c r="F50" i="43"/>
  <c r="H54" i="43" s="1"/>
  <c r="F72" i="43"/>
  <c r="H75" i="43" s="1"/>
  <c r="U17" i="39"/>
  <c r="S14" i="35"/>
  <c r="U43" i="21"/>
  <c r="U35" i="21"/>
  <c r="AC35" i="21"/>
  <c r="AC11" i="39"/>
  <c r="W37" i="37"/>
  <c r="S15" i="37"/>
  <c r="U13"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40" i="3"/>
  <c r="AZ256" i="3"/>
  <c r="AZ280" i="3"/>
  <c r="AZ72" i="3"/>
  <c r="AZ82"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65" i="3"/>
  <c r="W12" i="33"/>
  <c r="AC12" i="33"/>
  <c r="AA32" i="36"/>
  <c r="S32" i="36"/>
  <c r="BL14" i="3"/>
  <c r="U30" i="33"/>
  <c r="AC13" i="34"/>
  <c r="AA47" i="34"/>
  <c r="W28" i="37"/>
  <c r="S19" i="39"/>
  <c r="F12" i="33"/>
  <c r="H12" i="39"/>
  <c r="AB12" i="39"/>
  <c r="F39" i="40"/>
  <c r="BA14" i="3"/>
  <c r="AZ25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F19" i="37"/>
  <c r="S19" i="37" s="1"/>
  <c r="F79" i="37"/>
  <c r="G79" i="37" s="1"/>
  <c r="F23" i="37"/>
  <c r="S23" i="37" s="1"/>
  <c r="U23" i="37"/>
  <c r="U15" i="37"/>
  <c r="AC13" i="37"/>
  <c r="AA13" i="37"/>
  <c r="H10" i="37"/>
  <c r="AB10" i="37" s="1"/>
  <c r="F63" i="37"/>
  <c r="F11" i="37"/>
  <c r="S11" i="37" s="1"/>
  <c r="W25" i="34"/>
  <c r="AB8" i="34"/>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W46"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B21" i="39"/>
  <c r="AA21" i="39"/>
  <c r="S21" i="39"/>
  <c r="AC17" i="37"/>
  <c r="J19" i="37"/>
  <c r="W19" i="37" s="1"/>
  <c r="G75" i="37"/>
  <c r="AA19" i="37"/>
  <c r="AA23" i="37"/>
  <c r="J23" i="37"/>
  <c r="J10" i="37"/>
  <c r="W10" i="37" s="1"/>
  <c r="G63" i="37"/>
  <c r="H63" i="37" s="1"/>
  <c r="I63" i="37" s="1"/>
  <c r="H11" i="37"/>
  <c r="AB11" i="37" s="1"/>
  <c r="G70" i="34"/>
  <c r="H11" i="34"/>
  <c r="U11" i="34" s="1"/>
  <c r="J10" i="34"/>
  <c r="AC10" i="34" s="1"/>
  <c r="J36" i="33"/>
  <c r="W36" i="33" s="1"/>
  <c r="J25" i="33"/>
  <c r="W25" i="33" s="1"/>
  <c r="F23" i="33"/>
  <c r="G85" i="33"/>
  <c r="H19" i="33"/>
  <c r="U19" i="33" s="1"/>
  <c r="H17" i="33"/>
  <c r="U17" i="33" s="1"/>
  <c r="F17" i="33"/>
  <c r="S17" i="33" s="1"/>
  <c r="AA23" i="21"/>
  <c r="J23" i="21"/>
  <c r="F85" i="21"/>
  <c r="G85" i="21" s="1"/>
  <c r="H23" i="21"/>
  <c r="U23" i="21" s="1"/>
  <c r="S13" i="21"/>
  <c r="D6" i="52"/>
  <c r="AP7" i="1"/>
  <c r="AB45" i="21"/>
  <c r="AB9" i="21"/>
  <c r="U9" i="21"/>
  <c r="AA32" i="21"/>
  <c r="S32" i="21"/>
  <c r="W9" i="21"/>
  <c r="AB32" i="21"/>
  <c r="U32" i="21"/>
  <c r="U32" i="39"/>
  <c r="AC32" i="39"/>
  <c r="W32" i="39"/>
  <c r="W23" i="37"/>
  <c r="AC23" i="37"/>
  <c r="J63" i="37"/>
  <c r="K63" i="37" s="1"/>
  <c r="L63" i="37" s="1"/>
  <c r="M63" i="37" s="1"/>
  <c r="J11" i="37"/>
  <c r="AC11" i="37" s="1"/>
  <c r="H70" i="34"/>
  <c r="I70" i="34" s="1"/>
  <c r="J70" i="34" s="1"/>
  <c r="K70" i="34" s="1"/>
  <c r="L70" i="34" s="1"/>
  <c r="M70" i="34" s="1"/>
  <c r="J11" i="34"/>
  <c r="W11" i="34" s="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1" i="76"/>
  <c r="F13" i="15"/>
  <c r="F7" i="73"/>
  <c r="D6" i="73"/>
  <c r="E12" i="76"/>
  <c r="F5" i="73"/>
  <c r="J15" i="15"/>
  <c r="F38" i="15"/>
  <c r="C76" i="15"/>
  <c r="M28" i="67"/>
  <c r="F20" i="31"/>
  <c r="F26" i="67"/>
  <c r="M8" i="67"/>
  <c r="F42" i="15"/>
  <c r="B9" i="76"/>
  <c r="F36" i="15"/>
  <c r="F26" i="15"/>
  <c r="F3" i="73"/>
  <c r="E8" i="76"/>
  <c r="F43" i="15"/>
  <c r="M24" i="67"/>
  <c r="AO13" i="1"/>
  <c r="J15" i="67"/>
  <c r="L48" i="67"/>
  <c r="F9" i="15"/>
  <c r="F13" i="67"/>
  <c r="M6" i="15"/>
  <c r="M28" i="15"/>
  <c r="M6" i="67"/>
  <c r="F36" i="67"/>
  <c r="M22" i="15"/>
  <c r="F40" i="67"/>
  <c r="F38" i="67"/>
  <c r="B8" i="76"/>
  <c r="C76" i="67"/>
  <c r="M29" i="15"/>
  <c r="F9" i="67"/>
  <c r="M8" i="15"/>
  <c r="F8" i="67"/>
  <c r="F6" i="67"/>
  <c r="M29" i="67"/>
  <c r="F43" i="67"/>
  <c r="F42" i="67"/>
  <c r="F16" i="67"/>
  <c r="F40" i="15"/>
  <c r="B7" i="76"/>
  <c r="M9" i="67"/>
  <c r="F7" i="67"/>
  <c r="B12" i="76"/>
  <c r="L47" i="15"/>
  <c r="F8" i="15"/>
  <c r="M26" i="67"/>
  <c r="F7" i="15"/>
  <c r="M22" i="67"/>
  <c r="M26" i="15"/>
  <c r="F6" i="15"/>
  <c r="E2" i="68"/>
  <c r="E2" i="69"/>
  <c r="F37" i="67"/>
  <c r="E7" i="76"/>
  <c r="B13" i="76"/>
  <c r="M23" i="67"/>
  <c r="E13" i="76"/>
  <c r="E9" i="76"/>
  <c r="M9" i="15"/>
  <c r="F16" i="15"/>
  <c r="L47" i="67"/>
  <c r="L48" i="15"/>
  <c r="M23" i="15"/>
  <c r="E10" i="76"/>
  <c r="F6" i="73"/>
  <c r="B10" i="76"/>
  <c r="F4" i="73"/>
  <c r="M24" i="15"/>
  <c r="F37" i="15"/>
  <c r="B11" i="76"/>
  <c r="AA40" i="34" l="1"/>
  <c r="AB40" i="34"/>
  <c r="J37" i="34"/>
  <c r="AC37" i="34" s="1"/>
  <c r="H37" i="34"/>
  <c r="U37" i="34" s="1"/>
  <c r="F37" i="34"/>
  <c r="S19" i="34"/>
  <c r="U19" i="34"/>
  <c r="W15" i="34"/>
  <c r="I7" i="34"/>
  <c r="G7" i="34"/>
  <c r="E7" i="34"/>
  <c r="I7" i="33"/>
  <c r="G7" i="33"/>
  <c r="E7" i="33"/>
  <c r="W41" i="34"/>
  <c r="W44" i="34"/>
  <c r="U39" i="34"/>
  <c r="U43"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Z585" i="3"/>
  <c r="AB45" i="3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AZ457" i="3" s="1"/>
  <c r="BA459" i="3"/>
  <c r="AZ459" i="3" s="1"/>
  <c r="BA460" i="3"/>
  <c r="BA461" i="3"/>
  <c r="BL464" i="3"/>
  <c r="BL466" i="3"/>
  <c r="AZ466" i="3" s="1"/>
  <c r="G468" i="3"/>
  <c r="BL476" i="3"/>
  <c r="AZ476" i="3" s="1"/>
  <c r="BL480" i="3"/>
  <c r="AZ480" i="3" s="1"/>
  <c r="BA483" i="3"/>
  <c r="BL483" i="3"/>
  <c r="BA486" i="3"/>
  <c r="BL489" i="3"/>
  <c r="BL491" i="3"/>
  <c r="AZ491" i="3" s="1"/>
  <c r="BL492" i="3"/>
  <c r="BA315" i="3"/>
  <c r="AZ315" i="3" s="1"/>
  <c r="BA333" i="3"/>
  <c r="BL346" i="3"/>
  <c r="AZ346" i="3" s="1"/>
  <c r="BA384" i="3"/>
  <c r="AZ384" i="3" s="1"/>
  <c r="BA395" i="3"/>
  <c r="AZ395" i="3" s="1"/>
  <c r="BA210" i="3"/>
  <c r="AZ210" i="3" s="1"/>
  <c r="BL210" i="3"/>
  <c r="BL16" i="3"/>
  <c r="AZ16" i="3" s="1"/>
  <c r="BA401" i="3"/>
  <c r="AZ401" i="3" s="1"/>
  <c r="BA403" i="3"/>
  <c r="AZ403" i="3" s="1"/>
  <c r="BA404" i="3"/>
  <c r="BA405" i="3"/>
  <c r="BL410" i="3"/>
  <c r="G412" i="3"/>
  <c r="G418" i="3"/>
  <c r="BA422" i="3"/>
  <c r="AZ444"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AZ270" i="3"/>
  <c r="G587" i="3"/>
  <c r="BA551" i="3"/>
  <c r="AZ551" i="3" s="1"/>
  <c r="BA550" i="3"/>
  <c r="AZ550" i="3" s="1"/>
  <c r="BL548" i="3"/>
  <c r="AZ548" i="3" s="1"/>
  <c r="BL424" i="3"/>
  <c r="G427" i="3"/>
  <c r="BL428" i="3"/>
  <c r="BL429" i="3"/>
  <c r="BL432" i="3"/>
  <c r="BL435" i="3"/>
  <c r="BL436" i="3"/>
  <c r="BA439" i="3"/>
  <c r="BA440" i="3"/>
  <c r="AZ440" i="3" s="1"/>
  <c r="BA442" i="3"/>
  <c r="BA445" i="3"/>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BA349" i="3"/>
  <c r="AZ349" i="3" s="1"/>
  <c r="BA353" i="3"/>
  <c r="AZ353" i="3" s="1"/>
  <c r="BL353" i="3"/>
  <c r="BA358" i="3"/>
  <c r="AZ358" i="3" s="1"/>
  <c r="BL365" i="3"/>
  <c r="AZ365" i="3" s="1"/>
  <c r="BA368" i="3"/>
  <c r="AZ368" i="3" s="1"/>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G233" i="3"/>
  <c r="BL233" i="3"/>
  <c r="AZ233" i="3" s="1"/>
  <c r="BL235" i="3"/>
  <c r="AZ235" i="3" s="1"/>
  <c r="BL236" i="3"/>
  <c r="BL238" i="3"/>
  <c r="BL243"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AZ201"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AZ197" i="3" s="1"/>
  <c r="BL201" i="3"/>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7" i="71"/>
  <c r="T80" i="71"/>
  <c r="C79" i="71"/>
  <c r="BL85" i="3"/>
  <c r="BA86" i="3"/>
  <c r="AZ86" i="3" s="1"/>
  <c r="BA87" i="3"/>
  <c r="BA91" i="3"/>
  <c r="AZ91" i="3" s="1"/>
  <c r="G96" i="3"/>
  <c r="BL97" i="3"/>
  <c r="AZ97" i="3" s="1"/>
  <c r="BL101" i="3"/>
  <c r="BL102" i="3"/>
  <c r="G104" i="3"/>
  <c r="G105" i="3"/>
  <c r="BL106" i="3"/>
  <c r="BA108" i="3"/>
  <c r="AZ108" i="3" s="1"/>
  <c r="BA110" i="3"/>
  <c r="AZ110" i="3" s="1"/>
  <c r="F3" i="35"/>
  <c r="S25" i="40"/>
  <c r="B77" i="43"/>
  <c r="AA18" i="35"/>
  <c r="O66" i="71"/>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4" i="73"/>
  <c r="C16" i="67"/>
  <c r="D3" i="73"/>
  <c r="C16" i="15"/>
  <c r="D7" i="73"/>
  <c r="AB37" i="34" l="1"/>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36" i="3"/>
  <c r="E20" i="3"/>
  <c r="E222" i="3"/>
  <c r="E323" i="3"/>
  <c r="E462" i="3"/>
  <c r="E179" i="3"/>
  <c r="E307" i="3"/>
  <c r="E461" i="3"/>
  <c r="E157" i="3"/>
  <c r="W6" i="3"/>
  <c r="E471" i="3"/>
  <c r="E208" i="3"/>
  <c r="E93" i="3"/>
  <c r="E145" i="3"/>
  <c r="U6" i="3"/>
  <c r="E403" i="3"/>
  <c r="E71" i="3"/>
  <c r="E126" i="3"/>
  <c r="E53" i="3"/>
  <c r="E501" i="3"/>
  <c r="O6" i="3"/>
  <c r="E97" i="3"/>
  <c r="E506" i="3"/>
  <c r="E338" i="3"/>
  <c r="E565" i="3"/>
  <c r="E17" i="3"/>
  <c r="E221" i="3"/>
  <c r="E353" i="3"/>
  <c r="AA6" i="3"/>
  <c r="E128" i="3"/>
  <c r="E330" i="3"/>
  <c r="E424" i="3"/>
  <c r="AE6" i="3"/>
  <c r="E496" i="3"/>
  <c r="E256" i="3"/>
  <c r="E394" i="3"/>
  <c r="E32" i="3"/>
  <c r="E164" i="3"/>
  <c r="AG6" i="3"/>
  <c r="P6" i="3"/>
  <c r="E444" i="3"/>
  <c r="E88" i="3"/>
  <c r="E166" i="3"/>
  <c r="E30" i="3"/>
  <c r="E125" i="3"/>
  <c r="E553" i="3"/>
  <c r="E516" i="3"/>
  <c r="E396" i="3"/>
  <c r="E151" i="3"/>
  <c r="V6" i="3"/>
  <c r="E320" i="3"/>
  <c r="E230" i="3"/>
  <c r="E395" i="3"/>
  <c r="E550" i="3"/>
  <c r="E290" i="3"/>
  <c r="E578" i="3"/>
  <c r="E293" i="3"/>
  <c r="E583" i="3"/>
  <c r="E314" i="3"/>
  <c r="E99" i="3"/>
  <c r="E193" i="3"/>
  <c r="E527" i="3"/>
  <c r="E562" i="3"/>
  <c r="E450" i="3"/>
  <c r="E150" i="3"/>
  <c r="E351" i="3"/>
  <c r="E31" i="3"/>
  <c r="E271" i="3"/>
  <c r="E585" i="3"/>
  <c r="E478" i="3"/>
  <c r="AS6" i="3"/>
  <c r="E447" i="3"/>
  <c r="E162" i="3"/>
  <c r="E384" i="3"/>
  <c r="E441" i="3"/>
  <c r="E530" i="3"/>
  <c r="E388" i="3"/>
  <c r="E410" i="3"/>
  <c r="E143" i="3"/>
  <c r="E561" i="3"/>
  <c r="E439" i="3"/>
  <c r="E231" i="3"/>
  <c r="E528" i="3"/>
  <c r="E361" i="3"/>
  <c r="E180" i="3"/>
  <c r="E350" i="3"/>
  <c r="E495" i="3"/>
  <c r="E399" i="3"/>
  <c r="E181" i="3"/>
  <c r="AK6" i="3"/>
  <c r="E277" i="3"/>
  <c r="E472" i="3"/>
  <c r="E465" i="3"/>
  <c r="E577" i="3"/>
  <c r="E146" i="3"/>
  <c r="E214" i="3"/>
  <c r="E362" i="3"/>
  <c r="E89" i="3"/>
  <c r="E327" i="3"/>
  <c r="AO6"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T49" i="34" l="1"/>
  <c r="G49" i="34"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AC6" i="3" s="1"/>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67"/>
  <c r="F41" i="15"/>
  <c r="M27" i="15"/>
  <c r="M27" i="67"/>
  <c r="F69" i="67" l="1"/>
  <c r="AA10" i="40"/>
  <c r="R50" i="34"/>
  <c r="C50" i="34" s="1"/>
  <c r="U18" i="1" s="1"/>
  <c r="G54" i="34"/>
  <c r="H54" i="34" s="1"/>
  <c r="B1" i="74"/>
  <c r="C33" i="33"/>
  <c r="F25" i="12"/>
  <c r="C26" i="12" s="1"/>
  <c r="D25" i="12" s="1"/>
  <c r="E6" i="3"/>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6" i="67"/>
  <c r="C60" i="67"/>
  <c r="D10" i="69"/>
  <c r="C34" i="69"/>
  <c r="D10" i="68"/>
  <c r="C17" i="15"/>
  <c r="C14" i="67"/>
  <c r="C17" i="67"/>
  <c r="C49" i="34" l="1"/>
  <c r="E53" i="34"/>
  <c r="F53" i="34" s="1"/>
  <c r="I54" i="34"/>
  <c r="J54" i="34" s="1"/>
  <c r="H24" i="6"/>
  <c r="D30" i="6"/>
  <c r="H33" i="33"/>
  <c r="F33" i="33"/>
  <c r="J33" i="33"/>
  <c r="C44" i="11"/>
  <c r="D41" i="11" s="1"/>
  <c r="H25" i="6"/>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AC33" i="33" l="1"/>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33" l="1"/>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U36" i="33" l="1"/>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D2" i="35"/>
  <c r="D2" i="36"/>
  <c r="L51" i="15"/>
  <c r="D2" i="37"/>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AO9" i="1"/>
  <c r="AO11" i="1"/>
  <c r="D20" i="9"/>
  <c r="D34" i="9"/>
  <c r="C19" i="9"/>
  <c r="D35" i="9"/>
  <c r="AO12" i="1"/>
  <c r="AO8" i="1"/>
  <c r="AO6" i="1"/>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c r="B31" i="72" s="1"/>
  <c r="D8" i="52" l="1"/>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<sst xmlns="http://schemas.openxmlformats.org/spreadsheetml/2006/main" count="8420" uniqueCount="3518">
  <si>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</si>
  <si>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</si>
  <si>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</si>
  <si>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</si>
  <si>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</si>
  <si>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</si>
  <si>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</si>
  <si>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</si>
  <si>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</si>
  <si>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</si>
  <si>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</si>
  <si>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</si>
  <si>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</si>
  <si>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</si>
  <si>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</si>
  <si>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</si>
  <si>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</si>
  <si>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</si>
  <si>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</si>
  <si>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</si>
  <si>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</si>
  <si>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</si>
  <si>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</si>
  <si>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</si>
  <si>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</si>
  <si>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</si>
  <si>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</si>
  <si>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</si>
  <si>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</si>
  <si>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</si>
  <si>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</si>
  <si>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</si>
  <si>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</si>
  <si>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</si>
  <si>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</si>
  <si>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</si>
  <si>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</si>
  <si>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</si>
  <si>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</si>
  <si>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</si>
  <si>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</si>
  <si>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</si>
  <si>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</si>
  <si>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</si>
  <si>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</si>
  <si>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</si>
  <si>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</si>
  <si>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</si>
  <si>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</si>
  <si>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</si>
  <si>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</si>
  <si>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</si>
  <si>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</si>
  <si>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</si>
  <si>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</si>
  <si>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</si>
  <si>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</si>
  <si>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</si>
  <si>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</si>
  <si>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</si>
  <si>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</si>
  <si>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</si>
  <si>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</si>
  <si>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</si>
  <si>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</si>
  <si>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</si>
  <si>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</si>
  <si>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</si>
  <si>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</si>
  <si>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</si>
  <si>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</si>
  <si>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</si>
  <si>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</si>
  <si>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</si>
  <si>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</si>
  <si>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</si>
  <si>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</si>
  <si>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</si>
  <si>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</si>
  <si>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</si>
  <si>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</si>
  <si>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</si>
  <si>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</si>
  <si>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</si>
  <si>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</si>
  <si>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</si>
  <si>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</si>
  <si>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</si>
  <si>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</si>
  <si>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</si>
  <si>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</si>
  <si>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</si>
  <si>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</si>
  <si>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</si>
  <si>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</si>
  <si>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</si>
  <si>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</si>
  <si>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</si>
  <si>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</si>
  <si>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</si>
  <si>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</si>
  <si>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</si>
  <si>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</si>
  <si>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</si>
  <si>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</si>
  <si>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</si>
  <si>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</si>
  <si>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</si>
  <si>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</si>
  <si>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</si>
  <si>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</si>
  <si>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</si>
  <si>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</si>
  <si>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</si>
  <si>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</si>
  <si>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</si>
  <si>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</si>
  <si>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</si>
  <si>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</si>
  <si>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</si>
  <si>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</si>
  <si>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</si>
  <si>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</si>
  <si>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</si>
  <si>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</si>
  <si>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</si>
  <si>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</si>
  <si>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</si>
  <si>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</si>
  <si>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</si>
  <si>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</si>
  <si>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</si>
  <si>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</si>
  <si>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</si>
  <si>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</si>
  <si>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</si>
  <si>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</si>
  <si>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</si>
  <si>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</si>
  <si>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</si>
  <si>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</si>
  <si>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</si>
  <si>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</si>
  <si>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</si>
  <si>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</si>
  <si>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</si>
  <si>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</si>
  <si>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</si>
  <si>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</si>
  <si>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</si>
  <si>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</si>
  <si>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</si>
  <si>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</si>
  <si>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</si>
  <si>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</si>
  <si>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</si>
  <si>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</si>
  <si>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</si>
  <si>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</si>
  <si>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</si>
  <si>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</si>
  <si>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</si>
  <si>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</si>
  <si>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</si>
  <si>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</si>
  <si>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</si>
  <si>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</si>
  <si>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</si>
  <si>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</si>
  <si>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</si>
  <si>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</si>
  <si>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</si>
  <si>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</si>
  <si>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</si>
  <si>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</si>
  <si>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</si>
  <si>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</si>
  <si>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</si>
  <si>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</si>
  <si>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</si>
  <si>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</si>
  <si>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</si>
  <si>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</si>
  <si>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</si>
  <si>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</si>
  <si>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</si>
  <si>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</si>
  <si>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</si>
  <si>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</si>
  <si>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</si>
  <si>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</si>
  <si>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</si>
  <si>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</si>
  <si>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</si>
  <si>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</si>
  <si>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</si>
  <si>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</si>
  <si>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</si>
  <si>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</si>
  <si>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</si>
  <si>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</si>
  <si>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</si>
  <si>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</si>
  <si>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</si>
  <si>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</si>
  <si>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</si>
  <si>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</si>
  <si>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</si>
  <si>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</si>
  <si>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</si>
  <si>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</si>
  <si>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</si>
  <si>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</si>
  <si>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</si>
  <si>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</si>
  <si>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</si>
  <si>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</si>
  <si>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</si>
  <si>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</si>
  <si>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</si>
  <si>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</si>
  <si>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</si>
  <si>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</si>
  <si>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</si>
  <si>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</si>
  <si>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</si>
  <si>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</si>
  <si>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</si>
  <si>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</si>
  <si>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</si>
  <si>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</si>
  <si>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</si>
  <si>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</si>
  <si>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</si>
  <si>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</si>
  <si>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</si>
  <si>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</si>
  <si>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</si>
  <si>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</si>
  <si>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</si>
  <si>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</si>
  <si>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</si>
  <si>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</si>
  <si>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</si>
  <si>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</si>
  <si>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</si>
  <si>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</si>
  <si>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</si>
  <si>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</si>
  <si>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</si>
  <si>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</si>
  <si>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</si>
  <si>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</si>
  <si>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</si>
  <si>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</si>
  <si>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</si>
  <si>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</si>
  <si>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</si>
  <si>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</si>
  <si>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</si>
  <si>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</si>
  <si>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</si>
  <si>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</si>
  <si>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</si>
  <si>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</si>
  <si>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</si>
  <si>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</si>
  <si>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</si>
  <si>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</si>
  <si>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</si>
  <si>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</si>
  <si>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</si>
  <si>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</si>
  <si>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</si>
  <si>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</si>
  <si>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</si>
  <si>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</si>
  <si>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</si>
  <si>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</si>
  <si>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</si>
  <si>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</si>
  <si>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</si>
  <si>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</si>
  <si>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</si>
  <si>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</si>
  <si>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</si>
  <si>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</si>
  <si>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</si>
  <si>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</si>
  <si>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</si>
  <si>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</si>
  <si>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</si>
  <si>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</si>
  <si>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</si>
  <si>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</si>
  <si>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</si>
  <si>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</si>
  <si>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</si>
  <si>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</si>
  <si>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</si>
  <si>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</si>
  <si>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</si>
  <si>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</si>
  <si>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</si>
  <si>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</si>
  <si>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</si>
  <si>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</si>
  <si>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</si>
  <si>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</si>
  <si>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</si>
  <si>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</si>
  <si>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</si>
  <si>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</si>
  <si>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</si>
  <si>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</si>
  <si>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</si>
  <si>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</si>
  <si>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</si>
  <si>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</si>
  <si>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</si>
  <si>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</si>
  <si>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</si>
  <si>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</si>
  <si>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</si>
  <si>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</si>
  <si>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</si>
  <si>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</si>
  <si>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</si>
  <si>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</si>
  <si>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</si>
  <si>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</si>
  <si>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</si>
  <si>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</si>
  <si>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</si>
  <si>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</si>
  <si>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</si>
  <si>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</si>
  <si>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</si>
  <si>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</si>
  <si>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</si>
  <si>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</si>
  <si>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</si>
  <si>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</si>
  <si>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</si>
  <si>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</si>
  <si>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</si>
  <si>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</si>
  <si>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</si>
  <si>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</si>
  <si>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</si>
  <si>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</si>
  <si>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</si>
  <si>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</si>
  <si>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</si>
  <si>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</si>
  <si>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</si>
  <si>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</si>
  <si>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</si>
  <si>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</si>
  <si>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</si>
  <si>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</si>
  <si>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</si>
  <si>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</si>
  <si>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</si>
  <si>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</si>
  <si>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</si>
  <si>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</si>
  <si>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</si>
  <si>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</si>
  <si>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</si>
  <si>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</si>
  <si>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</si>
  <si>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</si>
  <si>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</si>
  <si>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</si>
  <si>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</si>
  <si>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</si>
  <si>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</si>
  <si>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</si>
  <si>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</si>
  <si>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</si>
  <si>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</si>
  <si>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</si>
  <si>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</si>
  <si>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</si>
  <si>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</si>
  <si>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</si>
  <si>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</si>
  <si>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</si>
  <si>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</si>
  <si>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</si>
  <si>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</si>
  <si>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</si>
  <si>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</si>
  <si>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</si>
  <si>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</si>
  <si>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</si>
  <si>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</si>
  <si>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</si>
  <si>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</si>
  <si>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</si>
  <si>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</si>
  <si>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</si>
  <si>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</si>
  <si>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</si>
  <si>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</si>
  <si>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</si>
  <si>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</si>
  <si>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</si>
  <si>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</si>
  <si>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</si>
  <si>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</si>
  <si>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</si>
  <si>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</si>
  <si>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</si>
  <si>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</si>
  <si>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</si>
  <si>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</si>
  <si>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</si>
  <si>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</si>
  <si>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</si>
  <si>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</si>
  <si>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</si>
  <si>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</si>
  <si>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</si>
  <si>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</si>
  <si>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</si>
  <si>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</si>
  <si>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</si>
  <si>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</si>
  <si>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</si>
  <si>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</si>
  <si>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</si>
  <si>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</si>
  <si>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</si>
  <si>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</si>
  <si>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</si>
  <si>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</si>
  <si>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</si>
  <si>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</si>
  <si>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</si>
  <si>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</si>
  <si>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</si>
  <si>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</si>
  <si>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</si>
  <si>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</si>
  <si>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</si>
  <si>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</si>
  <si>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</si>
  <si>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</si>
  <si>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</si>
  <si>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</si>
  <si>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</si>
  <si>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</si>
  <si>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</si>
  <si>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</si>
  <si>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</si>
  <si>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</si>
  <si>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</si>
  <si>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</si>
  <si>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</si>
  <si>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</si>
  <si>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</si>
  <si>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</si>
  <si>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</si>
  <si>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</si>
  <si>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</si>
  <si>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</si>
  <si>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</si>
  <si>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</si>
  <si>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</si>
  <si>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</si>
  <si>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</si>
  <si>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</si>
  <si>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</si>
  <si>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</si>
  <si>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</si>
  <si>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</si>
  <si>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</si>
  <si>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</si>
  <si>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</si>
  <si>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</si>
  <si>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</si>
  <si>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</si>
  <si>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</si>
  <si>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</si>
  <si>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</si>
  <si>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</si>
  <si>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</si>
  <si>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</si>
  <si>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</si>
  <si>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</si>
  <si>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</si>
  <si>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</si>
  <si>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</si>
  <si>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</si>
  <si>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</si>
  <si>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</si>
  <si>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</si>
  <si>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</si>
  <si>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</si>
  <si>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</si>
  <si>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</si>
  <si>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</si>
  <si>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</si>
  <si>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</si>
  <si>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</si>
  <si>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</si>
  <si>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</si>
  <si>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</si>
  <si>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</si>
  <si>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</si>
  <si>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</si>
  <si>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</si>
  <si>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</si>
  <si>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</si>
  <si>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</si>
  <si>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</si>
  <si>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</si>
  <si>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</si>
  <si>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</si>
  <si>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</si>
  <si>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</si>
  <si>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</si>
  <si>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</si>
  <si>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</si>
  <si>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</si>
  <si>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</si>
  <si>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</si>
  <si>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</si>
  <si>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</si>
  <si>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</si>
  <si>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</si>
  <si>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</si>
  <si>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</si>
  <si>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</si>
  <si>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</si>
  <si>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</si>
  <si>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</si>
  <si>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</si>
  <si>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</si>
  <si>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</si>
  <si>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</si>
  <si>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</si>
  <si>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</si>
  <si>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</si>
  <si>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</si>
  <si>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</si>
  <si>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</si>
  <si>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</si>
  <si>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</si>
  <si>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</si>
  <si>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</si>
  <si>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</si>
  <si>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</si>
  <si>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</si>
  <si>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</si>
  <si>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</si>
  <si>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</si>
  <si>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</si>
  <si>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</si>
  <si>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</si>
  <si>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</si>
  <si>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</si>
  <si>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</si>
  <si>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</si>
  <si>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</si>
  <si>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</si>
  <si>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</si>
  <si>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</si>
  <si>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</si>
  <si>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</si>
  <si>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</si>
  <si>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</si>
  <si>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</si>
  <si>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</si>
  <si>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</si>
  <si>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</si>
  <si>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</si>
  <si>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</si>
  <si>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</si>
  <si>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</si>
  <si>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</si>
  <si>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</si>
  <si>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</si>
  <si>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</si>
  <si>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</si>
  <si>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</si>
  <si>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</si>
  <si>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</si>
  <si>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</si>
  <si>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</si>
  <si>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</si>
  <si>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</si>
  <si>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</si>
  <si>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</si>
  <si>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</si>
  <si>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</si>
  <si>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</si>
  <si>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</si>
  <si>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</si>
  <si>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</si>
  <si>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</si>
  <si>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</si>
  <si>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</si>
  <si>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</si>
  <si>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</si>
  <si>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</si>
  <si>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</si>
  <si>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</si>
  <si>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</si>
  <si>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</si>
  <si>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</si>
  <si>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</si>
  <si>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</si>
  <si>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</si>
  <si>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</si>
  <si>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</si>
  <si>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</si>
  <si>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</si>
  <si>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</si>
  <si>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</si>
  <si>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</si>
  <si>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</si>
  <si>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</si>
  <si>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</si>
  <si>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</si>
  <si>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</si>
  <si>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</si>
  <si>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</si>
  <si>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</si>
  <si>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</si>
  <si>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</si>
  <si>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</si>
  <si>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</si>
  <si>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</si>
  <si>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</si>
  <si>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</si>
  <si>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</si>
  <si>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</si>
  <si>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</si>
  <si>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</si>
  <si>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</si>
  <si>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</si>
  <si>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</si>
  <si>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</si>
  <si>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</si>
  <si>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</si>
  <si>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</si>
  <si>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</si>
  <si>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</si>
  <si>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</si>
  <si>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</si>
  <si>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</si>
  <si>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</si>
  <si>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</si>
  <si>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</si>
  <si>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</si>
  <si>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</si>
  <si>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</si>
  <si>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</si>
  <si>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</si>
  <si>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</si>
  <si>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</si>
  <si>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</si>
  <si>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</si>
  <si>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</si>
  <si>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</si>
  <si>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</si>
  <si>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</si>
  <si>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</si>
  <si>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</si>
  <si>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</si>
  <si>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</si>
  <si>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</si>
  <si>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</si>
  <si>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</si>
  <si>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</si>
  <si>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</si>
  <si>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</si>
  <si>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</si>
  <si>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</si>
  <si>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</si>
  <si>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</si>
  <si>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</si>
  <si>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</si>
  <si>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</si>
  <si>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</si>
  <si>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</si>
  <si>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</si>
  <si>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</si>
  <si>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</si>
  <si>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</si>
  <si>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</si>
  <si>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</si>
  <si>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</si>
  <si>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</si>
  <si>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</si>
  <si>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</si>
  <si>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</si>
  <si>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</si>
  <si>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</si>
  <si>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</si>
  <si>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</si>
  <si>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</si>
  <si>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</si>
  <si>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</si>
  <si>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</si>
  <si>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</si>
  <si>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</si>
  <si>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</si>
  <si>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</si>
  <si>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</si>
  <si>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</si>
  <si>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</si>
  <si>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</si>
  <si>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</si>
  <si>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</si>
  <si>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</si>
  <si>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</si>
  <si>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</si>
  <si>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</si>
  <si>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</si>
  <si>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</si>
  <si>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</si>
  <si>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</si>
  <si>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</si>
  <si>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</si>
  <si>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</si>
  <si>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</si>
  <si>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</si>
  <si>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</si>
  <si>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</si>
  <si>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</si>
  <si>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</si>
  <si>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</si>
  <si>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</si>
  <si>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</si>
  <si>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</si>
  <si>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</si>
  <si>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</si>
  <si>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</si>
  <si>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</si>
  <si>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</si>
  <si>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</si>
  <si>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</si>
  <si>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</si>
  <si>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</si>
  <si>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</si>
  <si>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</si>
  <si>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</si>
  <si>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</si>
  <si>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</si>
  <si>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</si>
  <si>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</si>
  <si>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</si>
  <si>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</si>
  <si>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</si>
  <si>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</si>
  <si>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</si>
  <si>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</si>
  <si>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</si>
  <si>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</si>
  <si>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</si>
  <si>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</si>
  <si>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</si>
  <si>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</si>
  <si>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</si>
  <si>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</si>
  <si>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</si>
  <si>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</si>
  <si>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</si>
  <si>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</si>
  <si>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</si>
  <si>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</si>
  <si>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</si>
  <si>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</si>
  <si>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</si>
  <si>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</si>
  <si>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</si>
  <si>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</si>
  <si>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</si>
  <si>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</si>
  <si>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</si>
  <si>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</si>
  <si>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</si>
  <si>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</si>
  <si>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</si>
  <si>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</si>
  <si>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</si>
  <si>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</si>
  <si>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</si>
  <si>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</si>
  <si>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</si>
  <si>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</si>
  <si>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</si>
  <si>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</si>
  <si>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</si>
  <si>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</si>
  <si>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</si>
  <si>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</si>
  <si>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</si>
  <si>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</si>
  <si>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</si>
  <si>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</si>
  <si>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</si>
  <si>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</si>
  <si>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</si>
  <si>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</si>
  <si>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</si>
  <si>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</si>
  <si>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</si>
  <si>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</si>
  <si>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</si>
  <si>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</si>
  <si>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</si>
  <si>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</si>
  <si>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</si>
  <si>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</si>
  <si>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</si>
  <si>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</si>
  <si>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</si>
  <si>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</si>
  <si>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</si>
  <si>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</si>
  <si>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</si>
  <si>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</si>
  <si>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</si>
  <si>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</si>
  <si>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</si>
  <si>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</si>
  <si>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</si>
  <si>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</si>
  <si>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</si>
  <si>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</si>
  <si>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</si>
  <si>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</si>
  <si>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</si>
  <si>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</si>
  <si>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</si>
  <si>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</si>
  <si>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</si>
  <si>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</si>
  <si>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</si>
  <si>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</si>
  <si>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</si>
  <si>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</si>
  <si>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</si>
  <si>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</si>
  <si>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</si>
  <si>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</si>
  <si>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</si>
  <si>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</si>
  <si>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</si>
  <si>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</si>
  <si>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</si>
  <si>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</si>
  <si>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</si>
  <si>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</si>
  <si>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</si>
  <si>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</si>
  <si>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</si>
  <si>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</si>
  <si>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</si>
  <si>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</si>
  <si>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</si>
  <si>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</si>
  <si>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</si>
  <si>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</si>
  <si>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</si>
  <si>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</si>
  <si>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</si>
  <si>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</si>
  <si>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</si>
  <si>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</si>
  <si>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</si>
  <si>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</si>
  <si>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</si>
  <si>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</si>
  <si>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</si>
  <si>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</si>
  <si>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</si>
  <si>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</si>
  <si>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</si>
  <si>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</si>
  <si>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</si>
  <si>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</si>
  <si>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</si>
  <si>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</si>
  <si>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</si>
  <si>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</si>
  <si>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</si>
  <si>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</si>
  <si>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</si>
  <si>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</si>
  <si>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</si>
  <si>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</si>
  <si>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</si>
  <si>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</si>
  <si>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</si>
  <si>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</si>
  <si>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</si>
  <si>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</si>
  <si>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</si>
  <si>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</si>
  <si>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</si>
  <si>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</si>
  <si>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</si>
  <si>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</si>
  <si>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</si>
  <si>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</si>
  <si>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</si>
  <si>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</si>
  <si>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</si>
  <si>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</si>
  <si>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</si>
  <si>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</si>
  <si>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</si>
  <si>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</si>
  <si>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</si>
  <si>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</si>
  <si>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</si>
  <si>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</si>
  <si>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</si>
  <si>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</si>
  <si>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</si>
  <si>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</si>
  <si>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</si>
  <si>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</si>
  <si>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</si>
  <si>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</si>
  <si>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</si>
  <si>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</si>
  <si>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</si>
  <si>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</si>
  <si>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</si>
  <si>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</si>
  <si>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</si>
  <si>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</si>
  <si>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</si>
  <si>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</si>
  <si>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</si>
  <si>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</si>
  <si>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</si>
  <si>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</si>
  <si>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</si>
  <si>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</si>
  <si>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</si>
  <si>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</si>
  <si>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</si>
  <si>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</si>
  <si>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</si>
  <si>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</si>
  <si>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</si>
  <si>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</si>
  <si>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</si>
  <si>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</si>
  <si>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</si>
  <si>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</si>
  <si>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</si>
  <si>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</si>
  <si>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</si>
  <si>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</si>
  <si>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</si>
  <si>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</si>
  <si>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</si>
  <si>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</si>
  <si>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</si>
  <si>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</si>
  <si>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</si>
  <si>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</si>
  <si>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</si>
  <si>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</si>
  <si>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</si>
  <si>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</si>
  <si>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</si>
  <si>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</si>
  <si>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</si>
  <si>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</si>
  <si>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</si>
  <si>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</si>
  <si>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</si>
  <si>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</si>
  <si>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</si>
  <si>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</si>
  <si>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</si>
  <si>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</si>
  <si>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</si>
  <si>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</si>
  <si>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</si>
  <si>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</si>
  <si>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</si>
  <si>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</si>
  <si>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</si>
  <si>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</si>
  <si>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</si>
  <si>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</si>
  <si>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</si>
  <si>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</si>
  <si>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</si>
  <si>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</si>
  <si>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</si>
  <si>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</si>
  <si>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</si>
  <si>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</si>
  <si>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</si>
  <si>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</si>
  <si>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</si>
  <si>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</si>
  <si>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</si>
  <si>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</si>
  <si>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</si>
  <si>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</si>
  <si>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</si>
  <si>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</si>
  <si>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</si>
  <si>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</si>
  <si>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</si>
  <si>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</si>
  <si>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</si>
  <si>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</si>
  <si>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</si>
  <si>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</si>
  <si>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</si>
  <si>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</si>
  <si>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</si>
  <si>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</si>
  <si>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</si>
  <si>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</si>
  <si>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</si>
  <si>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</si>
  <si>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</si>
  <si>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</si>
  <si>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</si>
  <si>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</si>
  <si>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</si>
  <si>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</si>
  <si>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</si>
  <si>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</si>
  <si>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</si>
  <si>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</si>
  <si>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</si>
  <si>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</si>
  <si>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</si>
  <si>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</si>
  <si>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</si>
  <si>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</si>
  <si>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</si>
  <si>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</si>
  <si>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</si>
  <si>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</si>
  <si>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</si>
  <si>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</si>
  <si>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</si>
  <si>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</si>
  <si>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</si>
  <si>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</si>
  <si>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</si>
  <si>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</si>
  <si>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</si>
  <si>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</si>
  <si>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</si>
  <si>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</si>
  <si>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</si>
  <si>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</si>
  <si>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</si>
  <si>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</si>
  <si>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</si>
  <si>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</si>
  <si>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</si>
  <si>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</si>
  <si>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</si>
  <si>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</si>
  <si>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</si>
  <si>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</si>
  <si>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</si>
  <si>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</si>
  <si>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</si>
  <si>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</si>
  <si>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</si>
  <si>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</si>
  <si>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</si>
  <si>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</si>
  <si>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</si>
  <si>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</si>
  <si>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</si>
  <si>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</si>
  <si>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</si>
  <si>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</si>
  <si>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</si>
  <si>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</si>
  <si>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</si>
  <si>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</si>
  <si>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</si>
  <si>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</si>
  <si>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</si>
  <si>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</si>
  <si>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</si>
  <si>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</si>
  <si>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</si>
  <si>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</si>
  <si>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</si>
  <si>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</si>
  <si>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</si>
  <si>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</si>
  <si>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</si>
  <si>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</si>
  <si>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</si>
  <si>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</si>
  <si>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</si>
  <si>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</si>
  <si>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</si>
  <si>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</si>
  <si>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</si>
  <si>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</si>
  <si>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</si>
  <si>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</si>
  <si>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</si>
  <si>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</si>
  <si>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</si>
  <si>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</si>
  <si>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</si>
  <si>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</si>
  <si>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</si>
  <si>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</si>
  <si>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</si>
  <si>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</si>
  <si>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</si>
  <si>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</si>
  <si>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</si>
  <si>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</si>
  <si>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</si>
  <si>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</si>
  <si>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</si>
  <si>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</si>
  <si>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</si>
  <si>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</si>
  <si>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</si>
  <si>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</si>
  <si>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</si>
  <si>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</si>
  <si>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</si>
  <si>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</si>
  <si>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</si>
  <si>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</si>
  <si>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</si>
  <si>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</si>
  <si>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</si>
  <si>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</si>
  <si>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</si>
  <si>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</si>
  <si>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</si>
  <si>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</si>
  <si>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</si>
  <si>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</si>
  <si>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</si>
  <si>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</si>
  <si>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</si>
  <si>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</si>
  <si>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</si>
  <si>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</si>
  <si>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</si>
  <si>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</si>
  <si>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</si>
  <si>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</si>
  <si>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</si>
  <si>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</si>
  <si>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</si>
  <si>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</si>
  <si>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</si>
  <si>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</si>
  <si>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</si>
  <si>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</si>
  <si>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</si>
  <si>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</si>
  <si>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</si>
  <si>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</si>
  <si>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</si>
  <si>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</si>
  <si>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</si>
  <si>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</si>
  <si>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</si>
  <si>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</si>
  <si>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</si>
  <si>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</si>
  <si>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</si>
  <si>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</si>
  <si>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</si>
  <si>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</si>
  <si>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</si>
  <si>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</si>
  <si>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</si>
  <si>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</si>
  <si>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</si>
  <si>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</si>
  <si>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</si>
  <si>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</si>
  <si>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</si>
  <si>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</si>
  <si>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</si>
  <si>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</si>
  <si>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</si>
  <si>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</si>
  <si>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</si>
  <si>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</si>
  <si>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</si>
  <si>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</si>
  <si>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</si>
  <si>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</si>
  <si>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</si>
  <si>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</si>
  <si>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</si>
  <si>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</si>
  <si>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</si>
  <si>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</si>
  <si>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</si>
  <si>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</si>
  <si>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</si>
  <si>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</si>
  <si>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</si>
  <si>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</si>
  <si>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</si>
  <si>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</si>
  <si>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</si>
  <si>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</si>
  <si>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</si>
  <si>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</si>
  <si>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</si>
  <si>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</si>
  <si>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</si>
  <si>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</si>
  <si>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</si>
  <si>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</si>
  <si>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</si>
  <si>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</si>
  <si>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</si>
  <si>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</si>
  <si>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</si>
  <si>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</si>
  <si>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</si>
  <si>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</si>
  <si>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</si>
  <si>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</si>
  <si>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</si>
  <si>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</si>
  <si>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</si>
  <si>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</si>
  <si>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</si>
  <si>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</si>
  <si>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</si>
  <si>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</si>
  <si>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</si>
  <si>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</si>
  <si>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</si>
  <si>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</si>
  <si>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</si>
  <si>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</si>
  <si>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</si>
  <si>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</si>
  <si>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</si>
  <si>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</si>
  <si>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</si>
  <si>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</si>
  <si>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</si>
  <si>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</si>
  <si>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</si>
  <si>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</si>
  <si>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</si>
  <si>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</si>
  <si>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</si>
  <si>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</si>
  <si>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</si>
  <si>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</si>
  <si>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</si>
  <si>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</si>
  <si>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</si>
  <si>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</si>
  <si>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</si>
  <si>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</si>
  <si>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</si>
  <si>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</si>
  <si>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</si>
  <si>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</si>
  <si>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</si>
  <si>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</si>
  <si>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</si>
  <si>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</si>
  <si>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</si>
  <si>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</si>
  <si>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</si>
  <si>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</si>
  <si>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</si>
  <si>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</si>
  <si>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</si>
  <si>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</si>
  <si>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</si>
  <si>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</si>
  <si>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</si>
  <si>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</si>
  <si>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</si>
  <si>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</si>
  <si>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</si>
  <si>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</si>
  <si>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</si>
  <si>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</si>
  <si>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</si>
  <si>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</si>
  <si>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</si>
  <si>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</si>
  <si>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</si>
  <si>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</si>
  <si>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</si>
  <si>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</si>
  <si>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</si>
  <si>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</si>
  <si>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</si>
  <si>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</si>
  <si>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</si>
  <si>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</si>
  <si>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</si>
  <si>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</si>
  <si>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</si>
  <si>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</si>
  <si>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</si>
  <si>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</si>
  <si>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</si>
  <si>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</si>
  <si>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</si>
  <si>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</si>
  <si>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</si>
  <si>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</si>
  <si>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</si>
  <si>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</si>
  <si>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</si>
  <si>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</si>
  <si>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</si>
  <si>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</si>
  <si>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</si>
  <si>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</si>
  <si>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</si>
  <si>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</si>
  <si>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</si>
  <si>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</si>
  <si>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</si>
  <si>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</si>
  <si>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</si>
  <si>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</si>
  <si>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</si>
  <si>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</si>
  <si>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</si>
  <si>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</si>
  <si>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</si>
  <si>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</si>
  <si>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</si>
  <si>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</si>
  <si>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</si>
  <si>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</si>
  <si>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</si>
  <si>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</si>
  <si>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</si>
  <si>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</si>
  <si>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</si>
  <si>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</si>
  <si>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</si>
  <si>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</si>
  <si>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</si>
  <si>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</si>
  <si>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</si>
  <si>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</si>
  <si>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</si>
  <si>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</si>
  <si>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</si>
  <si>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</si>
  <si>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</si>
  <si>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</si>
  <si>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</si>
  <si>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</si>
  <si>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</si>
  <si>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</si>
  <si>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</si>
  <si>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</si>
  <si>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</si>
  <si>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</si>
  <si>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</si>
  <si>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</si>
  <si>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</si>
  <si>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</si>
  <si>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</si>
  <si>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</si>
  <si>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</si>
  <si>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</si>
  <si>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</si>
  <si>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</si>
  <si>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</si>
  <si>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</si>
  <si>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</si>
  <si>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</si>
  <si>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</si>
  <si>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</si>
  <si>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</si>
  <si>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</si>
  <si>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</si>
  <si>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</si>
  <si>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</si>
  <si>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</si>
  <si>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</si>
  <si>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</si>
  <si>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</si>
  <si>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</si>
  <si>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</si>
  <si>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</si>
  <si>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</si>
  <si>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</si>
  <si>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</si>
  <si>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</si>
  <si>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</si>
  <si>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</si>
  <si>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</si>
  <si>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</si>
  <si>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</si>
  <si>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</si>
  <si>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</si>
  <si>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</si>
  <si>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</si>
  <si>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</si>
  <si>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</si>
  <si>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</si>
  <si>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</si>
  <si>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</si>
  <si>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</si>
  <si>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</si>
  <si>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</si>
  <si>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</si>
  <si>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</si>
  <si>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</si>
  <si>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</si>
  <si>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</si>
  <si>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</si>
  <si>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</si>
  <si>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</si>
  <si>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</si>
  <si>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</si>
  <si>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</si>
  <si>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</si>
  <si>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</si>
  <si>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</si>
  <si>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</si>
  <si>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</si>
  <si>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</si>
  <si>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</si>
  <si>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</si>
  <si>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</si>
  <si>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</si>
  <si>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</si>
  <si>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</si>
  <si>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</si>
  <si>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</si>
  <si>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</si>
  <si>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</si>
  <si>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</si>
  <si>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</si>
  <si>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</si>
  <si>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</si>
  <si>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</si>
  <si>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</si>
  <si>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</si>
  <si>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</si>
  <si>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</si>
  <si>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</si>
  <si>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</si>
  <si>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</si>
  <si>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</si>
  <si>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</si>
  <si>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</si>
  <si>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</si>
  <si>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</si>
  <si>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</si>
  <si>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</si>
  <si>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</si>
  <si>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</si>
  <si>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</si>
  <si>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</si>
  <si>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</si>
  <si>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</si>
  <si>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</si>
  <si>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</si>
  <si>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</si>
  <si>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</si>
  <si>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</si>
  <si>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</si>
  <si>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</si>
  <si>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</si>
  <si>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</si>
  <si>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</si>
  <si>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</si>
  <si>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</si>
  <si>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</si>
  <si>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</si>
  <si>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</si>
  <si>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</si>
  <si>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</si>
  <si>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</si>
  <si>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</si>
  <si>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</si>
  <si>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</si>
  <si>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</si>
  <si>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</si>
  <si>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</si>
  <si>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</si>
  <si>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</si>
  <si>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</si>
  <si>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</si>
  <si>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</si>
  <si>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</si>
  <si>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</si>
  <si>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</si>
  <si>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</si>
  <si>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</si>
  <si>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</si>
  <si>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</si>
  <si>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</si>
  <si>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</si>
  <si>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</si>
  <si>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</si>
  <si>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</si>
  <si>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</si>
  <si>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</si>
  <si>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</si>
  <si>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</si>
  <si>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</si>
  <si>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</si>
  <si>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</si>
  <si>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</si>
  <si>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</si>
  <si>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</si>
  <si>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</si>
  <si>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</si>
  <si>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</si>
  <si>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</si>
  <si>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</si>
  <si>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</si>
  <si>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</si>
  <si>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</si>
  <si>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</si>
  <si>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</si>
  <si>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</si>
  <si>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</si>
  <si>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</si>
  <si>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</si>
  <si>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</si>
  <si>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</si>
  <si>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</si>
  <si>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</si>
  <si>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</si>
  <si>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</si>
  <si>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</si>
  <si>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</si>
  <si>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</si>
  <si>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</si>
  <si>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</si>
  <si>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</si>
  <si>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</si>
  <si>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</si>
  <si>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</si>
  <si>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</si>
  <si>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</si>
  <si>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</si>
  <si>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</si>
  <si>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</si>
  <si>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</si>
  <si>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</si>
  <si>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</si>
  <si>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</si>
  <si>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</si>
  <si>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</si>
  <si>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</si>
  <si>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</si>
  <si>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</si>
  <si>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</si>
  <si>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</si>
  <si>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</si>
  <si>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</si>
  <si>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</si>
  <si>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</si>
  <si>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</si>
  <si>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</si>
  <si>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</si>
  <si>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</si>
  <si>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</si>
  <si>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</si>
  <si>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</si>
  <si>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</si>
  <si>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</si>
  <si>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</si>
  <si>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</si>
  <si>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</si>
  <si>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</si>
  <si>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</si>
  <si>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</si>
  <si>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</si>
  <si>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</si>
  <si>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</si>
  <si>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</si>
  <si>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</si>
  <si>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</si>
  <si>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</si>
  <si>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</si>
  <si>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</si>
  <si>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</si>
  <si>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</si>
  <si>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</si>
  <si>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</si>
  <si>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</si>
  <si>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</si>
  <si>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</si>
  <si>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</si>
  <si>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</si>
  <si>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</si>
  <si>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</si>
  <si>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</si>
  <si>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</si>
  <si>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</si>
  <si>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</si>
  <si>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</si>
  <si>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</si>
  <si>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</si>
  <si>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</si>
  <si>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</si>
  <si>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</si>
  <si>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</si>
  <si>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</si>
  <si>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</si>
  <si>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</si>
  <si>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</si>
  <si>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</si>
  <si>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</si>
  <si>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</si>
  <si>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</si>
  <si>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</si>
  <si>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</si>
  <si>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</si>
  <si>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</si>
  <si>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</si>
  <si>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</si>
  <si>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</si>
  <si>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</si>
  <si>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</si>
  <si>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</si>
  <si>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</si>
  <si>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</si>
  <si>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</si>
  <si>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</si>
  <si>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</si>
  <si>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</si>
  <si>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</si>
  <si>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</si>
  <si>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</si>
  <si>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</si>
  <si>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</si>
  <si>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</si>
  <si>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</si>
  <si>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</si>
  <si>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</si>
  <si>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</si>
  <si>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</si>
  <si>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</si>
  <si>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</si>
  <si>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</si>
  <si>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</si>
  <si>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</si>
  <si>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</si>
  <si>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</si>
  <si>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</si>
  <si>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</si>
  <si>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</si>
  <si>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</si>
  <si>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</si>
  <si>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</si>
  <si>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</si>
  <si>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</si>
  <si>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</si>
  <si>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</si>
  <si>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</si>
  <si>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</si>
  <si>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</si>
  <si>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</si>
  <si>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</si>
  <si>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</si>
  <si>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</si>
  <si>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</si>
  <si>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</si>
  <si>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</si>
  <si>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</si>
  <si>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</si>
  <si>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</si>
  <si>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</si>
  <si>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</si>
  <si>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</si>
  <si>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</si>
  <si>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</si>
  <si>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</si>
  <si>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</si>
  <si>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</si>
  <si>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</si>
  <si>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</si>
  <si>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</si>
  <si>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</si>
  <si>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</si>
  <si>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</si>
  <si>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</si>
  <si>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</si>
  <si>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</si>
  <si>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</si>
  <si>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</si>
  <si>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</si>
  <si>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</si>
  <si>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</si>
  <si>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</si>
  <si>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</si>
  <si>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</si>
  <si>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</si>
  <si>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</si>
  <si>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</si>
  <si>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</si>
  <si>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</si>
  <si>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</si>
  <si>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</si>
  <si>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</si>
  <si>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</si>
  <si>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</si>
  <si>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</si>
  <si>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</si>
  <si>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</si>
  <si>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</si>
  <si>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</si>
  <si>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</si>
  <si>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</si>
  <si>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</si>
  <si>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</si>
  <si>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</si>
  <si>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</si>
  <si>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</si>
  <si>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</si>
  <si>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</si>
  <si>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</si>
  <si>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</si>
  <si>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</si>
  <si>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</si>
  <si>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</si>
  <si>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</si>
  <si>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</si>
  <si>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</si>
  <si>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</si>
  <si>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</si>
  <si>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</si>
  <si>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</si>
  <si>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</si>
  <si>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</si>
  <si>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</si>
  <si>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</si>
  <si>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</si>
  <si>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</si>
  <si>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</si>
  <si>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</si>
  <si>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</si>
  <si>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</si>
  <si>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</si>
  <si>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</si>
  <si>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</si>
  <si>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</si>
  <si>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</si>
  <si>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</si>
  <si>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</si>
  <si>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</si>
  <si>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</si>
  <si>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</si>
  <si>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</si>
  <si>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</si>
  <si>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</si>
  <si>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</si>
  <si>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</si>
  <si>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</si>
  <si>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</si>
  <si>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</si>
  <si>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</si>
  <si>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</si>
  <si>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</si>
  <si>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</si>
  <si>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</si>
  <si>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</si>
  <si>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</si>
  <si>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</si>
  <si>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</si>
  <si>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</si>
  <si>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</si>
  <si>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</si>
  <si>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</si>
  <si>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</si>
  <si>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</si>
  <si>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</si>
  <si>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</si>
  <si>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</si>
  <si>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</si>
  <si>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</si>
  <si>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</si>
  <si>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</si>
  <si>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</si>
  <si>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</si>
  <si>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</si>
  <si>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</si>
  <si>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</si>
  <si>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</si>
  <si>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</si>
  <si>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</si>
  <si>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</si>
  <si>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</si>
  <si>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</si>
  <si>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</si>
  <si>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</si>
  <si>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</si>
  <si>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</si>
  <si>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</si>
  <si>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</si>
  <si>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</si>
  <si>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</si>
  <si>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</si>
  <si>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</si>
  <si>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</si>
  <si>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</si>
  <si>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</si>
  <si>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</si>
  <si>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</si>
  <si>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</si>
  <si>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</si>
  <si>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</si>
  <si>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</si>
  <si>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</si>
  <si>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</si>
  <si>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</si>
  <si>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</si>
  <si>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</si>
  <si>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</si>
  <si>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</si>
  <si>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</si>
  <si>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</si>
  <si>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</si>
  <si>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</si>
  <si>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</si>
  <si>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</si>
  <si>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</si>
  <si>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</si>
  <si>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</si>
  <si>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</si>
  <si>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</si>
  <si>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</si>
  <si>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</si>
  <si>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</si>
  <si>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</si>
  <si>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</si>
  <si>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</si>
  <si>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</si>
  <si>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</si>
  <si>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</si>
  <si>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</si>
  <si>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</si>
  <si>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</si>
  <si>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</si>
  <si>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</si>
  <si>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</si>
  <si>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</si>
  <si>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</si>
  <si>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</si>
  <si>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</si>
  <si>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</si>
  <si>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</si>
  <si>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</si>
  <si>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</si>
  <si>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</si>
  <si>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</si>
  <si>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</si>
  <si>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</si>
  <si>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</si>
  <si>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</si>
  <si>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</si>
  <si>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</si>
  <si>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</si>
  <si>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</si>
  <si>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</si>
  <si>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</si>
  <si>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</si>
  <si>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</si>
  <si>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</si>
  <si>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</si>
  <si>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</si>
  <si>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</si>
  <si>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</si>
  <si>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</si>
  <si>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</si>
  <si>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</si>
  <si>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</si>
  <si>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</si>
  <si>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</si>
  <si>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</si>
  <si>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</si>
  <si>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</si>
  <si>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</si>
  <si>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</si>
  <si>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</si>
  <si>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</si>
  <si>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</si>
  <si>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</si>
  <si>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</si>
  <si>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</si>
  <si>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</si>
  <si>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</si>
  <si>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</si>
  <si>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</si>
  <si>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</si>
  <si>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</si>
  <si>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</si>
  <si>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</si>
  <si>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</si>
  <si>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</si>
  <si>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</si>
  <si>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</si>
  <si>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</si>
  <si>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</si>
  <si>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</si>
  <si>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</si>
  <si>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</si>
  <si>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</si>
  <si>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</si>
  <si>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</si>
  <si>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</si>
  <si>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</si>
  <si>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</si>
  <si>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</si>
  <si>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</si>
  <si>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</si>
  <si>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</si>
  <si>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</si>
  <si>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</si>
  <si>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</si>
  <si>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</si>
  <si>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</si>
  <si>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</si>
  <si>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</si>
  <si>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</si>
  <si>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</si>
  <si>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</si>
  <si>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</si>
  <si>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</si>
  <si>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</si>
  <si>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</si>
  <si>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</si>
  <si>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</si>
  <si>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</si>
  <si>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</si>
  <si>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</si>
  <si>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</si>
  <si>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</si>
  <si>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</si>
  <si>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</si>
  <si>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</si>
  <si>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</si>
  <si>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</si>
  <si>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</si>
  <si>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</si>
  <si>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</si>
  <si>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</si>
  <si>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</si>
  <si>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</si>
  <si>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</si>
  <si>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</si>
  <si>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</si>
  <si>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</si>
  <si>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</si>
  <si>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</si>
  <si>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</si>
  <si>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</si>
  <si>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</si>
  <si>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</si>
  <si>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</si>
  <si>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</si>
  <si>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</si>
  <si>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</si>
  <si>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</si>
  <si>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</si>
  <si>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</si>
  <si>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</si>
  <si>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</si>
  <si>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</si>
  <si>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</si>
  <si>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</si>
  <si>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</si>
  <si>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</si>
  <si>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</si>
  <si>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</si>
  <si>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</si>
  <si>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</si>
  <si>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</si>
  <si>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</si>
  <si>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</si>
  <si>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</si>
  <si>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</si>
  <si>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</si>
  <si>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</si>
  <si>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</si>
  <si>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</si>
  <si>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</si>
  <si>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</si>
  <si>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</si>
  <si>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</si>
  <si>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</si>
  <si>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</si>
  <si>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</si>
  <si>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</si>
  <si>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</si>
  <si>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</si>
  <si>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</si>
  <si>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</si>
  <si>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</si>
  <si>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</si>
  <si>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</si>
  <si>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</si>
  <si>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</si>
  <si>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</si>
  <si>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</si>
  <si>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</si>
  <si>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</si>
  <si>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</si>
  <si>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</si>
  <si>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</si>
  <si>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</si>
  <si>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</si>
  <si>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</si>
  <si>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</si>
  <si>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</si>
  <si>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</si>
  <si>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</si>
  <si>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</si>
  <si>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</si>
  <si>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</si>
  <si>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</si>
  <si>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</si>
  <si>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</si>
  <si>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</si>
  <si>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</si>
  <si>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</si>
  <si>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</si>
  <si>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</si>
  <si>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</si>
  <si>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</si>
  <si>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</si>
  <si>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</si>
  <si>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</si>
  <si>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</si>
  <si>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</si>
  <si>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</si>
  <si>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</si>
  <si>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</si>
  <si>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</si>
  <si>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</si>
  <si>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</si>
  <si>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</si>
  <si>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</si>
  <si>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</si>
  <si>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</si>
  <si>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</si>
  <si>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</si>
  <si>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</si>
  <si>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</si>
  <si>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</si>
  <si>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</si>
  <si>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</si>
  <si>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</si>
  <si>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</si>
  <si>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</si>
  <si>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</si>
  <si>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</si>
  <si>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</si>
  <si>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</si>
  <si>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</si>
  <si>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</si>
  <si>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</si>
  <si>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</si>
  <si>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</si>
  <si>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</si>
  <si>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</si>
  <si>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</si>
  <si>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</si>
  <si>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</si>
  <si>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</si>
  <si>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</si>
  <si>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</si>
  <si>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</si>
  <si>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</si>
  <si>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</si>
  <si>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</si>
  <si>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</si>
  <si>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</si>
  <si>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</si>
  <si>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</si>
  <si>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</si>
  <si>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</si>
  <si>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</si>
  <si>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</si>
  <si>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</si>
  <si>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</si>
  <si>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</si>
  <si>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</si>
  <si>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</si>
  <si>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</si>
  <si>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</si>
  <si>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</si>
  <si>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</si>
  <si>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</si>
  <si>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</si>
  <si>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</si>
  <si>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</si>
  <si>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</si>
  <si>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</si>
  <si>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</si>
  <si>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</si>
  <si>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</si>
  <si>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</si>
  <si>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</si>
  <si>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</si>
  <si>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</si>
  <si>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</si>
  <si>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</si>
  <si>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</si>
  <si>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</si>
  <si>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</si>
  <si>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</si>
  <si>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</si>
  <si>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</si>
  <si>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</si>
  <si>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</si>
  <si>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</si>
  <si>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</si>
  <si>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</si>
  <si>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</si>
  <si>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</si>
  <si>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</si>
  <si>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</si>
  <si>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</si>
  <si>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</si>
  <si>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</si>
  <si>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</si>
  <si>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</si>
  <si>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</si>
  <si>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</si>
  <si>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</si>
  <si>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</si>
  <si>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</si>
  <si>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</si>
  <si>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</si>
  <si>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</si>
  <si>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</si>
  <si>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</si>
  <si>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</si>
  <si>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</si>
  <si>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</si>
  <si>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</si>
  <si>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</si>
  <si>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</si>
  <si>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</si>
  <si>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</si>
  <si>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</si>
  <si>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</si>
  <si>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</si>
  <si>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</si>
  <si>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</si>
  <si>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</si>
  <si>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</si>
  <si>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</si>
  <si>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</si>
  <si>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</si>
  <si>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</si>
  <si>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</si>
  <si>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</si>
  <si>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</si>
  <si>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</si>
  <si>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</si>
  <si>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</si>
  <si>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</si>
  <si>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</si>
  <si>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</si>
  <si>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</si>
  <si>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</si>
  <si>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</si>
  <si>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</si>
  <si>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</si>
  <si>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</si>
  <si>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</si>
  <si>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</si>
  <si>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</si>
  <si>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</si>
  <si>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</si>
  <si>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</si>
  <si>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</si>
  <si>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</si>
  <si>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</si>
  <si>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</si>
  <si>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</si>
  <si>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</si>
  <si>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</si>
  <si>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</si>
  <si>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</si>
  <si>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</si>
  <si>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</si>
  <si>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</si>
  <si>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</si>
  <si>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</si>
  <si>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</si>
  <si>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</si>
  <si>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</si>
  <si>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</si>
  <si>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</si>
  <si>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</si>
  <si>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</si>
  <si>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</si>
  <si>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</si>
  <si>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</si>
  <si>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</si>
  <si>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</si>
  <si>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</si>
  <si>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</si>
  <si>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</si>
  <si>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</si>
  <si>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</si>
  <si>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</si>
  <si>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</si>
  <si>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</si>
  <si>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</si>
  <si>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</si>
  <si>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</si>
  <si>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</si>
  <si>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</si>
  <si>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</si>
  <si>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</si>
  <si>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</si>
  <si>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</si>
  <si>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</si>
  <si>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</si>
  <si>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</si>
  <si>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</si>
  <si>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</si>
  <si>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</si>
  <si>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</si>
  <si>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</si>
  <si>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</si>
  <si>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</si>
  <si>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</si>
  <si>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</si>
  <si>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</si>
  <si>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</si>
  <si>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</si>
  <si>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</si>
  <si>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</si>
  <si>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</si>
  <si>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</si>
  <si>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</si>
  <si>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</si>
  <si>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</si>
  <si>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</si>
  <si>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</si>
  <si>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</si>
  <si>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</si>
  <si>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</si>
  <si>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</si>
  <si>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</si>
  <si>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</si>
  <si>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</si>
  <si>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</si>
  <si>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</si>
  <si>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</si>
  <si>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</si>
  <si>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</si>
  <si>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</si>
  <si>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</si>
  <si>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</si>
  <si>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</si>
  <si>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</si>
  <si>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</si>
  <si>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</si>
  <si>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</si>
  <si>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</si>
  <si>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</si>
  <si>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</si>
  <si>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</si>
  <si>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</si>
  <si>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</si>
  <si>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</si>
  <si>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</si>
  <si>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</si>
  <si>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</si>
  <si>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</si>
  <si>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</si>
  <si>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</si>
  <si>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</si>
  <si>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</si>
  <si>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</si>
  <si>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</si>
  <si>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</si>
  <si>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</si>
  <si>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</si>
  <si>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</si>
  <si>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</si>
  <si>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</si>
  <si>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</si>
  <si>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</si>
  <si>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</si>
  <si>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</si>
  <si>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</si>
  <si>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</si>
  <si>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</si>
  <si>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</si>
  <si>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</si>
  <si>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</si>
  <si>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</si>
  <si>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</si>
  <si>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</si>
  <si>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</si>
  <si>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</si>
  <si>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</si>
  <si>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</si>
  <si>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</si>
  <si>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</si>
  <si>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</si>
  <si>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</si>
  <si>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</si>
  <si>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</si>
  <si>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</si>
  <si>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</si>
  <si>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</si>
  <si>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</si>
  <si>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</si>
  <si>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</si>
  <si>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</si>
  <si>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</si>
  <si>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</si>
  <si>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</si>
  <si>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</si>
  <si>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</si>
  <si>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</si>
  <si>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</si>
  <si>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</si>
  <si>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</si>
  <si>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</si>
  <si>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</si>
  <si>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</si>
  <si>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</si>
  <si>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</si>
  <si>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</si>
  <si>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</si>
  <si>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</si>
  <si>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</si>
  <si>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</si>
  <si>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</si>
  <si>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</si>
  <si>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</si>
  <si>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</si>
  <si>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</si>
  <si>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</si>
  <si>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</si>
  <si>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</si>
  <si>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</si>
  <si>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</si>
  <si>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</si>
  <si>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</si>
  <si>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</si>
  <si>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</si>
  <si>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</si>
  <si>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</si>
  <si>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</si>
  <si>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</si>
  <si>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</si>
  <si>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</si>
  <si>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</si>
  <si>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</si>
  <si>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</si>
  <si>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</si>
  <si>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</si>
  <si>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</si>
  <si>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</si>
  <si>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</si>
  <si>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</si>
  <si>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</si>
  <si>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</si>
  <si>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</si>
  <si>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</si>
  <si>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</si>
  <si>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</si>
  <si>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</si>
  <si>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</si>
  <si>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</si>
  <si>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</si>
  <si>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</si>
  <si>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</si>
  <si>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</si>
  <si>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</si>
  <si>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</si>
  <si>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</si>
  <si>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</si>
  <si>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</si>
  <si>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</si>
  <si>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</si>
  <si>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</si>
  <si>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</si>
  <si>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</si>
  <si>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</si>
  <si>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</si>
  <si>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</si>
  <si>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</si>
  <si>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</si>
  <si>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</si>
  <si>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</si>
  <si>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</si>
  <si>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</si>
  <si>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</si>
  <si>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</si>
  <si>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</si>
  <si>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</si>
  <si>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</si>
  <si>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</si>
  <si>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</si>
  <si>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</si>
  <si>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</si>
  <si>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</si>
  <si>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</si>
  <si>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</si>
  <si>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</si>
  <si>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</si>
  <si>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</si>
  <si>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</si>
  <si>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</si>
  <si>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</si>
  <si>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</si>
  <si>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</si>
  <si>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</si>
  <si>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</si>
  <si>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</si>
  <si>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</si>
  <si>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</si>
  <si>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</si>
  <si>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</si>
  <si>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</si>
  <si>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</si>
  <si>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</si>
  <si>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</si>
  <si>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</si>
  <si>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</si>
  <si>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</si>
  <si>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</si>
  <si>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</si>
  <si>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</si>
  <si>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</si>
  <si>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</si>
  <si>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</si>
  <si>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</si>
  <si>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</si>
  <si>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</si>
  <si>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</si>
  <si>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</si>
  <si>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</si>
  <si>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</si>
  <si>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</si>
  <si>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</si>
  <si>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</si>
  <si>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</si>
  <si>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</si>
  <si>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</si>
  <si>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</si>
  <si>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</si>
  <si>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</si>
  <si>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</si>
  <si>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</si>
  <si>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</si>
  <si>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</si>
  <si>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</si>
  <si>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</si>
  <si>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</si>
  <si>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</si>
  <si>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</si>
  <si>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</si>
  <si>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</si>
  <si>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</si>
  <si>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</si>
  <si>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</si>
  <si>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</si>
  <si>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</si>
  <si>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</si>
  <si>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</si>
  <si>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</si>
  <si>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</si>
  <si>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</si>
  <si>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</si>
  <si>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</si>
  <si>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</si>
  <si>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</si>
  <si>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</si>
  <si>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</si>
  <si>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</si>
  <si>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</si>
  <si>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</si>
  <si>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</si>
  <si>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</si>
  <si>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</si>
  <si>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</si>
  <si>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</si>
  <si>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</si>
  <si>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</si>
  <si>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</si>
  <si>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</si>
  <si>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</si>
  <si>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</si>
  <si>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</si>
  <si>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</si>
  <si>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</si>
  <si>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</si>
  <si>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</si>
  <si>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</si>
  <si>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</si>
  <si>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</si>
  <si>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</si>
  <si>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</si>
  <si>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</si>
  <si>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</si>
  <si>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</si>
  <si>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</si>
  <si>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</si>
  <si>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</si>
  <si>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</si>
  <si>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</si>
  <si>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</si>
  <si>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</si>
  <si>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</si>
  <si>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</si>
  <si>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</si>
  <si>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</si>
  <si>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</si>
  <si>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</si>
  <si>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</si>
  <si>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</si>
  <si>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</si>
  <si>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</si>
  <si>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</si>
  <si>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</si>
  <si>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</si>
  <si>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</si>
  <si>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</si>
  <si>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</si>
  <si>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</si>
  <si>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</si>
  <si>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</si>
  <si>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</si>
  <si>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</si>
  <si>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</si>
  <si>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</si>
  <si>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</si>
  <si>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</si>
  <si>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</si>
  <si>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</si>
  <si>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</si>
  <si>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</si>
  <si>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</si>
  <si>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</si>
  <si>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</si>
  <si>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</si>
  <si>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</si>
  <si>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</si>
  <si>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</si>
  <si>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</si>
  <si>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</si>
  <si>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</si>
  <si>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</si>
  <si>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</si>
  <si>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</si>
  <si>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</si>
  <si>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</si>
  <si>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</si>
  <si>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</si>
  <si>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</si>
  <si>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</si>
  <si>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</si>
  <si>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</si>
  <si>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</si>
  <si>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</si>
  <si>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</si>
  <si>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</si>
  <si>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</si>
  <si>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</si>
  <si>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</si>
  <si>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</si>
  <si>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</si>
  <si>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</si>
  <si>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</si>
  <si>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</si>
  <si>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</si>
  <si>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</si>
  <si>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</si>
  <si>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</si>
  <si>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</si>
  <si>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</si>
  <si>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</si>
  <si>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</si>
  <si>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</si>
  <si>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</si>
  <si>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</si>
  <si>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</si>
  <si>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</si>
  <si>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</si>
  <si>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</si>
  <si>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</si>
  <si>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</si>
  <si>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</si>
  <si>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</si>
  <si>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</si>
  <si>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</si>
  <si>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</si>
  <si>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</si>
  <si>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</si>
  <si>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</si>
  <si>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</si>
  <si>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</si>
  <si>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</si>
  <si>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</si>
  <si>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</si>
  <si>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</si>
  <si>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</si>
  <si>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</si>
  <si>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</si>
  <si>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</si>
  <si>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</si>
  <si>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</si>
  <si>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</si>
  <si>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</si>
  <si>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</si>
  <si>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</si>
  <si>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</si>
  <si>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</si>
  <si>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</si>
  <si>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</si>
  <si>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</si>
  <si>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</si>
  <si>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</si>
  <si>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</si>
  <si>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</si>
  <si>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</si>
  <si>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</si>
  <si>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</si>
  <si>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</si>
  <si>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</si>
  <si>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</si>
  <si>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</si>
  <si>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</si>
  <si>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</si>
  <si>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</si>
  <si>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</si>
  <si>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</si>
  <si>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</si>
  <si>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</si>
  <si>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</si>
  <si>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</si>
  <si>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</si>
  <si>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</si>
  <si>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</si>
  <si>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</si>
  <si>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</si>
  <si>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</si>
  <si>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</si>
  <si>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</si>
  <si>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</si>
  <si>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</si>
  <si>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</si>
  <si>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</si>
  <si>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</si>
  <si>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</si>
  <si>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</si>
  <si>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</si>
  <si>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</si>
  <si>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</si>
  <si>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</si>
  <si>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</si>
  <si>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</si>
  <si>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</si>
  <si>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</si>
  <si>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</si>
  <si>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</si>
  <si>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</si>
  <si>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</si>
  <si>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</si>
  <si>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</si>
  <si>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</si>
  <si>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</si>
  <si>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</si>
  <si>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</si>
  <si>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</si>
  <si>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</si>
  <si>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</si>
  <si>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</si>
  <si>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</si>
  <si>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</si>
  <si>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</si>
  <si>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</si>
  <si>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</si>
  <si>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</si>
  <si>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</si>
  <si>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</si>
  <si>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</si>
  <si>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</si>
  <si>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</si>
  <si>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</si>
  <si>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</si>
  <si>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</si>
  <si>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</si>
  <si>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</si>
  <si>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</si>
  <si>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</si>
  <si>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</si>
  <si>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</si>
  <si>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</si>
  <si>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</si>
  <si>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</si>
  <si>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</si>
  <si>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</si>
  <si>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</si>
  <si>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</si>
  <si>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</si>
  <si>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</si>
  <si>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</si>
  <si>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</si>
  <si>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</si>
  <si>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</si>
  <si>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</si>
  <si>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</si>
  <si>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</si>
  <si>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</si>
  <si>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</si>
  <si>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</si>
  <si>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</si>
  <si>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</si>
  <si>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</si>
  <si>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</si>
  <si>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</si>
  <si>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</si>
  <si>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</si>
  <si>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</si>
  <si>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</si>
  <si>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</si>
  <si>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</si>
  <si>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</si>
  <si>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</si>
  <si>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</si>
  <si>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</si>
  <si>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</si>
  <si>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</si>
  <si>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</si>
  <si>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</si>
  <si>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</si>
  <si>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</si>
  <si>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</si>
  <si>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</si>
  <si>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</si>
  <si>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</si>
  <si>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</si>
  <si>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</si>
  <si>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</si>
  <si>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</si>
  <si>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</si>
  <si>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</si>
  <si>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</si>
  <si>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</si>
  <si>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</si>
  <si>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</si>
  <si>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</si>
  <si>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</si>
  <si>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</si>
  <si>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</si>
  <si>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</si>
  <si>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</si>
  <si>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</si>
  <si>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</si>
  <si>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</si>
  <si>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</si>
  <si>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</si>
  <si>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</si>
  <si>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</si>
  <si>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</si>
  <si>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</si>
  <si>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</si>
  <si>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</si>
  <si>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</si>
  <si>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</si>
  <si>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</si>
  <si>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</si>
  <si>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</si>
  <si>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</si>
  <si>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</si>
  <si>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</si>
  <si>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</si>
  <si>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</si>
  <si>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</si>
  <si>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</si>
  <si>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</si>
  <si>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</si>
  <si>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</si>
  <si>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</si>
  <si>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</si>
  <si>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</si>
  <si>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</si>
  <si>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</si>
  <si>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</si>
  <si>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</si>
  <si>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</si>
  <si>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</si>
  <si>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</si>
  <si>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</si>
  <si>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</si>
  <si>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</si>
  <si>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</si>
  <si>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</si>
  <si>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</si>
  <si>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</si>
  <si>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</si>
  <si>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</si>
  <si>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</si>
  <si>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</si>
  <si>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</si>
  <si>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</si>
  <si>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</si>
  <si>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</si>
  <si>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</si>
  <si>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</si>
  <si>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</si>
  <si>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</si>
  <si>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</si>
  <si>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</si>
  <si>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</si>
  <si>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</si>
  <si>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</si>
  <si>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</si>
  <si>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</si>
  <si>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</si>
  <si>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</si>
  <si>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</si>
  <si>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</si>
  <si>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</si>
  <si>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</si>
  <si>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</si>
  <si>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</si>
  <si>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</si>
  <si>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</si>
  <si>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</si>
  <si>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</si>
  <si>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</si>
  <si>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</si>
  <si>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</si>
  <si>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</si>
  <si>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</si>
  <si>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</si>
  <si>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</si>
  <si>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</si>
  <si>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</si>
  <si>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</si>
  <si>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</si>
  <si>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</si>
  <si>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</si>
  <si>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</si>
  <si>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</si>
  <si>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</si>
  <si>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</si>
  <si>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</si>
  <si>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</si>
  <si>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</si>
  <si>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</si>
  <si>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</si>
  <si>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</si>
  <si>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</si>
  <si>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</si>
  <si>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</si>
  <si>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</si>
  <si>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</si>
  <si>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</si>
  <si>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</si>
  <si>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</si>
  <si>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</si>
  <si>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</si>
  <si>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</si>
  <si>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</si>
  <si>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</si>
  <si>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</si>
  <si>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</si>
  <si>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</si>
  <si>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</si>
  <si>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</si>
  <si>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</si>
  <si>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</si>
  <si>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</si>
  <si>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</si>
  <si>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</si>
  <si>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</si>
  <si>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</si>
  <si>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</si>
  <si>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</si>
  <si>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</si>
  <si>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</si>
  <si>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</si>
  <si>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</si>
  <si>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</si>
  <si>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</si>
  <si>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</si>
  <si>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</si>
  <si>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</si>
  <si>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</si>
  <si>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</si>
  <si>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</si>
  <si>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</si>
  <si>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</si>
  <si>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</si>
  <si>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</si>
  <si>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</si>
  <si>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</si>
  <si>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</si>
  <si>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</si>
  <si>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</si>
  <si>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</si>
  <si>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</si>
  <si>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</si>
  <si>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</si>
  <si>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</si>
  <si>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</si>
  <si>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</si>
  <si>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</si>
  <si>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</si>
  <si>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</si>
  <si>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</si>
  <si>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</si>
  <si>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</si>
  <si>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</si>
  <si>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</si>
  <si>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</si>
  <si>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</si>
  <si>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</si>
  <si>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</si>
  <si>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</si>
  <si>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</si>
  <si>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</si>
  <si>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</si>
  <si>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</si>
  <si>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</si>
  <si>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</si>
  <si>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</si>
  <si>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</si>
  <si>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</si>
  <si>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</si>
  <si>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</si>
  <si>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</si>
  <si>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</si>
  <si>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</si>
  <si>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</si>
  <si>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</si>
  <si>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</si>
  <si>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</si>
  <si>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</si>
  <si>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</si>
  <si>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</si>
  <si>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</si>
  <si>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</si>
  <si>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</si>
  <si>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</si>
  <si>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</si>
  <si>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</si>
  <si>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</si>
  <si>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</si>
  <si>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</si>
  <si>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</si>
  <si>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</si>
  <si>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</si>
  <si>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</si>
  <si>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</si>
  <si>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</si>
  <si>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</si>
  <si>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</si>
  <si>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</si>
  <si>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</si>
  <si>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</si>
  <si>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</si>
  <si>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</si>
  <si>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</si>
  <si>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</si>
  <si>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</si>
  <si>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</si>
  <si>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</si>
  <si>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</si>
  <si>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</si>
  <si>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</si>
  <si>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</si>
  <si>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</si>
  <si>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</si>
  <si>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</si>
  <si>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</si>
  <si>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</si>
  <si>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</si>
  <si>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</si>
  <si>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</si>
  <si>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</si>
  <si>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</si>
  <si>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</si>
  <si>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</si>
  <si>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</si>
  <si>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</si>
  <si>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</si>
  <si>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</si>
  <si>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</si>
  <si>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</si>
  <si>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</si>
  <si>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</si>
  <si>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</si>
  <si>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</si>
  <si>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</si>
  <si>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</si>
  <si>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</si>
  <si>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</si>
  <si>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</si>
  <si>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</si>
  <si>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</si>
  <si>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</si>
  <si>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</si>
  <si>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</si>
  <si>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</si>
  <si>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</si>
  <si>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</si>
  <si>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</si>
  <si>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</si>
  <si>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</si>
  <si>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</si>
  <si>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</si>
  <si>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</si>
  <si>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</si>
  <si>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</si>
  <si>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</si>
  <si>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</si>
  <si>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</si>
  <si>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</si>
  <si>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</si>
  <si>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</si>
  <si>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</si>
  <si>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</si>
  <si>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</si>
  <si>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</si>
  <si>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</si>
  <si>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</si>
  <si>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</si>
  <si>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</si>
  <si>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</si>
  <si>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</si>
  <si>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</si>
  <si>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</si>
  <si>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</si>
  <si>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</si>
  <si>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</si>
  <si>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</si>
  <si>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</si>
  <si>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</si>
  <si>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</si>
  <si>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</si>
  <si>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</si>
  <si>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</si>
  <si>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</si>
  <si>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</si>
  <si>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</si>
  <si>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</si>
  <si>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</si>
  <si>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</si>
  <si>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</si>
  <si>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</si>
  <si>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</si>
  <si>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</si>
  <si>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</si>
  <si>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</si>
  <si>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</si>
  <si>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</si>
  <si>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</si>
  <si>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</si>
  <si>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</si>
  <si>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</si>
  <si>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</si>
  <si>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</si>
  <si>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</si>
  <si>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</si>
  <si>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</si>
  <si>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</si>
  <si>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</si>
  <si>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</si>
  <si>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</si>
  <si>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</si>
  <si>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</si>
  <si>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</si>
  <si>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</si>
  <si>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</si>
  <si>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</si>
  <si>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</si>
  <si>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</si>
  <si>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</si>
  <si>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</si>
  <si>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</si>
  <si>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</si>
  <si>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</si>
  <si>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</si>
  <si>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</si>
  <si>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</si>
  <si>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</si>
  <si>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</si>
  <si>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</si>
  <si>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</si>
  <si>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</si>
  <si>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</si>
  <si>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</si>
  <si>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</si>
  <si>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</si>
  <si>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</si>
  <si>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</si>
  <si>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</si>
  <si>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</si>
  <si>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</si>
  <si>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</si>
  <si>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</si>
  <si>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</si>
  <si>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</si>
  <si>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</si>
  <si>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</si>
  <si>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</si>
  <si>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</si>
  <si>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</si>
  <si>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</si>
  <si>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</si>
  <si>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</si>
  <si>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</si>
  <si>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</si>
  <si>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</si>
  <si>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</si>
  <si>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</si>
  <si>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</si>
  <si>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</si>
  <si>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</si>
  <si>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</si>
  <si>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</si>
  <si>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</si>
  <si>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</si>
  <si>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</si>
  <si>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</si>
  <si>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</si>
  <si>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</si>
  <si>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</si>
  <si>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</si>
  <si>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</si>
  <si>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</si>
  <si>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</si>
  <si>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</si>
  <si>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</si>
  <si>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</si>
  <si>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</si>
  <si>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</si>
  <si>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</si>
  <si>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</si>
  <si>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</si>
  <si>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</si>
  <si>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</si>
  <si>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</si>
  <si>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</si>
  <si>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</si>
  <si>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</si>
  <si>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</si>
  <si>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</si>
  <si>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</si>
  <si>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</si>
  <si>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</si>
  <si>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</si>
  <si>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</si>
  <si>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</si>
  <si>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</si>
  <si>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</si>
  <si>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</si>
  <si>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</si>
  <si>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</si>
  <si>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</si>
  <si>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</si>
  <si>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</si>
  <si>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</si>
  <si>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</si>
  <si>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</si>
  <si>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</si>
  <si>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</si>
  <si>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</si>
  <si>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</si>
  <si>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</si>
  <si>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</si>
  <si>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</si>
  <si>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</si>
  <si>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</si>
  <si>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</si>
  <si>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</si>
  <si>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</si>
  <si>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</si>
  <si>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</si>
  <si>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</si>
  <si>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</si>
  <si>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</si>
  <si>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</si>
  <si>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</si>
  <si>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</si>
  <si>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</si>
  <si>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</si>
  <si>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</si>
  <si>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</si>
  <si>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</si>
  <si>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</si>
  <si>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</si>
  <si>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</si>
  <si>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</si>
  <si>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</si>
  <si>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</si>
  <si>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</si>
  <si>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</si>
  <si>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</si>
  <si>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</si>
  <si>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</si>
  <si>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</si>
  <si>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</si>
  <si>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</si>
  <si>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</si>
  <si>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</si>
  <si>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</si>
  <si>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</si>
  <si>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</si>
  <si>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</si>
  <si>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</si>
  <si>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</si>
  <si>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</si>
  <si>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</si>
  <si>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</si>
  <si>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</si>
  <si>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</si>
  <si>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</si>
  <si>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</si>
  <si>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</si>
  <si>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</si>
  <si>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</si>
  <si>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</si>
  <si>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</si>
  <si>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</si>
  <si>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</si>
  <si>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</si>
  <si>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</si>
  <si>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</si>
  <si>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</si>
  <si>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</si>
  <si>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</si>
  <si>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</si>
  <si>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</si>
  <si>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</si>
  <si>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</si>
  <si>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</si>
  <si>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</si>
  <si>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</si>
  <si>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</si>
  <si>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</si>
  <si>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</si>
  <si>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</si>
  <si>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</si>
  <si>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</si>
  <si>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</si>
  <si>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</si>
  <si>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</si>
  <si>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</si>
  <si>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</si>
  <si>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</si>
  <si>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</si>
  <si>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</si>
  <si>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</si>
  <si>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</si>
  <si>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</si>
  <si>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</si>
  <si>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</si>
  <si>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</si>
  <si>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</si>
  <si>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</si>
  <si>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</si>
  <si>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</si>
  <si>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</si>
  <si>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</si>
  <si>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</si>
  <si>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</si>
  <si>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</si>
  <si>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</si>
  <si>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</si>
  <si>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</si>
  <si>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</si>
  <si>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</si>
  <si>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</si>
  <si>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</si>
  <si>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</si>
  <si>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</si>
  <si>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</si>
  <si>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</si>
  <si>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</si>
  <si>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</si>
  <si>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</si>
  <si>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</si>
  <si>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</si>
  <si>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</si>
  <si>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</si>
  <si>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</si>
  <si>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</si>
  <si>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</si>
  <si>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</si>
  <si>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</si>
  <si>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</si>
  <si>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</si>
  <si>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</si>
  <si>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</si>
  <si>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</si>
  <si>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</si>
  <si>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</si>
  <si>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</si>
  <si>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</si>
  <si>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</si>
  <si>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</si>
  <si>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</si>
  <si>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</si>
  <si>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</si>
  <si>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</si>
  <si>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</si>
  <si>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</si>
  <si>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</si>
  <si>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</si>
  <si>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</si>
  <si>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</si>
  <si>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</si>
  <si>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</si>
  <si>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</si>
  <si>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</si>
  <si>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</si>
  <si>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</si>
  <si>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</si>
  <si>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</si>
  <si>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</si>
  <si>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</si>
  <si>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</si>
  <si>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</si>
  <si>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</si>
  <si>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</si>
  <si>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</si>
  <si>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</si>
  <si>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</si>
  <si>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</si>
  <si>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</si>
  <si>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</si>
  <si>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</si>
  <si>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</si>
  <si>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</si>
  <si>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</si>
  <si>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</si>
  <si>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</si>
  <si>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</si>
  <si>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</si>
  <si>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</si>
  <si>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</si>
  <si>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</si>
  <si>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</si>
  <si>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</si>
  <si>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</si>
  <si>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</si>
  <si>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</si>
  <si>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</si>
  <si>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</si>
  <si>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</si>
  <si>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</si>
  <si>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</si>
  <si>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</si>
  <si>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</si>
  <si>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</si>
  <si>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</si>
  <si>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</si>
  <si>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</si>
  <si>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</si>
  <si>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</si>
  <si>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</si>
  <si>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</si>
  <si>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</si>
  <si>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</si>
  <si>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</si>
  <si>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</si>
  <si>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</si>
  <si>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</si>
  <si>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</si>
  <si>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</si>
  <si>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</si>
  <si>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</si>
  <si>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</si>
  <si>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</si>
  <si>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</si>
  <si>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</si>
  <si>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</si>
  <si>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</si>
  <si>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</si>
  <si>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</si>
  <si>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</si>
  <si>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</si>
  <si>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</si>
  <si>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</si>
  <si>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</si>
  <si>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</si>
  <si>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</si>
  <si>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</si>
  <si>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</si>
  <si>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</si>
  <si>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</si>
  <si>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</si>
  <si>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</si>
  <si>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</si>
  <si>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</si>
  <si>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</si>
  <si>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</si>
  <si>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</si>
  <si>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</si>
  <si>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</si>
  <si>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</si>
  <si>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</si>
  <si>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</si>
  <si>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</si>
  <si>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</si>
  <si>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</si>
  <si>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</si>
  <si>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</si>
  <si>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</si>
  <si>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</si>
  <si>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</si>
  <si>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</si>
  <si>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</si>
  <si>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</si>
  <si>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</si>
  <si>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</si>
  <si>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</si>
  <si>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</si>
  <si>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</si>
  <si>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</si>
  <si>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</si>
  <si>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</si>
  <si>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</si>
  <si>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</si>
  <si>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</si>
  <si>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</si>
  <si>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</si>
  <si>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</si>
  <si>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</si>
  <si>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</si>
  <si>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</si>
  <si>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</si>
  <si>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</si>
  <si>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</si>
  <si>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</si>
  <si>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</si>
  <si>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</si>
  <si>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</si>
  <si>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</si>
  <si>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</si>
  <si>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</si>
  <si>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</si>
  <si>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</si>
  <si>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</si>
  <si>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</si>
  <si>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</si>
  <si>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7"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</si>
  <si>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</si>
  <si>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</si>
  <si>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</si>
  <si>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</si>
  <si>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</si>
  <si>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</si>
  <si>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</si>
  <si>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</si>
  <si>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</si>
  <si>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</si>
  <si>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</si>
  <si>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</si>
  <si>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</si>
  <si>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</si>
  <si>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办公项目</t>
  </si>
  <si>
    <t>观察</t>
    <phoneticPr fontId="3" type="noConversion"/>
  </si>
  <si>
    <t>综合</t>
    <phoneticPr fontId="3" type="noConversion"/>
  </si>
  <si>
    <t>专业</t>
  </si>
  <si>
    <t>比较法-办公</t>
  </si>
  <si>
    <r>
      <rPr>
        <sz val="10"/>
        <color theme="9" tint="-0.249977111117893"/>
        <rFont val="宋体"/>
        <family val="3"/>
        <charset val="134"/>
      </rPr>
      <t>朝阳区东三环中路</t>
    </r>
    <r>
      <rPr>
        <sz val="10"/>
        <color theme="9" tint="-0.249977111117893"/>
        <rFont val="Arial"/>
        <family val="2"/>
      </rPr>
      <t>39</t>
    </r>
    <r>
      <rPr>
        <sz val="10"/>
        <color theme="9" tint="-0.249977111117893"/>
        <rFont val="宋体"/>
        <family val="3"/>
        <charset val="134"/>
      </rPr>
      <t>号院</t>
    </r>
    <r>
      <rPr>
        <sz val="10"/>
        <color theme="9" tint="-0.249977111117893"/>
        <rFont val="Arial"/>
        <family val="2"/>
      </rPr>
      <t>23</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0302</t>
    </r>
    <r>
      <rPr>
        <sz val="10"/>
        <color theme="9" tint="-0.249977111117893"/>
        <rFont val="宋体"/>
        <family val="3"/>
        <charset val="134"/>
      </rPr>
      <t>办公用房</t>
    </r>
    <phoneticPr fontId="6" type="noConversion"/>
  </si>
  <si>
    <t>建筑面积</t>
    <phoneticPr fontId="134" type="noConversion"/>
  </si>
  <si>
    <t>租赁面积</t>
    <phoneticPr fontId="134" type="noConversion"/>
  </si>
  <si>
    <t>租赁起始日</t>
    <phoneticPr fontId="134" type="noConversion"/>
  </si>
  <si>
    <t>租赁终止日</t>
    <phoneticPr fontId="134" type="noConversion"/>
  </si>
  <si>
    <t>年租金</t>
    <phoneticPr fontId="134" type="noConversion"/>
  </si>
  <si>
    <t>日租金</t>
    <phoneticPr fontId="134" type="noConversion"/>
  </si>
  <si>
    <t>价值时点</t>
    <phoneticPr fontId="134" type="noConversion"/>
  </si>
  <si>
    <t>剩余租赁期</t>
    <phoneticPr fontId="134" type="noConversion"/>
  </si>
  <si>
    <t>剩余租赁期年租金</t>
    <phoneticPr fontId="134" type="noConversion"/>
  </si>
  <si>
    <t>含税年租金</t>
    <phoneticPr fontId="134" type="noConversion"/>
  </si>
  <si>
    <t>反推日租金</t>
    <phoneticPr fontId="134" type="noConversion"/>
  </si>
  <si>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</si>
  <si>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</si>
  <si>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</si>
  <si>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</si>
  <si>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</si>
  <si>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</si>
  <si>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</si>
  <si>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</si>
  <si>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</si>
  <si>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东方梅地亚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</si>
</sst>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95" fillId="0" borderId="0" xfId="0" applyFont="1">
      <alignment vertical="center"/>
    </xf>
    <xf numFmtId="0" fontId="95" fillId="0" borderId="0" xfId="0" applyFont="1" applyAlignment="1">
      <alignment horizontal="left" vertical="center"/>
    </xf>
    <xf numFmtId="14" fontId="0" fillId="0" borderId="0" xfId="0" applyNumberFormat="1" applyAlignment="1">
      <alignment horizontal="left" vertical="center"/>
    </xf>
    <xf numFmtId="14" fontId="272"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142875</xdr:colOff>
      <xdr:row>0</xdr:row>
      <xdr:rowOff>0</xdr:rowOff>
    </xdr:from>
    <xdr:to>
      <xdr:col>22</xdr:col>
      <xdr:colOff>256047</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9028572" cy="3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646163</xdr:colOff>
      <xdr:row>33</xdr:row>
      <xdr:rowOff>56458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12304763" cy="5542858"/>
        </a:xfrm>
        <a:prstGeom prst="rect">
          <a:avLst/>
        </a:prstGeom>
      </xdr:spPr>
    </xdr:pic>
    <xdr:clientData/>
  </xdr:twoCellAnchor>
  <xdr:twoCellAnchor editAs="oneCell">
    <xdr:from>
      <xdr:col>0</xdr:col>
      <xdr:colOff>0</xdr:colOff>
      <xdr:row>34</xdr:row>
      <xdr:rowOff>0</xdr:rowOff>
    </xdr:from>
    <xdr:to>
      <xdr:col>5</xdr:col>
      <xdr:colOff>418619</xdr:colOff>
      <xdr:row>47</xdr:row>
      <xdr:rowOff>161626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829300"/>
          <a:ext cx="3847619" cy="2390476"/>
        </a:xfrm>
        <a:prstGeom prst="rect">
          <a:avLst/>
        </a:prstGeom>
      </xdr:spPr>
    </xdr:pic>
    <xdr:clientData/>
  </xdr:twoCellAnchor>
  <xdr:twoCellAnchor editAs="oneCell">
    <xdr:from>
      <xdr:col>5</xdr:col>
      <xdr:colOff>504825</xdr:colOff>
      <xdr:row>34</xdr:row>
      <xdr:rowOff>57150</xdr:rowOff>
    </xdr:from>
    <xdr:to>
      <xdr:col>11</xdr:col>
      <xdr:colOff>266216</xdr:colOff>
      <xdr:row>54</xdr:row>
      <xdr:rowOff>132912</xdr:rowOff>
    </xdr:to>
    <xdr:pic>
      <xdr:nvPicPr>
        <xdr:cNvPr id="5" name="图片 4"/>
        <xdr:cNvPicPr>
          <a:picLocks noChangeAspect="1"/>
        </xdr:cNvPicPr>
      </xdr:nvPicPr>
      <xdr:blipFill>
        <a:blip xmlns:r="http://schemas.openxmlformats.org/officeDocument/2006/relationships" r:embed="rId3"/>
        <a:stretch>
          <a:fillRect/>
        </a:stretch>
      </xdr:blipFill>
      <xdr:spPr>
        <a:xfrm>
          <a:off x="3933825" y="5886450"/>
          <a:ext cx="3876191" cy="3504762"/>
        </a:xfrm>
        <a:prstGeom prst="rect">
          <a:avLst/>
        </a:prstGeom>
      </xdr:spPr>
    </xdr:pic>
    <xdr:clientData/>
  </xdr:twoCellAnchor>
  <xdr:twoCellAnchor editAs="oneCell">
    <xdr:from>
      <xdr:col>11</xdr:col>
      <xdr:colOff>371475</xdr:colOff>
      <xdr:row>34</xdr:row>
      <xdr:rowOff>9525</xdr:rowOff>
    </xdr:from>
    <xdr:to>
      <xdr:col>17</xdr:col>
      <xdr:colOff>47151</xdr:colOff>
      <xdr:row>54</xdr:row>
      <xdr:rowOff>94811</xdr:rowOff>
    </xdr:to>
    <xdr:pic>
      <xdr:nvPicPr>
        <xdr:cNvPr id="6" name="图片 5"/>
        <xdr:cNvPicPr>
          <a:picLocks noChangeAspect="1"/>
        </xdr:cNvPicPr>
      </xdr:nvPicPr>
      <xdr:blipFill>
        <a:blip xmlns:r="http://schemas.openxmlformats.org/officeDocument/2006/relationships" r:embed="rId4"/>
        <a:stretch>
          <a:fillRect/>
        </a:stretch>
      </xdr:blipFill>
      <xdr:spPr>
        <a:xfrm>
          <a:off x="7915275" y="5838825"/>
          <a:ext cx="3790476" cy="3514286"/>
        </a:xfrm>
        <a:prstGeom prst="rect">
          <a:avLst/>
        </a:prstGeom>
      </xdr:spPr>
    </xdr:pic>
    <xdr:clientData/>
  </xdr:twoCellAnchor>
  <xdr:twoCellAnchor editAs="oneCell">
    <xdr:from>
      <xdr:col>0</xdr:col>
      <xdr:colOff>0</xdr:colOff>
      <xdr:row>52</xdr:row>
      <xdr:rowOff>85725</xdr:rowOff>
    </xdr:from>
    <xdr:to>
      <xdr:col>5</xdr:col>
      <xdr:colOff>428143</xdr:colOff>
      <xdr:row>72</xdr:row>
      <xdr:rowOff>104344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001125"/>
          <a:ext cx="3857143" cy="3447619"/>
        </a:xfrm>
        <a:prstGeom prst="rect">
          <a:avLst/>
        </a:prstGeom>
      </xdr:spPr>
    </xdr:pic>
    <xdr:clientData/>
  </xdr:twoCellAnchor>
  <xdr:twoCellAnchor editAs="oneCell">
    <xdr:from>
      <xdr:col>5</xdr:col>
      <xdr:colOff>552450</xdr:colOff>
      <xdr:row>55</xdr:row>
      <xdr:rowOff>28575</xdr:rowOff>
    </xdr:from>
    <xdr:to>
      <xdr:col>11</xdr:col>
      <xdr:colOff>209079</xdr:colOff>
      <xdr:row>75</xdr:row>
      <xdr:rowOff>113861</xdr:rowOff>
    </xdr:to>
    <xdr:pic>
      <xdr:nvPicPr>
        <xdr:cNvPr id="8" name="图片 7"/>
        <xdr:cNvPicPr>
          <a:picLocks noChangeAspect="1"/>
        </xdr:cNvPicPr>
      </xdr:nvPicPr>
      <xdr:blipFill>
        <a:blip xmlns:r="http://schemas.openxmlformats.org/officeDocument/2006/relationships" r:embed="rId6"/>
        <a:stretch>
          <a:fillRect/>
        </a:stretch>
      </xdr:blipFill>
      <xdr:spPr>
        <a:xfrm>
          <a:off x="3981450" y="9458325"/>
          <a:ext cx="3771429" cy="3514286"/>
        </a:xfrm>
        <a:prstGeom prst="rect">
          <a:avLst/>
        </a:prstGeom>
      </xdr:spPr>
    </xdr:pic>
    <xdr:clientData/>
  </xdr:twoCellAnchor>
  <xdr:twoCellAnchor editAs="oneCell">
    <xdr:from>
      <xdr:col>11</xdr:col>
      <xdr:colOff>381000</xdr:colOff>
      <xdr:row>55</xdr:row>
      <xdr:rowOff>47625</xdr:rowOff>
    </xdr:from>
    <xdr:to>
      <xdr:col>17</xdr:col>
      <xdr:colOff>123343</xdr:colOff>
      <xdr:row>75</xdr:row>
      <xdr:rowOff>56720</xdr:rowOff>
    </xdr:to>
    <xdr:pic>
      <xdr:nvPicPr>
        <xdr:cNvPr id="9" name="图片 8"/>
        <xdr:cNvPicPr>
          <a:picLocks noChangeAspect="1"/>
        </xdr:cNvPicPr>
      </xdr:nvPicPr>
      <xdr:blipFill>
        <a:blip xmlns:r="http://schemas.openxmlformats.org/officeDocument/2006/relationships" r:embed="rId7"/>
        <a:stretch>
          <a:fillRect/>
        </a:stretch>
      </xdr:blipFill>
      <xdr:spPr>
        <a:xfrm>
          <a:off x="7924800" y="9477375"/>
          <a:ext cx="3857143" cy="3438095"/>
        </a:xfrm>
        <a:prstGeom prst="rect">
          <a:avLst/>
        </a:prstGeom>
      </xdr:spPr>
    </xdr:pic>
    <xdr:clientData/>
  </xdr:twoCellAnchor>
  <xdr:twoCellAnchor editAs="oneCell">
    <xdr:from>
      <xdr:col>0</xdr:col>
      <xdr:colOff>0</xdr:colOff>
      <xdr:row>77</xdr:row>
      <xdr:rowOff>0</xdr:rowOff>
    </xdr:from>
    <xdr:to>
      <xdr:col>5</xdr:col>
      <xdr:colOff>551953</xdr:colOff>
      <xdr:row>100</xdr:row>
      <xdr:rowOff>47126</xdr:rowOff>
    </xdr:to>
    <xdr:pic>
      <xdr:nvPicPr>
        <xdr:cNvPr id="2" name="图片 1"/>
        <xdr:cNvPicPr>
          <a:picLocks noChangeAspect="1"/>
        </xdr:cNvPicPr>
      </xdr:nvPicPr>
      <xdr:blipFill>
        <a:blip xmlns:r="http://schemas.openxmlformats.org/officeDocument/2006/relationships" r:embed="rId8"/>
        <a:stretch>
          <a:fillRect/>
        </a:stretch>
      </xdr:blipFill>
      <xdr:spPr>
        <a:xfrm>
          <a:off x="0" y="13201650"/>
          <a:ext cx="3980953" cy="3990476"/>
        </a:xfrm>
        <a:prstGeom prst="rect">
          <a:avLst/>
        </a:prstGeom>
      </xdr:spPr>
    </xdr:pic>
    <xdr:clientData/>
  </xdr:twoCellAnchor>
  <xdr:twoCellAnchor editAs="oneCell">
    <xdr:from>
      <xdr:col>5</xdr:col>
      <xdr:colOff>666750</xdr:colOff>
      <xdr:row>77</xdr:row>
      <xdr:rowOff>9525</xdr:rowOff>
    </xdr:from>
    <xdr:to>
      <xdr:col>11</xdr:col>
      <xdr:colOff>313855</xdr:colOff>
      <xdr:row>98</xdr:row>
      <xdr:rowOff>9075</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0" y="13211175"/>
          <a:ext cx="3761905" cy="3600000"/>
        </a:xfrm>
        <a:prstGeom prst="rect">
          <a:avLst/>
        </a:prstGeom>
      </xdr:spPr>
    </xdr:pic>
    <xdr:clientData/>
  </xdr:twoCellAnchor>
  <xdr:twoCellAnchor editAs="oneCell">
    <xdr:from>
      <xdr:col>11</xdr:col>
      <xdr:colOff>476250</xdr:colOff>
      <xdr:row>78</xdr:row>
      <xdr:rowOff>41212</xdr:rowOff>
    </xdr:from>
    <xdr:to>
      <xdr:col>22</xdr:col>
      <xdr:colOff>179512</xdr:colOff>
      <xdr:row>96</xdr:row>
      <xdr:rowOff>66046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020050" y="13414312"/>
          <a:ext cx="7247062" cy="3110934"/>
        </a:xfrm>
        <a:prstGeom prst="rect">
          <a:avLst/>
        </a:prstGeom>
      </xdr:spPr>
    </xdr:pic>
    <xdr:clientData/>
  </xdr:twoCellAnchor>
  <xdr:twoCellAnchor editAs="oneCell">
    <xdr:from>
      <xdr:col>0</xdr:col>
      <xdr:colOff>0</xdr:colOff>
      <xdr:row>101</xdr:row>
      <xdr:rowOff>0</xdr:rowOff>
    </xdr:from>
    <xdr:to>
      <xdr:col>6</xdr:col>
      <xdr:colOff>37581</xdr:colOff>
      <xdr:row>116</xdr:row>
      <xdr:rowOff>113964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316450"/>
          <a:ext cx="4152381" cy="2685714"/>
        </a:xfrm>
        <a:prstGeom prst="rect">
          <a:avLst/>
        </a:prstGeom>
      </xdr:spPr>
    </xdr:pic>
    <xdr:clientData/>
  </xdr:twoCellAnchor>
  <xdr:twoCellAnchor editAs="oneCell">
    <xdr:from>
      <xdr:col>6</xdr:col>
      <xdr:colOff>0</xdr:colOff>
      <xdr:row>102</xdr:row>
      <xdr:rowOff>0</xdr:rowOff>
    </xdr:from>
    <xdr:to>
      <xdr:col>11</xdr:col>
      <xdr:colOff>513857</xdr:colOff>
      <xdr:row>122</xdr:row>
      <xdr:rowOff>161476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114800" y="17487900"/>
          <a:ext cx="3942857" cy="3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494553</xdr:colOff>
      <xdr:row>30</xdr:row>
      <xdr:rowOff>151760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1450"/>
          <a:ext cx="5980953" cy="5123810"/>
        </a:xfrm>
        <a:prstGeom prst="rect">
          <a:avLst/>
        </a:prstGeom>
      </xdr:spPr>
    </xdr:pic>
    <xdr:clientData/>
  </xdr:twoCellAnchor>
  <xdr:twoCellAnchor editAs="oneCell">
    <xdr:from>
      <xdr:col>8</xdr:col>
      <xdr:colOff>581025</xdr:colOff>
      <xdr:row>0</xdr:row>
      <xdr:rowOff>0</xdr:rowOff>
    </xdr:from>
    <xdr:to>
      <xdr:col>18</xdr:col>
      <xdr:colOff>113502</xdr:colOff>
      <xdr:row>29</xdr:row>
      <xdr:rowOff>27950</xdr:rowOff>
    </xdr:to>
    <xdr:pic>
      <xdr:nvPicPr>
        <xdr:cNvPr id="7" name="图片 6"/>
        <xdr:cNvPicPr>
          <a:picLocks noChangeAspect="1"/>
        </xdr:cNvPicPr>
      </xdr:nvPicPr>
      <xdr:blipFill>
        <a:blip xmlns:r="http://schemas.openxmlformats.org/officeDocument/2006/relationships" r:embed="rId2"/>
        <a:stretch>
          <a:fillRect/>
        </a:stretch>
      </xdr:blipFill>
      <xdr:spPr>
        <a:xfrm>
          <a:off x="6067425" y="0"/>
          <a:ext cx="6390477" cy="5000000"/>
        </a:xfrm>
        <a:prstGeom prst="rect">
          <a:avLst/>
        </a:prstGeom>
      </xdr:spPr>
    </xdr:pic>
    <xdr:clientData/>
  </xdr:twoCellAnchor>
  <xdr:twoCellAnchor editAs="oneCell">
    <xdr:from>
      <xdr:col>0</xdr:col>
      <xdr:colOff>0</xdr:colOff>
      <xdr:row>32</xdr:row>
      <xdr:rowOff>133350</xdr:rowOff>
    </xdr:from>
    <xdr:to>
      <xdr:col>9</xdr:col>
      <xdr:colOff>180181</xdr:colOff>
      <xdr:row>60</xdr:row>
      <xdr:rowOff>85131</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619750"/>
          <a:ext cx="6352381" cy="4752381"/>
        </a:xfrm>
        <a:prstGeom prst="rect">
          <a:avLst/>
        </a:prstGeom>
      </xdr:spPr>
    </xdr:pic>
    <xdr:clientData/>
  </xdr:twoCellAnchor>
  <xdr:twoCellAnchor editAs="oneCell">
    <xdr:from>
      <xdr:col>0</xdr:col>
      <xdr:colOff>0</xdr:colOff>
      <xdr:row>66</xdr:row>
      <xdr:rowOff>0</xdr:rowOff>
    </xdr:from>
    <xdr:to>
      <xdr:col>7</xdr:col>
      <xdr:colOff>637496</xdr:colOff>
      <xdr:row>97</xdr:row>
      <xdr:rowOff>75527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5944850"/>
          <a:ext cx="5438096" cy="5390477"/>
        </a:xfrm>
        <a:prstGeom prst="rect">
          <a:avLst/>
        </a:prstGeom>
      </xdr:spPr>
    </xdr:pic>
    <xdr:clientData/>
  </xdr:twoCellAnchor>
  <xdr:twoCellAnchor editAs="oneCell">
    <xdr:from>
      <xdr:col>8</xdr:col>
      <xdr:colOff>0</xdr:colOff>
      <xdr:row>66</xdr:row>
      <xdr:rowOff>0</xdr:rowOff>
    </xdr:from>
    <xdr:to>
      <xdr:col>15</xdr:col>
      <xdr:colOff>523210</xdr:colOff>
      <xdr:row>96</xdr:row>
      <xdr:rowOff>113643</xdr:rowOff>
    </xdr:to>
    <xdr:pic>
      <xdr:nvPicPr>
        <xdr:cNvPr id="10" name="图片 9"/>
        <xdr:cNvPicPr>
          <a:picLocks noChangeAspect="1"/>
        </xdr:cNvPicPr>
      </xdr:nvPicPr>
      <xdr:blipFill>
        <a:blip xmlns:r="http://schemas.openxmlformats.org/officeDocument/2006/relationships" r:embed="rId5"/>
        <a:stretch>
          <a:fillRect/>
        </a:stretch>
      </xdr:blipFill>
      <xdr:spPr>
        <a:xfrm>
          <a:off x="5486400" y="15944850"/>
          <a:ext cx="5323810" cy="5257143"/>
        </a:xfrm>
        <a:prstGeom prst="rect">
          <a:avLst/>
        </a:prstGeom>
      </xdr:spPr>
    </xdr:pic>
    <xdr:clientData/>
  </xdr:twoCellAnchor>
  <xdr:twoCellAnchor editAs="oneCell">
    <xdr:from>
      <xdr:col>0</xdr:col>
      <xdr:colOff>0</xdr:colOff>
      <xdr:row>98</xdr:row>
      <xdr:rowOff>0</xdr:rowOff>
    </xdr:from>
    <xdr:to>
      <xdr:col>8</xdr:col>
      <xdr:colOff>142172</xdr:colOff>
      <xdr:row>129</xdr:row>
      <xdr:rowOff>94574</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21431250"/>
          <a:ext cx="5628572" cy="5409524"/>
        </a:xfrm>
        <a:prstGeom prst="rect">
          <a:avLst/>
        </a:prstGeom>
      </xdr:spPr>
    </xdr:pic>
    <xdr:clientData/>
  </xdr:twoCellAnchor>
  <xdr:twoCellAnchor editAs="oneCell">
    <xdr:from>
      <xdr:col>8</xdr:col>
      <xdr:colOff>0</xdr:colOff>
      <xdr:row>98</xdr:row>
      <xdr:rowOff>0</xdr:rowOff>
    </xdr:from>
    <xdr:to>
      <xdr:col>16</xdr:col>
      <xdr:colOff>8838</xdr:colOff>
      <xdr:row>128</xdr:row>
      <xdr:rowOff>123167</xdr:rowOff>
    </xdr:to>
    <xdr:pic>
      <xdr:nvPicPr>
        <xdr:cNvPr id="12" name="图片 11"/>
        <xdr:cNvPicPr>
          <a:picLocks noChangeAspect="1"/>
        </xdr:cNvPicPr>
      </xdr:nvPicPr>
      <xdr:blipFill>
        <a:blip xmlns:r="http://schemas.openxmlformats.org/officeDocument/2006/relationships" r:embed="rId7"/>
        <a:stretch>
          <a:fillRect/>
        </a:stretch>
      </xdr:blipFill>
      <xdr:spPr>
        <a:xfrm>
          <a:off x="5486400" y="21431250"/>
          <a:ext cx="5495238" cy="5266667"/>
        </a:xfrm>
        <a:prstGeom prst="rect">
          <a:avLst/>
        </a:prstGeom>
      </xdr:spPr>
    </xdr:pic>
    <xdr:clientData/>
  </xdr:twoCellAnchor>
  <xdr:twoCellAnchor editAs="oneCell">
    <xdr:from>
      <xdr:col>0</xdr:col>
      <xdr:colOff>0</xdr:colOff>
      <xdr:row>131</xdr:row>
      <xdr:rowOff>0</xdr:rowOff>
    </xdr:from>
    <xdr:to>
      <xdr:col>8</xdr:col>
      <xdr:colOff>513600</xdr:colOff>
      <xdr:row>158</xdr:row>
      <xdr:rowOff>113707</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22459950"/>
          <a:ext cx="6000000" cy="4742857"/>
        </a:xfrm>
        <a:prstGeom prst="rect">
          <a:avLst/>
        </a:prstGeom>
      </xdr:spPr>
    </xdr:pic>
    <xdr:clientData/>
  </xdr:twoCellAnchor>
  <xdr:twoCellAnchor editAs="oneCell">
    <xdr:from>
      <xdr:col>9</xdr:col>
      <xdr:colOff>0</xdr:colOff>
      <xdr:row>131</xdr:row>
      <xdr:rowOff>0</xdr:rowOff>
    </xdr:from>
    <xdr:to>
      <xdr:col>17</xdr:col>
      <xdr:colOff>456458</xdr:colOff>
      <xdr:row>164</xdr:row>
      <xdr:rowOff>94531</xdr:rowOff>
    </xdr:to>
    <xdr:pic>
      <xdr:nvPicPr>
        <xdr:cNvPr id="14" name="图片 13"/>
        <xdr:cNvPicPr>
          <a:picLocks noChangeAspect="1"/>
        </xdr:cNvPicPr>
      </xdr:nvPicPr>
      <xdr:blipFill>
        <a:blip xmlns:r="http://schemas.openxmlformats.org/officeDocument/2006/relationships" r:embed="rId9"/>
        <a:stretch>
          <a:fillRect/>
        </a:stretch>
      </xdr:blipFill>
      <xdr:spPr>
        <a:xfrm>
          <a:off x="6172200" y="22459950"/>
          <a:ext cx="5942858" cy="5752381"/>
        </a:xfrm>
        <a:prstGeom prst="rect">
          <a:avLst/>
        </a:prstGeom>
      </xdr:spPr>
    </xdr:pic>
    <xdr:clientData/>
  </xdr:twoCellAnchor>
  <xdr:twoCellAnchor editAs="oneCell">
    <xdr:from>
      <xdr:col>0</xdr:col>
      <xdr:colOff>0</xdr:colOff>
      <xdr:row>161</xdr:row>
      <xdr:rowOff>0</xdr:rowOff>
    </xdr:from>
    <xdr:to>
      <xdr:col>8</xdr:col>
      <xdr:colOff>589791</xdr:colOff>
      <xdr:row>194</xdr:row>
      <xdr:rowOff>132627</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27603450"/>
          <a:ext cx="6076191" cy="5790477"/>
        </a:xfrm>
        <a:prstGeom prst="rect">
          <a:avLst/>
        </a:prstGeom>
      </xdr:spPr>
    </xdr:pic>
    <xdr:clientData/>
  </xdr:twoCellAnchor>
  <xdr:twoCellAnchor editAs="oneCell">
    <xdr:from>
      <xdr:col>9</xdr:col>
      <xdr:colOff>0</xdr:colOff>
      <xdr:row>165</xdr:row>
      <xdr:rowOff>0</xdr:rowOff>
    </xdr:from>
    <xdr:to>
      <xdr:col>18</xdr:col>
      <xdr:colOff>37324</xdr:colOff>
      <xdr:row>198</xdr:row>
      <xdr:rowOff>170722</xdr:rowOff>
    </xdr:to>
    <xdr:pic>
      <xdr:nvPicPr>
        <xdr:cNvPr id="16" name="图片 15"/>
        <xdr:cNvPicPr>
          <a:picLocks noChangeAspect="1"/>
        </xdr:cNvPicPr>
      </xdr:nvPicPr>
      <xdr:blipFill>
        <a:blip xmlns:r="http://schemas.openxmlformats.org/officeDocument/2006/relationships" r:embed="rId11"/>
        <a:stretch>
          <a:fillRect/>
        </a:stretch>
      </xdr:blipFill>
      <xdr:spPr>
        <a:xfrm>
          <a:off x="6172200" y="28289250"/>
          <a:ext cx="6209524" cy="5828572"/>
        </a:xfrm>
        <a:prstGeom prst="rect">
          <a:avLst/>
        </a:prstGeom>
      </xdr:spPr>
    </xdr:pic>
    <xdr:clientData/>
  </xdr:twoCellAnchor>
  <xdr:twoCellAnchor editAs="oneCell">
    <xdr:from>
      <xdr:col>0</xdr:col>
      <xdr:colOff>0</xdr:colOff>
      <xdr:row>197</xdr:row>
      <xdr:rowOff>0</xdr:rowOff>
    </xdr:from>
    <xdr:to>
      <xdr:col>8</xdr:col>
      <xdr:colOff>599315</xdr:colOff>
      <xdr:row>225</xdr:row>
      <xdr:rowOff>27972</xdr:rowOff>
    </xdr:to>
    <xdr:pic>
      <xdr:nvPicPr>
        <xdr:cNvPr id="17" name="图片 16"/>
        <xdr:cNvPicPr>
          <a:picLocks noChangeAspect="1"/>
        </xdr:cNvPicPr>
      </xdr:nvPicPr>
      <xdr:blipFill>
        <a:blip xmlns:r="http://schemas.openxmlformats.org/officeDocument/2006/relationships" r:embed="rId12"/>
        <a:stretch>
          <a:fillRect/>
        </a:stretch>
      </xdr:blipFill>
      <xdr:spPr>
        <a:xfrm>
          <a:off x="0" y="33775650"/>
          <a:ext cx="6085715" cy="4828572"/>
        </a:xfrm>
        <a:prstGeom prst="rect">
          <a:avLst/>
        </a:prstGeom>
      </xdr:spPr>
    </xdr:pic>
    <xdr:clientData/>
  </xdr:twoCellAnchor>
  <xdr:twoCellAnchor editAs="oneCell">
    <xdr:from>
      <xdr:col>9</xdr:col>
      <xdr:colOff>0</xdr:colOff>
      <xdr:row>200</xdr:row>
      <xdr:rowOff>0</xdr:rowOff>
    </xdr:from>
    <xdr:to>
      <xdr:col>18</xdr:col>
      <xdr:colOff>103991</xdr:colOff>
      <xdr:row>234</xdr:row>
      <xdr:rowOff>113558</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172200" y="34290000"/>
          <a:ext cx="6276191" cy="5942858"/>
        </a:xfrm>
        <a:prstGeom prst="rect">
          <a:avLst/>
        </a:prstGeom>
      </xdr:spPr>
    </xdr:pic>
    <xdr:clientData/>
  </xdr:twoCellAnchor>
  <xdr:twoCellAnchor editAs="oneCell">
    <xdr:from>
      <xdr:col>0</xdr:col>
      <xdr:colOff>0</xdr:colOff>
      <xdr:row>227</xdr:row>
      <xdr:rowOff>0</xdr:rowOff>
    </xdr:from>
    <xdr:to>
      <xdr:col>7</xdr:col>
      <xdr:colOff>513686</xdr:colOff>
      <xdr:row>258</xdr:row>
      <xdr:rowOff>37431</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38919150"/>
          <a:ext cx="5314286" cy="5352381"/>
        </a:xfrm>
        <a:prstGeom prst="rect">
          <a:avLst/>
        </a:prstGeom>
      </xdr:spPr>
    </xdr:pic>
    <xdr:clientData/>
  </xdr:twoCellAnchor>
  <xdr:twoCellAnchor editAs="oneCell">
    <xdr:from>
      <xdr:col>8</xdr:col>
      <xdr:colOff>47625</xdr:colOff>
      <xdr:row>235</xdr:row>
      <xdr:rowOff>85725</xdr:rowOff>
    </xdr:from>
    <xdr:to>
      <xdr:col>19</xdr:col>
      <xdr:colOff>370492</xdr:colOff>
      <xdr:row>266</xdr:row>
      <xdr:rowOff>94585</xdr:rowOff>
    </xdr:to>
    <xdr:pic>
      <xdr:nvPicPr>
        <xdr:cNvPr id="20" name="图片 19"/>
        <xdr:cNvPicPr>
          <a:picLocks noChangeAspect="1"/>
        </xdr:cNvPicPr>
      </xdr:nvPicPr>
      <xdr:blipFill>
        <a:blip xmlns:r="http://schemas.openxmlformats.org/officeDocument/2006/relationships" r:embed="rId15"/>
        <a:stretch>
          <a:fillRect/>
        </a:stretch>
      </xdr:blipFill>
      <xdr:spPr>
        <a:xfrm>
          <a:off x="5534025" y="40376475"/>
          <a:ext cx="7866667" cy="5323810"/>
        </a:xfrm>
        <a:prstGeom prst="rect">
          <a:avLst/>
        </a:prstGeom>
      </xdr:spPr>
    </xdr:pic>
    <xdr:clientData/>
  </xdr:twoCellAnchor>
  <xdr:twoCellAnchor editAs="oneCell">
    <xdr:from>
      <xdr:col>0</xdr:col>
      <xdr:colOff>0</xdr:colOff>
      <xdr:row>259</xdr:row>
      <xdr:rowOff>0</xdr:rowOff>
    </xdr:from>
    <xdr:to>
      <xdr:col>3</xdr:col>
      <xdr:colOff>571172</xdr:colOff>
      <xdr:row>290</xdr:row>
      <xdr:rowOff>113622</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44405550"/>
          <a:ext cx="2628572" cy="5428572"/>
        </a:xfrm>
        <a:prstGeom prst="rect">
          <a:avLst/>
        </a:prstGeom>
      </xdr:spPr>
    </xdr:pic>
    <xdr:clientData/>
  </xdr:twoCellAnchor>
  <xdr:twoCellAnchor editAs="oneCell">
    <xdr:from>
      <xdr:col>3</xdr:col>
      <xdr:colOff>676275</xdr:colOff>
      <xdr:row>267</xdr:row>
      <xdr:rowOff>66675</xdr:rowOff>
    </xdr:from>
    <xdr:to>
      <xdr:col>11</xdr:col>
      <xdr:colOff>627971</xdr:colOff>
      <xdr:row>298</xdr:row>
      <xdr:rowOff>104106</xdr:rowOff>
    </xdr:to>
    <xdr:pic>
      <xdr:nvPicPr>
        <xdr:cNvPr id="22" name="图片 21"/>
        <xdr:cNvPicPr>
          <a:picLocks noChangeAspect="1"/>
        </xdr:cNvPicPr>
      </xdr:nvPicPr>
      <xdr:blipFill>
        <a:blip xmlns:r="http://schemas.openxmlformats.org/officeDocument/2006/relationships" r:embed="rId17"/>
        <a:stretch>
          <a:fillRect/>
        </a:stretch>
      </xdr:blipFill>
      <xdr:spPr>
        <a:xfrm>
          <a:off x="2733675" y="45843825"/>
          <a:ext cx="5438096" cy="5352381"/>
        </a:xfrm>
        <a:prstGeom prst="rect">
          <a:avLst/>
        </a:prstGeom>
      </xdr:spPr>
    </xdr:pic>
    <xdr:clientData/>
  </xdr:twoCellAnchor>
  <xdr:twoCellAnchor editAs="oneCell">
    <xdr:from>
      <xdr:col>11</xdr:col>
      <xdr:colOff>609600</xdr:colOff>
      <xdr:row>266</xdr:row>
      <xdr:rowOff>152400</xdr:rowOff>
    </xdr:from>
    <xdr:to>
      <xdr:col>19</xdr:col>
      <xdr:colOff>542248</xdr:colOff>
      <xdr:row>291</xdr:row>
      <xdr:rowOff>123293</xdr:rowOff>
    </xdr:to>
    <xdr:pic>
      <xdr:nvPicPr>
        <xdr:cNvPr id="23" name="图片 22"/>
        <xdr:cNvPicPr>
          <a:picLocks noChangeAspect="1"/>
        </xdr:cNvPicPr>
      </xdr:nvPicPr>
      <xdr:blipFill>
        <a:blip xmlns:r="http://schemas.openxmlformats.org/officeDocument/2006/relationships" r:embed="rId18"/>
        <a:stretch>
          <a:fillRect/>
        </a:stretch>
      </xdr:blipFill>
      <xdr:spPr>
        <a:xfrm>
          <a:off x="8153400" y="45758100"/>
          <a:ext cx="5419048" cy="4257143"/>
        </a:xfrm>
        <a:prstGeom prst="rect">
          <a:avLst/>
        </a:prstGeom>
      </xdr:spPr>
    </xdr:pic>
    <xdr:clientData/>
  </xdr:twoCellAnchor>
  <xdr:twoCellAnchor editAs="oneCell">
    <xdr:from>
      <xdr:col>0</xdr:col>
      <xdr:colOff>0</xdr:colOff>
      <xdr:row>298</xdr:row>
      <xdr:rowOff>0</xdr:rowOff>
    </xdr:from>
    <xdr:to>
      <xdr:col>7</xdr:col>
      <xdr:colOff>608924</xdr:colOff>
      <xdr:row>328</xdr:row>
      <xdr:rowOff>142215</xdr:rowOff>
    </xdr:to>
    <xdr:pic>
      <xdr:nvPicPr>
        <xdr:cNvPr id="24" name="图片 23"/>
        <xdr:cNvPicPr>
          <a:picLocks noChangeAspect="1"/>
        </xdr:cNvPicPr>
      </xdr:nvPicPr>
      <xdr:blipFill>
        <a:blip xmlns:r="http://schemas.openxmlformats.org/officeDocument/2006/relationships" r:embed="rId19"/>
        <a:stretch>
          <a:fillRect/>
        </a:stretch>
      </xdr:blipFill>
      <xdr:spPr>
        <a:xfrm>
          <a:off x="0" y="51092100"/>
          <a:ext cx="5409524" cy="5285715"/>
        </a:xfrm>
        <a:prstGeom prst="rect">
          <a:avLst/>
        </a:prstGeom>
      </xdr:spPr>
    </xdr:pic>
    <xdr:clientData/>
  </xdr:twoCellAnchor>
  <xdr:twoCellAnchor editAs="oneCell">
    <xdr:from>
      <xdr:col>8</xdr:col>
      <xdr:colOff>0</xdr:colOff>
      <xdr:row>299</xdr:row>
      <xdr:rowOff>0</xdr:rowOff>
    </xdr:from>
    <xdr:to>
      <xdr:col>16</xdr:col>
      <xdr:colOff>123124</xdr:colOff>
      <xdr:row>334</xdr:row>
      <xdr:rowOff>18298</xdr:rowOff>
    </xdr:to>
    <xdr:pic>
      <xdr:nvPicPr>
        <xdr:cNvPr id="25" name="图片 24"/>
        <xdr:cNvPicPr>
          <a:picLocks noChangeAspect="1"/>
        </xdr:cNvPicPr>
      </xdr:nvPicPr>
      <xdr:blipFill>
        <a:blip xmlns:r="http://schemas.openxmlformats.org/officeDocument/2006/relationships" r:embed="rId20"/>
        <a:stretch>
          <a:fillRect/>
        </a:stretch>
      </xdr:blipFill>
      <xdr:spPr>
        <a:xfrm>
          <a:off x="5486400" y="51263550"/>
          <a:ext cx="5609524"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北京市朝阳区东三环中路39号院23号楼3层0302办公用房房地产抵押价值预评估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受贵公司委托，我公司对北京市朝阳区东三环中路39号院23号楼3层0302办公用房房地产抵押价值进行了预评估。</v>
      </c>
    </row>
    <row r="7" spans="1:2" s="1201" customFormat="1">
      <c r="A7" s="1199" t="s">
        <v>566</v>
      </c>
      <c r="B7" s="1200" t="str">
        <f>'预评函-1'!A7</f>
        <v>估价对象为北京市朝阳区东三环中路39号院23号楼3层0302办公用房房地产，为所有。根据《国有土地使用证》[]，估价对象（分摊）出让国有建设用地使用权面积为0平方米，建筑面积为279.53平方米。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中路39号院23号楼3层0302办公用房房地产,属开发建设的办公项目，该项目尚在开发建设中。根据《国有土地使用证》[]，估价对象（分摊）出让国有建设用地使用权面积为0平方米，规划建筑面积为279.53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2025年11月4日（评估专业人员实地查勘之日）</v>
      </c>
    </row>
    <row r="13" spans="1:2" s="1201" customFormat="1">
      <c r="A13" s="1199" t="s">
        <v>529</v>
      </c>
      <c r="B13" s="120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844</v>
      </c>
    </row>
    <row r="21" spans="1:2" s="1201" customFormat="1">
      <c r="A21" s="1199" t="s">
        <v>537</v>
      </c>
      <c r="B21" s="1200">
        <f ca="1">'预评函-2'!D7</f>
        <v>30180</v>
      </c>
    </row>
    <row r="22" spans="1:2" s="1201" customFormat="1">
      <c r="A22" s="1199" t="s">
        <v>538</v>
      </c>
      <c r="B22" s="1200" t="str">
        <f ca="1">'预评函-2'!D6</f>
        <v>捌佰肆拾肆万元整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844</v>
      </c>
    </row>
    <row r="31" spans="1:2" s="1201" customFormat="1">
      <c r="A31" s="1199" t="s">
        <v>576</v>
      </c>
      <c r="B31" s="1200">
        <f ca="1">'预评函-2'!D15</f>
        <v>30180</v>
      </c>
    </row>
    <row r="32" spans="1:2" s="1201" customFormat="1">
      <c r="A32" s="1199" t="s">
        <v>543</v>
      </c>
      <c r="B32" s="1200" t="str">
        <f ca="1">'预评函-2'!D14</f>
        <v>捌佰肆拾肆万元整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北京市朝阳区东三环中路39号院23号楼3层0302办公用房房地产</v>
      </c>
    </row>
    <row r="42" spans="1:2" s="1201" customFormat="1">
      <c r="A42" s="1199" t="s">
        <v>590</v>
      </c>
      <c r="B42" s="1200" t="str">
        <f>'预评函-3'!B2</f>
        <v>建筑面积</v>
      </c>
    </row>
    <row r="43" spans="1:2" s="1201" customFormat="1">
      <c r="A43" s="1199" t="s">
        <v>591</v>
      </c>
      <c r="B43" s="1200">
        <f>'预评函-3'!B4</f>
        <v>279.52999999999997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624</v>
      </c>
    </row>
    <row r="48" spans="1:2" s="1201" customFormat="1">
      <c r="A48" s="1199" t="s">
        <v>549</v>
      </c>
      <c r="B48" s="1200">
        <f ca="1">'预评函-3'!E4</f>
        <v>22333</v>
      </c>
    </row>
    <row r="49" spans="1:2" s="1201" customFormat="1">
      <c r="A49" s="1199" t="s">
        <v>550</v>
      </c>
      <c r="B49" s="1200" t="str">
        <f ca="1">'预评函-3'!D5</f>
        <v>陆佰贰拾肆万元整</v>
      </c>
    </row>
    <row r="50" spans="1:2" s="1201" customFormat="1">
      <c r="A50" s="1199" t="s">
        <v>574</v>
      </c>
      <c r="B50" s="1200" t="str">
        <f>'预评函-3'!F2</f>
        <v>在建建筑物价值</v>
      </c>
    </row>
    <row r="51" spans="1:2" s="1201" customFormat="1">
      <c r="A51" s="1199" t="s">
        <v>551</v>
      </c>
      <c r="B51" s="1200">
        <f ca="1">'预评函-3'!F4</f>
        <v>219</v>
      </c>
    </row>
    <row r="52" spans="1:2" s="1201" customFormat="1">
      <c r="A52" s="1199" t="s">
        <v>552</v>
      </c>
      <c r="B52" s="1200">
        <f ca="1">'预评函-3'!G4</f>
        <v>7847</v>
      </c>
    </row>
    <row r="53" spans="1:2" s="1201" customFormat="1">
      <c r="A53" s="1199" t="s">
        <v>580</v>
      </c>
      <c r="B53" s="1200" t="str">
        <f ca="1">'预评函-3'!F5</f>
        <v>贰佰壹拾玖万元整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2" t="s">
        <v>385</v>
      </c>
      <c r="C54" s="1549" t="s">
        <v>583</v>
      </c>
    </row>
    <row r="55" spans="1:4">
      <c r="A55" s="3543"/>
      <c r="B55" s="1552" t="s">
        <v>386</v>
      </c>
      <c r="C55" s="1549" t="s">
        <v>584</v>
      </c>
    </row>
    <row r="56" spans="1:4">
      <c r="A56" s="3543"/>
      <c r="B56" s="1552" t="s">
        <v>387</v>
      </c>
      <c r="C56" s="1549" t="s">
        <v>588</v>
      </c>
    </row>
    <row r="57" spans="1:4">
      <c r="A57" s="354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2497</v>
      </c>
      <c r="B1" s="3012"/>
      <c r="C1" s="3012"/>
      <c r="D1" s="3012"/>
      <c r="E1" s="3012"/>
      <c r="F1" s="3013"/>
      <c r="I1" s="3435" t="s">
        <v>2590</v>
      </c>
      <c r="J1" s="3224"/>
      <c r="K1" s="3224"/>
      <c r="L1" s="3224"/>
      <c r="M1" s="3224"/>
      <c r="N1" s="3436"/>
      <c r="O1" s="3436"/>
      <c r="P1" s="3436"/>
      <c r="Q1" s="3436"/>
      <c r="R1" s="3436"/>
    </row>
    <row r="2" spans="1:18">
      <c r="A2" s="3015"/>
      <c r="B2" s="3016"/>
      <c r="C2" s="3016"/>
      <c r="D2" s="3016"/>
      <c r="E2" s="3016"/>
      <c r="F2" s="3017"/>
      <c r="I2" s="3544" t="s">
        <v>2577</v>
      </c>
      <c r="J2" s="3544"/>
      <c r="K2" s="3544"/>
      <c r="L2" s="3544"/>
      <c r="M2" s="3544"/>
      <c r="N2" s="3544"/>
      <c r="O2" s="3544"/>
      <c r="P2" s="3544"/>
      <c r="Q2" s="3544"/>
      <c r="R2" s="3544"/>
    </row>
    <row r="3" spans="1:18">
      <c r="A3" s="3018" t="s">
        <v>2498</v>
      </c>
      <c r="B3" s="3019">
        <f>项目基本情况!D3</f>
        <v>45965</v>
      </c>
      <c r="C3" s="3021"/>
      <c r="D3" s="3021"/>
      <c r="E3" s="3021"/>
      <c r="F3" s="3017"/>
      <c r="I3" s="3437"/>
      <c r="J3" s="3437" t="s">
        <v>2581</v>
      </c>
      <c r="K3" s="3437" t="s">
        <v>2582</v>
      </c>
      <c r="L3" s="3437" t="s">
        <v>2583</v>
      </c>
      <c r="M3" s="3437" t="s">
        <v>2584</v>
      </c>
      <c r="N3" s="3438" t="s">
        <v>2585</v>
      </c>
      <c r="O3" s="3438" t="s">
        <v>2586</v>
      </c>
      <c r="P3" s="3438" t="s">
        <v>2587</v>
      </c>
      <c r="Q3" s="3438" t="s">
        <v>2588</v>
      </c>
      <c r="R3" s="3438" t="s">
        <v>2589</v>
      </c>
    </row>
    <row r="4" spans="1:18">
      <c r="A4" s="3018" t="s">
        <v>2499</v>
      </c>
      <c r="B4" s="3021" t="s">
        <v>2500</v>
      </c>
      <c r="C4" s="3021" t="s">
        <v>2501</v>
      </c>
      <c r="D4" s="3021" t="s">
        <v>2502</v>
      </c>
      <c r="E4" s="3021" t="s">
        <v>2503</v>
      </c>
      <c r="F4" s="3017"/>
      <c r="I4" s="3437" t="s">
        <v>2578</v>
      </c>
      <c r="J4" s="3437">
        <v>80</v>
      </c>
      <c r="K4" s="3437">
        <v>70</v>
      </c>
      <c r="L4" s="3437">
        <v>20</v>
      </c>
      <c r="M4" s="3437">
        <v>30</v>
      </c>
      <c r="N4" s="3021">
        <v>45</v>
      </c>
      <c r="O4" s="3021">
        <v>60</v>
      </c>
      <c r="P4" s="3021">
        <v>50</v>
      </c>
      <c r="Q4" s="3021">
        <v>20</v>
      </c>
      <c r="R4" s="3021">
        <v>375</v>
      </c>
    </row>
    <row r="5" spans="1:18">
      <c r="A5" s="3022">
        <v>40</v>
      </c>
      <c r="B5" s="3019">
        <v>46375</v>
      </c>
      <c r="C5" s="3021">
        <f>ROUNDDOWN(MIN((B5-B3)/365,A5),2)</f>
        <v>1.1200000000000001</v>
      </c>
      <c r="D5" s="3023">
        <f>IF(ISERROR(ROUND(POWER(1+E5,A5-C5)*(POWER(1+E5,C5)-1)/(POWER(1+E5,A5)-1),3)),0,ROUND(POWER(1+E5,A5-C5)*(POWER(1+E5,C5)-1)/(POWER(1+E5,A5)-1),4))</f>
        <v>5.4300000000000001E-2</v>
      </c>
      <c r="E5" s="3024">
        <v>0.04</v>
      </c>
      <c r="F5" s="3017"/>
      <c r="I5" s="3437" t="s">
        <v>2579</v>
      </c>
      <c r="J5" s="3437">
        <v>70</v>
      </c>
      <c r="K5" s="3437">
        <v>60</v>
      </c>
      <c r="L5" s="3437">
        <v>15</v>
      </c>
      <c r="M5" s="3437">
        <v>25</v>
      </c>
      <c r="N5" s="3021">
        <v>40</v>
      </c>
      <c r="O5" s="3021">
        <v>50</v>
      </c>
      <c r="P5" s="3021">
        <v>40</v>
      </c>
      <c r="Q5" s="3021">
        <v>15</v>
      </c>
      <c r="R5" s="3021">
        <v>315</v>
      </c>
    </row>
    <row r="6" spans="1:18">
      <c r="A6" s="3022">
        <v>50</v>
      </c>
      <c r="B6" s="3019">
        <v>50028</v>
      </c>
      <c r="C6" s="3021">
        <f>ROUNDDOWN(MIN((B6-B3)/365,A6),2)</f>
        <v>11.13</v>
      </c>
      <c r="D6" s="3023">
        <f>IF(ISERROR(ROUND(POWER(1+E6,A6-C6)*(POWER(1+E6,C6)-1)/(POWER(1+E6,A6)-1),3)),0,ROUND(POWER(1+E6,A6-C6)*(POWER(1+E6,C6)-1)/(POWER(1+E6,A6)-1),4))</f>
        <v>0.41160000000000002</v>
      </c>
      <c r="E6" s="3024">
        <v>0.04</v>
      </c>
      <c r="F6" s="3017"/>
      <c r="I6" s="3437" t="s">
        <v>2580</v>
      </c>
      <c r="J6" s="3437">
        <v>60</v>
      </c>
      <c r="K6" s="3437">
        <v>50</v>
      </c>
      <c r="L6" s="3437">
        <v>10</v>
      </c>
      <c r="M6" s="3437">
        <v>20</v>
      </c>
      <c r="N6" s="3021">
        <v>35</v>
      </c>
      <c r="O6" s="3021">
        <v>40</v>
      </c>
      <c r="P6" s="3021">
        <v>30</v>
      </c>
      <c r="Q6" s="3021">
        <v>10</v>
      </c>
      <c r="R6" s="3021">
        <v>255</v>
      </c>
    </row>
    <row r="7" spans="1:18">
      <c r="A7" s="3022">
        <v>70</v>
      </c>
      <c r="B7" s="3019">
        <v>57333</v>
      </c>
      <c r="C7" s="3021">
        <f>ROUNDDOWN(MIN((B7-B3)/365,A7),2)</f>
        <v>31.14</v>
      </c>
      <c r="D7" s="3023">
        <f>IF(ISERROR(ROUND(POWER(1+E7,A7-C7)*(POWER(1+E7,C7)-1)/(POWER(1+E7,A7)-1),3)),0,ROUND(POWER(1+E7,A7-C7)*(POWER(1+E7,C7)-1)/(POWER(1+E7,A7)-1),4))</f>
        <v>0.75360000000000005</v>
      </c>
      <c r="E7" s="3024">
        <v>0.04</v>
      </c>
      <c r="F7" s="3017"/>
    </row>
    <row r="8" spans="1:18">
      <c r="A8" s="3015"/>
      <c r="B8" s="3016"/>
      <c r="C8" s="3016"/>
      <c r="D8" s="3016"/>
      <c r="E8" s="3016"/>
      <c r="F8" s="3017"/>
    </row>
    <row r="9" spans="1:18">
      <c r="A9" s="3018" t="s">
        <v>2504</v>
      </c>
      <c r="B9" s="3021"/>
      <c r="C9" s="3021"/>
      <c r="D9" s="3021"/>
      <c r="E9" s="3021"/>
      <c r="F9" s="3025"/>
    </row>
    <row r="10" spans="1:18">
      <c r="A10" s="3018" t="s">
        <v>2505</v>
      </c>
      <c r="B10" s="3021"/>
      <c r="C10" s="3021"/>
      <c r="D10" s="3021" t="s">
        <v>2503</v>
      </c>
      <c r="E10" s="3021"/>
      <c r="F10" s="3025" t="s">
        <v>2502</v>
      </c>
    </row>
    <row r="11" spans="1:18">
      <c r="A11" s="3018" t="s">
        <v>2506</v>
      </c>
      <c r="B11" s="3026">
        <v>70</v>
      </c>
      <c r="C11" s="3021" t="s">
        <v>2507</v>
      </c>
      <c r="D11" s="3027">
        <v>4.4999999999999998E-2</v>
      </c>
      <c r="E11" s="3021" t="s">
        <v>2508</v>
      </c>
      <c r="F11" s="3028">
        <f>ROUND(1-(1/(POWER(1+D11,B11))),4)</f>
        <v>0.95409999999999995</v>
      </c>
    </row>
    <row r="12" spans="1:18">
      <c r="A12" s="3018" t="s">
        <v>2509</v>
      </c>
      <c r="B12" s="3026">
        <v>40</v>
      </c>
      <c r="C12" s="3021" t="s">
        <v>2510</v>
      </c>
      <c r="D12" s="3027">
        <v>4.4999999999999998E-2</v>
      </c>
      <c r="E12" s="3021" t="s">
        <v>2511</v>
      </c>
      <c r="F12" s="3028">
        <f>ROUND(1-(1/(POWER(1+D12,B12))),4)</f>
        <v>0.82809999999999995</v>
      </c>
    </row>
    <row r="13" spans="1:18">
      <c r="A13" s="3018" t="s">
        <v>2512</v>
      </c>
      <c r="B13" s="3021"/>
      <c r="C13" s="3021"/>
      <c r="D13" s="3016"/>
      <c r="E13" s="3016"/>
      <c r="F13" s="3017"/>
    </row>
    <row r="14" spans="1:18">
      <c r="A14" s="3018" t="s">
        <v>2513</v>
      </c>
      <c r="B14" s="3026">
        <v>5000</v>
      </c>
      <c r="C14" s="3020"/>
      <c r="D14" s="3016"/>
      <c r="E14" s="3016"/>
      <c r="F14" s="3017"/>
    </row>
    <row r="15" spans="1:18">
      <c r="A15" s="3018" t="s">
        <v>2514</v>
      </c>
      <c r="B15" s="3021">
        <f>ROUND(B14*F12/F11,2)</f>
        <v>4339.6899999999996</v>
      </c>
      <c r="C15" s="3021">
        <f>ROUND(F12/F11,4)</f>
        <v>0.8679</v>
      </c>
      <c r="D15" s="3016"/>
      <c r="E15" s="3016"/>
      <c r="F15" s="3017"/>
    </row>
    <row r="16" spans="1:18">
      <c r="A16" s="3018" t="s">
        <v>2515</v>
      </c>
      <c r="B16" s="3021"/>
      <c r="C16" s="3021"/>
      <c r="D16" s="3016"/>
      <c r="E16" s="3016"/>
      <c r="F16" s="3017"/>
    </row>
    <row r="17" spans="1:14">
      <c r="A17" s="3018" t="s">
        <v>2514</v>
      </c>
      <c r="B17" s="3027">
        <v>4810</v>
      </c>
      <c r="C17" s="3020"/>
      <c r="D17" s="3016"/>
      <c r="E17" s="3016"/>
      <c r="F17" s="3017"/>
    </row>
    <row r="18" spans="1:14" ht="14.25" thickBot="1">
      <c r="A18" s="3029" t="s">
        <v>2513</v>
      </c>
      <c r="B18" s="3030">
        <f>ROUND(B17*F11/F12,2)</f>
        <v>5541.87</v>
      </c>
      <c r="C18" s="3030">
        <f>ROUND(F11/F12,4)</f>
        <v>1.1521999999999999</v>
      </c>
      <c r="D18" s="3031"/>
      <c r="E18" s="3031"/>
      <c r="F18" s="3032"/>
    </row>
    <row r="19" spans="1:14" ht="14.25" thickBot="1"/>
    <row r="20" spans="1:14" s="3067" customFormat="1" ht="14.25" thickTop="1">
      <c r="A20" s="3064" t="s">
        <v>2516</v>
      </c>
      <c r="B20" s="3065"/>
      <c r="C20" s="3065"/>
      <c r="D20" s="3065"/>
      <c r="E20" s="3065"/>
      <c r="F20" s="3065"/>
      <c r="G20" s="3066"/>
      <c r="I20" s="3068" t="s">
        <v>2561</v>
      </c>
      <c r="J20" s="3068" t="s">
        <v>2566</v>
      </c>
      <c r="K20" s="3068"/>
      <c r="L20" s="3068"/>
      <c r="M20" s="3068"/>
    </row>
    <row r="21" spans="1:14">
      <c r="A21" s="3033"/>
      <c r="B21" s="3034" t="s">
        <v>2517</v>
      </c>
      <c r="C21" s="3034" t="s">
        <v>2518</v>
      </c>
      <c r="D21" s="3034" t="s">
        <v>2519</v>
      </c>
      <c r="E21" s="3034" t="s">
        <v>2520</v>
      </c>
      <c r="F21" s="3034" t="s">
        <v>2521</v>
      </c>
      <c r="G21" s="3035" t="s">
        <v>2522</v>
      </c>
      <c r="I21" s="3056">
        <v>5</v>
      </c>
      <c r="J21" s="3056">
        <v>54.2</v>
      </c>
    </row>
    <row r="22" spans="1:14">
      <c r="A22" s="3033" t="s">
        <v>2523</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2524</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2564</v>
      </c>
      <c r="N23" s="3455" t="s">
        <v>2565</v>
      </c>
    </row>
    <row r="24" spans="1:14">
      <c r="A24" s="3033" t="s">
        <v>2525</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2563</v>
      </c>
      <c r="N24" s="3455">
        <v>10</v>
      </c>
    </row>
    <row r="25" spans="1:14">
      <c r="A25" s="3033" t="s">
        <v>2526</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2567</v>
      </c>
      <c r="N25" s="3455">
        <v>8</v>
      </c>
    </row>
    <row r="26" spans="1:14">
      <c r="A26" s="3038"/>
      <c r="B26" s="3039"/>
      <c r="C26" s="3039"/>
      <c r="D26" s="3039"/>
      <c r="E26" s="3039"/>
      <c r="F26" s="3039"/>
      <c r="G26" s="3040"/>
      <c r="I26" s="3056">
        <v>30</v>
      </c>
      <c r="J26" s="3056">
        <v>90.5</v>
      </c>
      <c r="K26" s="3056">
        <f t="shared" si="2"/>
        <v>4.2000000000000028</v>
      </c>
      <c r="L26" s="3056" t="s">
        <v>2568</v>
      </c>
      <c r="N26" s="3455">
        <v>5</v>
      </c>
    </row>
    <row r="27" spans="1:14">
      <c r="A27" s="3038" t="s">
        <v>2527</v>
      </c>
      <c r="B27" s="3039"/>
      <c r="C27" s="3039"/>
      <c r="D27" s="3039"/>
      <c r="E27" s="3039"/>
      <c r="F27" s="3039"/>
      <c r="G27" s="3040"/>
      <c r="I27" s="3056">
        <v>35</v>
      </c>
      <c r="J27" s="3056">
        <v>93.8</v>
      </c>
      <c r="K27" s="3056">
        <f t="shared" si="2"/>
        <v>3.2999999999999972</v>
      </c>
      <c r="L27" s="3056" t="s">
        <v>2569</v>
      </c>
      <c r="N27" s="3455">
        <v>3</v>
      </c>
    </row>
    <row r="28" spans="1:14">
      <c r="A28" s="3038" t="s">
        <v>2528</v>
      </c>
      <c r="B28" s="3039"/>
      <c r="C28" s="3039"/>
      <c r="D28" s="3039"/>
      <c r="E28" s="3039"/>
      <c r="F28" s="3039"/>
      <c r="G28" s="3040"/>
      <c r="I28" s="3056">
        <v>40</v>
      </c>
      <c r="J28" s="3056">
        <v>96.4</v>
      </c>
      <c r="K28" s="3056">
        <f t="shared" si="2"/>
        <v>2.6000000000000085</v>
      </c>
      <c r="L28" s="3056" t="s">
        <v>2570</v>
      </c>
      <c r="N28" s="3455">
        <v>2</v>
      </c>
    </row>
    <row r="29" spans="1:14">
      <c r="A29" s="3038" t="s">
        <v>2529</v>
      </c>
      <c r="B29" s="3039"/>
      <c r="C29" s="3039"/>
      <c r="D29" s="3039"/>
      <c r="E29" s="3039"/>
      <c r="F29" s="3039"/>
      <c r="G29" s="3040"/>
      <c r="I29" s="3056">
        <v>45</v>
      </c>
      <c r="J29" s="3056">
        <v>98.4</v>
      </c>
      <c r="K29" s="3056">
        <f t="shared" si="2"/>
        <v>2</v>
      </c>
    </row>
    <row r="30" spans="1:14">
      <c r="A30" s="3038" t="s">
        <v>2530</v>
      </c>
      <c r="B30" s="3039"/>
      <c r="C30" s="3039"/>
      <c r="D30" s="3039"/>
      <c r="E30" s="3039"/>
      <c r="F30" s="3039"/>
      <c r="G30" s="3040"/>
      <c r="I30" s="3056">
        <v>50</v>
      </c>
      <c r="J30" s="3056">
        <v>100</v>
      </c>
      <c r="K30" s="3056">
        <f t="shared" si="2"/>
        <v>1.5999999999999943</v>
      </c>
    </row>
    <row r="31" spans="1:14">
      <c r="A31" s="3038" t="s">
        <v>2531</v>
      </c>
      <c r="B31" s="3039"/>
      <c r="C31" s="3039"/>
      <c r="D31" s="3039"/>
      <c r="E31" s="3039"/>
      <c r="F31" s="3039"/>
      <c r="G31" s="3040"/>
      <c r="I31" s="3056" t="s">
        <v>2562</v>
      </c>
    </row>
    <row r="32" spans="1:14">
      <c r="A32" s="3038" t="s">
        <v>2532</v>
      </c>
      <c r="B32" s="3039"/>
      <c r="C32" s="3039"/>
      <c r="D32" s="3039"/>
      <c r="E32" s="3039"/>
      <c r="F32" s="3039"/>
      <c r="G32" s="3040"/>
    </row>
    <row r="33" spans="1:14">
      <c r="A33" s="3038" t="s">
        <v>2533</v>
      </c>
      <c r="B33" s="3039"/>
      <c r="C33" s="3039"/>
      <c r="D33" s="3039"/>
      <c r="E33" s="3039"/>
      <c r="F33" s="3039"/>
      <c r="G33" s="3040"/>
      <c r="I33" s="3056" t="s">
        <v>2561</v>
      </c>
      <c r="J33" s="3056" t="s">
        <v>2571</v>
      </c>
    </row>
    <row r="34" spans="1:14">
      <c r="A34" s="3038" t="s">
        <v>2534</v>
      </c>
      <c r="B34" s="3039"/>
      <c r="C34" s="3039"/>
      <c r="D34" s="3039"/>
      <c r="E34" s="3039"/>
      <c r="F34" s="3039"/>
      <c r="G34" s="3040"/>
      <c r="I34" s="3056">
        <v>5</v>
      </c>
      <c r="J34" s="3056">
        <v>55.1</v>
      </c>
    </row>
    <row r="35" spans="1:14">
      <c r="A35" s="3038" t="s">
        <v>2535</v>
      </c>
      <c r="B35" s="3039"/>
      <c r="C35" s="3039"/>
      <c r="D35" s="3039"/>
      <c r="E35" s="3039"/>
      <c r="F35" s="3039"/>
      <c r="G35" s="3040"/>
      <c r="I35" s="3056">
        <v>10</v>
      </c>
      <c r="J35" s="3056">
        <v>67</v>
      </c>
      <c r="K35" s="3056">
        <f>J35-J34</f>
        <v>11.899999999999999</v>
      </c>
    </row>
    <row r="36" spans="1:14">
      <c r="A36" s="3038" t="s">
        <v>2536</v>
      </c>
      <c r="B36" s="3039"/>
      <c r="C36" s="3039"/>
      <c r="D36" s="3039"/>
      <c r="E36" s="3039"/>
      <c r="F36" s="3039"/>
      <c r="G36" s="3040"/>
      <c r="I36" s="3056">
        <v>15</v>
      </c>
      <c r="J36" s="3056">
        <v>76.3</v>
      </c>
      <c r="K36" s="3056">
        <f t="shared" ref="K36:K41" si="3">J36-J35</f>
        <v>9.2999999999999972</v>
      </c>
      <c r="L36" s="3056" t="s">
        <v>2564</v>
      </c>
      <c r="N36" s="3455" t="s">
        <v>2565</v>
      </c>
    </row>
    <row r="37" spans="1:14">
      <c r="A37" s="3038" t="s">
        <v>2537</v>
      </c>
      <c r="B37" s="3039"/>
      <c r="C37" s="3039"/>
      <c r="D37" s="3039"/>
      <c r="E37" s="3039"/>
      <c r="F37" s="3039"/>
      <c r="G37" s="3040"/>
      <c r="I37" s="3056">
        <v>20</v>
      </c>
      <c r="J37" s="3056">
        <v>83.6</v>
      </c>
      <c r="K37" s="3056">
        <f t="shared" si="3"/>
        <v>7.2999999999999972</v>
      </c>
      <c r="L37" s="3056" t="s">
        <v>2563</v>
      </c>
      <c r="N37" s="3455">
        <v>10</v>
      </c>
    </row>
    <row r="38" spans="1:14">
      <c r="A38" s="3038" t="s">
        <v>2538</v>
      </c>
      <c r="B38" s="3039"/>
      <c r="C38" s="3039"/>
      <c r="D38" s="3039"/>
      <c r="E38" s="3039"/>
      <c r="F38" s="3039"/>
      <c r="G38" s="3040"/>
      <c r="I38" s="3056">
        <v>25</v>
      </c>
      <c r="J38" s="3056">
        <v>89.3</v>
      </c>
      <c r="K38" s="3056">
        <f t="shared" si="3"/>
        <v>5.7000000000000028</v>
      </c>
      <c r="L38" s="3056" t="s">
        <v>2567</v>
      </c>
      <c r="N38" s="3455">
        <v>8</v>
      </c>
    </row>
    <row r="39" spans="1:14">
      <c r="A39" s="3038"/>
      <c r="B39" s="3039"/>
      <c r="C39" s="3039"/>
      <c r="D39" s="3039"/>
      <c r="E39" s="3039"/>
      <c r="F39" s="3039"/>
      <c r="G39" s="3040"/>
      <c r="I39" s="3056">
        <v>30</v>
      </c>
      <c r="J39" s="3056">
        <v>93.8</v>
      </c>
      <c r="K39" s="3056">
        <f t="shared" si="3"/>
        <v>4.5</v>
      </c>
      <c r="L39" s="3056" t="s">
        <v>2568</v>
      </c>
      <c r="N39" s="3455">
        <v>6</v>
      </c>
    </row>
    <row r="40" spans="1:14">
      <c r="A40" s="3041" t="s">
        <v>2539</v>
      </c>
      <c r="B40" s="3042"/>
      <c r="C40" s="3042"/>
      <c r="D40" s="3042"/>
      <c r="E40" s="3042"/>
      <c r="F40" s="3042"/>
      <c r="G40" s="3043"/>
      <c r="I40" s="3056">
        <v>35</v>
      </c>
      <c r="J40" s="3056">
        <v>97.2</v>
      </c>
      <c r="K40" s="3056">
        <f t="shared" si="3"/>
        <v>3.4000000000000057</v>
      </c>
      <c r="L40" s="3056" t="s">
        <v>2569</v>
      </c>
      <c r="N40" s="3455">
        <v>3</v>
      </c>
    </row>
    <row r="41" spans="1:14">
      <c r="A41" s="3044" t="s">
        <v>2540</v>
      </c>
      <c r="B41" s="3045" t="s">
        <v>2541</v>
      </c>
      <c r="C41" s="3046" t="s">
        <v>2542</v>
      </c>
      <c r="D41" s="3046" t="s">
        <v>2543</v>
      </c>
      <c r="E41" s="3047"/>
      <c r="F41" s="3048"/>
      <c r="G41" s="3049"/>
      <c r="I41" s="3056">
        <v>40</v>
      </c>
      <c r="J41" s="3056">
        <v>100</v>
      </c>
      <c r="K41" s="3056">
        <f t="shared" si="3"/>
        <v>2.7999999999999972</v>
      </c>
    </row>
    <row r="42" spans="1:14">
      <c r="A42" s="3044" t="s">
        <v>2544</v>
      </c>
      <c r="B42" s="3045" t="s">
        <v>2545</v>
      </c>
      <c r="C42" s="3046" t="s">
        <v>2546</v>
      </c>
      <c r="D42" s="3050" t="s">
        <v>2547</v>
      </c>
      <c r="E42" s="3042" t="s">
        <v>2548</v>
      </c>
      <c r="F42" s="3042"/>
      <c r="G42" s="3043"/>
    </row>
    <row r="43" spans="1:14">
      <c r="A43" s="3044" t="s">
        <v>2549</v>
      </c>
      <c r="B43" s="3045" t="s">
        <v>2550</v>
      </c>
      <c r="C43" s="3046" t="s">
        <v>2551</v>
      </c>
      <c r="D43" s="3046" t="s">
        <v>2552</v>
      </c>
      <c r="E43" s="3047" t="s">
        <v>2553</v>
      </c>
      <c r="F43" s="3048"/>
      <c r="G43" s="3049"/>
      <c r="I43" s="3056" t="s">
        <v>2561</v>
      </c>
      <c r="J43" s="3056" t="s">
        <v>2572</v>
      </c>
    </row>
    <row r="44" spans="1:14">
      <c r="A44" s="3044" t="s">
        <v>2554</v>
      </c>
      <c r="B44" s="3045" t="s">
        <v>2555</v>
      </c>
      <c r="C44" s="3046" t="s">
        <v>2556</v>
      </c>
      <c r="D44" s="3050">
        <v>0.5</v>
      </c>
      <c r="E44" s="3047" t="s">
        <v>2557</v>
      </c>
      <c r="F44" s="3048"/>
      <c r="G44" s="3049"/>
      <c r="I44" s="3056">
        <v>30</v>
      </c>
      <c r="J44" s="3056">
        <v>81.7</v>
      </c>
    </row>
    <row r="45" spans="1:14" ht="14.25" thickBot="1">
      <c r="A45" s="3051" t="s">
        <v>2558</v>
      </c>
      <c r="B45" s="3052" t="s">
        <v>2545</v>
      </c>
      <c r="C45" s="3053" t="s">
        <v>2545</v>
      </c>
      <c r="D45" s="3053" t="s">
        <v>2559</v>
      </c>
      <c r="E45" s="3054" t="s">
        <v>2560</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3382</v>
      </c>
    </row>
    <row r="50" spans="1:4">
      <c r="A50" s="3447" t="s">
        <v>3383</v>
      </c>
      <c r="B50" s="3447" t="s">
        <v>3384</v>
      </c>
      <c r="C50" s="3447" t="s">
        <v>3385</v>
      </c>
      <c r="D50" s="3447" t="s">
        <v>3386</v>
      </c>
    </row>
    <row r="51" spans="1:4">
      <c r="A51" s="3447" t="s">
        <v>3387</v>
      </c>
      <c r="B51" s="3020">
        <f>B52+B53</f>
        <v>15000</v>
      </c>
      <c r="C51" s="3448">
        <f>D51/B51</f>
        <v>2666.6666666666665</v>
      </c>
      <c r="D51" s="3020">
        <f>D52+D53</f>
        <v>40000000</v>
      </c>
    </row>
    <row r="52" spans="1:4">
      <c r="A52" s="3449" t="s">
        <v>3388</v>
      </c>
      <c r="B52" s="3450">
        <v>10000</v>
      </c>
      <c r="C52" s="3450">
        <v>1500</v>
      </c>
      <c r="D52" s="3451">
        <f>C52*B52</f>
        <v>15000000</v>
      </c>
    </row>
    <row r="53" spans="1:4">
      <c r="A53" s="3449" t="s">
        <v>3389</v>
      </c>
      <c r="B53" s="3450">
        <v>5000</v>
      </c>
      <c r="C53" s="3450">
        <v>5000</v>
      </c>
      <c r="D53" s="3451">
        <f>C53*B53</f>
        <v>25000000</v>
      </c>
    </row>
    <row r="54" spans="1:4">
      <c r="A54" s="3447" t="s">
        <v>3390</v>
      </c>
      <c r="B54" s="3020">
        <f>B51</f>
        <v>15000</v>
      </c>
      <c r="C54" s="3027">
        <v>700</v>
      </c>
      <c r="D54" s="3020">
        <f t="shared" ref="D54:D55" si="5">C54*B54</f>
        <v>10500000</v>
      </c>
    </row>
    <row r="55" spans="1:4">
      <c r="A55" s="3447" t="s">
        <v>3391</v>
      </c>
      <c r="B55" s="3020">
        <f>B51</f>
        <v>15000</v>
      </c>
      <c r="C55" s="3027">
        <v>1500</v>
      </c>
      <c r="D55" s="3020">
        <f t="shared" si="5"/>
        <v>22500000</v>
      </c>
    </row>
    <row r="56" spans="1:4">
      <c r="A56" s="3447" t="s">
        <v>3392</v>
      </c>
      <c r="B56" s="3020">
        <f>B51</f>
        <v>15000</v>
      </c>
      <c r="C56" s="3452">
        <f>C51+C54+C55</f>
        <v>4866.6666666666661</v>
      </c>
      <c r="D56" s="3020">
        <f>D51+D54+D55</f>
        <v>73000000</v>
      </c>
    </row>
    <row r="58" spans="1:4">
      <c r="A58" s="3447" t="s">
        <v>3393</v>
      </c>
      <c r="B58" s="3453">
        <v>0.05</v>
      </c>
      <c r="C58" s="3020">
        <f>C56*(1+B58)</f>
        <v>5110</v>
      </c>
      <c r="D58" s="3020">
        <f>D56*B58</f>
        <v>3650000</v>
      </c>
    </row>
    <row r="60" spans="1:4">
      <c r="A60" s="3447" t="s">
        <v>3394</v>
      </c>
      <c r="B60" s="3027">
        <v>3500</v>
      </c>
      <c r="C60" s="3027">
        <f>C53</f>
        <v>5000</v>
      </c>
      <c r="D60" s="3020">
        <f>C60*B60</f>
        <v>17500000</v>
      </c>
    </row>
    <row r="62" spans="1:4">
      <c r="A62" s="3447" t="s">
        <v>3395</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53" t="str">
        <f>IF(B10="北京市","北京市",C10)&amp;F10&amp;IF(结果表!G1="在建","出让国有建设用地使用权及在建建筑物",IF(结果表!G1="土地","出让国有建设用地使用权",))&amp;B9&amp;"预评估"</f>
        <v>北京市朝阳区东三环中路39号院23号楼3层0302办公用房房地产抵押价值预评估</v>
      </c>
      <c r="C1" s="3554"/>
      <c r="D1" s="3554"/>
      <c r="E1" s="3554"/>
      <c r="F1" s="3554"/>
      <c r="G1" s="3554"/>
      <c r="H1" s="3554"/>
      <c r="I1" s="355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北京市朝阳区东三环中路39号院23号楼3层0302办公用房房地产抵押价值</v>
      </c>
      <c r="T1" s="1743"/>
      <c r="U1" s="1743"/>
      <c r="V1" s="1743"/>
      <c r="W1" s="1743"/>
      <c r="X1" s="1743"/>
      <c r="Y1" s="1743"/>
      <c r="Z1" s="1743"/>
      <c r="AA1" s="1743"/>
      <c r="AB1" s="1743"/>
    </row>
    <row r="2" spans="1:30">
      <c r="A2" s="2365" t="s">
        <v>2166</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北京市朝阳区东三环中路39号院23号楼3层0302办公用房房地产</v>
      </c>
      <c r="T2" s="1743"/>
      <c r="U2" s="1743"/>
      <c r="V2" s="1743"/>
      <c r="W2" s="1743"/>
      <c r="X2" s="1743"/>
      <c r="Y2" s="1743"/>
      <c r="Z2" s="1743"/>
      <c r="AA2" s="1743"/>
      <c r="AB2" s="1743"/>
    </row>
    <row r="3" spans="1:30">
      <c r="A3" s="302" t="s">
        <v>2167</v>
      </c>
      <c r="B3" s="2371">
        <v>45965</v>
      </c>
      <c r="C3" s="2372" t="s">
        <v>2168</v>
      </c>
      <c r="D3" s="2371">
        <f>B3</f>
        <v>45965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56"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57"/>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2664" t="s">
        <v>3496</v>
      </c>
      <c r="G10" s="2665"/>
      <c r="H10" s="2666"/>
      <c r="I10" s="2667"/>
      <c r="J10" s="2437"/>
      <c r="K10" s="2614"/>
      <c r="L10" s="2611"/>
      <c r="M10" s="2611"/>
      <c r="N10" s="2437"/>
      <c r="O10" s="2448"/>
      <c r="P10" s="2437"/>
      <c r="Q10" s="2437"/>
      <c r="R10" s="2437"/>
    </row>
    <row r="11" spans="1:30">
      <c r="A11" s="2399" t="s">
        <v>2178</v>
      </c>
      <c r="B11" s="2400" t="s">
        <v>3490</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2573</v>
      </c>
      <c r="J12" s="3060"/>
      <c r="K12" s="2611"/>
      <c r="L12" s="2611"/>
      <c r="M12" s="2437"/>
      <c r="N12" s="2448"/>
      <c r="O12" s="2437"/>
      <c r="P12" s="2437"/>
      <c r="Q12" s="2437"/>
      <c r="AD12" s="1743"/>
    </row>
    <row r="13" spans="1:30">
      <c r="A13" s="3421" t="s">
        <v>3327</v>
      </c>
      <c r="B13" s="2405" t="s">
        <v>2187</v>
      </c>
      <c r="C13" s="854"/>
      <c r="D13" s="854"/>
      <c r="E13" s="854">
        <v>55735</v>
      </c>
      <c r="F13" s="854"/>
      <c r="G13" s="854"/>
      <c r="H13" s="854"/>
      <c r="I13" s="854"/>
      <c r="J13" s="3060"/>
      <c r="K13" s="2611"/>
      <c r="L13" s="2611"/>
      <c r="M13" s="2437"/>
      <c r="N13" s="2448"/>
      <c r="O13" s="2437"/>
      <c r="P13" s="2437"/>
      <c r="Q13" s="2437"/>
      <c r="AD13" s="1743"/>
    </row>
    <row r="14" spans="1:30">
      <c r="A14" s="1079"/>
      <c r="B14" s="2405" t="s">
        <v>2188</v>
      </c>
      <c r="C14" s="2406"/>
      <c r="D14" s="2406">
        <v>40</v>
      </c>
      <c r="E14" s="2406">
        <v>50</v>
      </c>
      <c r="F14" s="2406"/>
      <c r="G14" s="2406"/>
      <c r="H14" s="2406"/>
      <c r="I14" s="2406"/>
      <c r="J14" s="3061"/>
      <c r="K14" s="2611"/>
      <c r="L14" s="2611"/>
      <c r="M14" s="2437"/>
      <c r="N14" s="2448"/>
      <c r="O14" s="2437"/>
      <c r="P14" s="2437"/>
      <c r="Q14" s="2437"/>
      <c r="AD14" s="1743"/>
    </row>
    <row r="15" spans="1:30">
      <c r="A15" s="320"/>
      <c r="B15" s="2407" t="s">
        <v>2189</v>
      </c>
      <c r="C15" s="2408" t="str">
        <f>IF(A13="出让",IF(C13="","",ROUNDDOWN(MIN((C13-$D$3)/365,C14),2)),C14)</f>
        <v/>
      </c>
      <c r="D15" s="2408" t="str">
        <f>IF(A13="出让",IF(D13="","",ROUNDDOWN(MIN((D13-$D$3)/365,D14),2)),D14)</f>
        <v/>
      </c>
      <c r="E15" s="2408">
        <f>IF(A13="出让",IF(E13="","",ROUNDDOWN(MIN((E13-$D$3)/365,E14),2)),E14)</f>
        <v>26.76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2190</v>
      </c>
      <c r="B16" s="3563"/>
      <c r="C16" s="3564"/>
      <c r="D16" s="3565"/>
      <c r="E16" s="2411" t="s">
        <v>2191</v>
      </c>
      <c r="F16" s="3566"/>
      <c r="G16" s="3567"/>
      <c r="H16" s="3567"/>
      <c r="I16" s="3568"/>
      <c r="J16" s="2437"/>
      <c r="K16" s="2615"/>
      <c r="L16" s="2449"/>
      <c r="M16" s="2449"/>
      <c r="N16" s="2507"/>
      <c r="O16" s="2449"/>
      <c r="P16" s="2507"/>
      <c r="Q16" s="2437"/>
      <c r="R16" s="2437"/>
    </row>
    <row r="17" spans="1:28">
      <c r="A17" s="313" t="s">
        <v>2192</v>
      </c>
      <c r="B17" s="302" t="s">
        <v>2193</v>
      </c>
      <c r="C17" s="8">
        <f>'数据-汇总表'!E3</f>
        <v>279.52999999999997</v>
      </c>
      <c r="D17" s="2320" t="s">
        <v>2194</v>
      </c>
      <c r="E17" s="3569" t="s">
        <v>2195</v>
      </c>
      <c r="F17" s="3570"/>
      <c r="G17" s="3570"/>
      <c r="H17" s="3570"/>
      <c r="I17" s="3571"/>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72" t="s">
        <v>2199</v>
      </c>
      <c r="F18" s="3573"/>
      <c r="G18" s="3573"/>
      <c r="H18" s="3573"/>
      <c r="I18" s="3574"/>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59" t="s">
        <v>2203</v>
      </c>
      <c r="C20" s="3560"/>
      <c r="D20" s="3561" t="s">
        <v>2204</v>
      </c>
      <c r="E20" s="3562"/>
      <c r="F20" s="2645" t="s">
        <v>1056</v>
      </c>
      <c r="G20" s="2662"/>
      <c r="H20" s="2662"/>
      <c r="I20" s="2662"/>
      <c r="J20" s="2437"/>
      <c r="K20" s="3558"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5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5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6" t="s">
        <v>2211</v>
      </c>
      <c r="B27" s="320" t="s">
        <v>2212</v>
      </c>
      <c r="C27" s="2414" t="s">
        <v>3491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6"/>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6"/>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7"/>
      <c r="B30" s="302" t="s">
        <v>2215</v>
      </c>
      <c r="C30" s="3548"/>
      <c r="D30" s="3549"/>
      <c r="E30" s="2662"/>
      <c r="F30" s="2662"/>
      <c r="G30" s="2662"/>
      <c r="H30" s="2662"/>
      <c r="I30" s="2662"/>
      <c r="J30" s="2437"/>
      <c r="K30" s="2614"/>
      <c r="L30" s="2611"/>
      <c r="M30" s="2611"/>
      <c r="N30" s="2437"/>
      <c r="O30" s="2448"/>
      <c r="P30" s="2437"/>
      <c r="Q30" s="2437"/>
      <c r="R30" s="2437"/>
      <c r="S30" s="2437"/>
      <c r="T30" s="2437"/>
      <c r="U30" s="2437"/>
      <c r="V30" s="2437"/>
    </row>
    <row r="31" spans="1:28">
      <c r="A31" s="3550" t="s">
        <v>2216</v>
      </c>
      <c r="B31" s="2420" t="s">
        <v>3417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45" t="s">
        <v>2225</v>
      </c>
      <c r="T34" s="2426" t="str">
        <f>NUMBERSTRING(7-K34,1)&amp;"通"</f>
        <v>七通</v>
      </c>
      <c r="U34" s="2437"/>
      <c r="V34" s="2437"/>
    </row>
    <row r="35" spans="1:30">
      <c r="A35" s="2427"/>
      <c r="B35" s="3552" t="s">
        <v>2226</v>
      </c>
      <c r="C35" s="3552"/>
      <c r="D35" s="3552"/>
      <c r="E35" s="355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3"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279.52999999999997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279.52999999999997</v>
      </c>
      <c r="H5" s="13">
        <f t="shared" ref="H5:AT5" si="0">SUM(H13:H656)</f>
        <v>279.52999999999997</v>
      </c>
      <c r="I5" s="13">
        <f t="shared" si="0"/>
        <v>279.52999999999997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279.52999999999997</v>
      </c>
      <c r="BA5" s="15">
        <f t="shared" si="1"/>
        <v>279.52999999999997</v>
      </c>
      <c r="BB5" s="15">
        <f t="shared" si="1"/>
        <v>279.52999999999997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76"/>
      <c r="D13" s="1623" t="s">
        <v>3418</v>
      </c>
      <c r="E13" s="13">
        <f>IF($C$3="是",ROUND($A$3*G13/$B$3,2),ROUND($A$3*(G13-AT13)/$B$3,2))</f>
        <v>0</v>
      </c>
      <c r="F13" s="29"/>
      <c r="G13" s="30">
        <f>H13+AC13+AT13</f>
        <v>279.52999999999997</v>
      </c>
      <c r="H13" s="17">
        <f>SUMIF(I$12:AB$12,"总值",I13:AB13)</f>
        <v>279.52999999999997</v>
      </c>
      <c r="I13" s="1624">
        <v>279.52999999999997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279.52999999999997</v>
      </c>
      <c r="BA13" s="13">
        <f>SUM(BB13:BK13)</f>
        <v>279.52999999999997</v>
      </c>
      <c r="BB13" s="13">
        <f>IF($D13="是",I13-J13,0)</f>
        <v>279.52999999999997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7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2" sqref="M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4" t="s">
        <v>1131</v>
      </c>
      <c r="B2" s="3584"/>
      <c r="C2" s="3584"/>
      <c r="D2" s="794" t="s">
        <v>1107</v>
      </c>
      <c r="E2" s="1637" t="s">
        <v>1108</v>
      </c>
      <c r="F2" s="2657"/>
      <c r="G2" s="2648"/>
      <c r="H2" s="2649"/>
      <c r="I2" s="2323" t="s">
        <v>1132</v>
      </c>
      <c r="J2" s="2657"/>
      <c r="K2" s="2657"/>
      <c r="L2" s="2657"/>
      <c r="M2" s="2657"/>
      <c r="N2" s="2659"/>
      <c r="O2" s="2657"/>
      <c r="P2" s="2657"/>
    </row>
    <row r="3" spans="1:16" ht="15.75" thickBot="1">
      <c r="A3" s="3585" t="s">
        <v>1105</v>
      </c>
      <c r="B3" s="3585"/>
      <c r="C3" s="3585"/>
      <c r="D3" s="43">
        <f>'数据-基础表'!AY6</f>
        <v>0</v>
      </c>
      <c r="E3" s="43">
        <f>'数据-基础表'!AZ5</f>
        <v>279.52999999999997</v>
      </c>
      <c r="F3" s="2657"/>
      <c r="G3" s="1143"/>
      <c r="H3" s="1024" t="s">
        <v>1106</v>
      </c>
      <c r="I3" s="853" t="e">
        <f>ROUND('数据-基础表'!B3/'数据-基础表'!A3,2)</f>
        <v>#DIV/0!</v>
      </c>
      <c r="J3" s="2657"/>
      <c r="K3" s="2657"/>
      <c r="L3" s="2657"/>
      <c r="M3" s="2657"/>
      <c r="N3" s="2659"/>
      <c r="O3" s="2657"/>
      <c r="P3" s="2657"/>
    </row>
    <row r="4" spans="1:16" ht="15">
      <c r="A4" s="3586"/>
      <c r="B4" s="3587"/>
      <c r="C4" s="358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89" t="s">
        <v>1110</v>
      </c>
      <c r="C5" s="358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89" t="s">
        <v>1111</v>
      </c>
      <c r="C6" s="3589"/>
      <c r="D6" s="45">
        <f>ROUND($D$3*E6/$E$3,2)</f>
        <v>0</v>
      </c>
      <c r="E6" s="46">
        <f>E3-E5</f>
        <v>279.52999999999997</v>
      </c>
      <c r="F6" s="2657"/>
      <c r="G6" s="2651" t="s">
        <v>1112</v>
      </c>
      <c r="H6" s="1144" t="s">
        <v>1113</v>
      </c>
      <c r="I6" s="2652" t="e">
        <f>ROUND(F31/D31,2)</f>
        <v>#DIV/0!</v>
      </c>
      <c r="J6" s="2657"/>
      <c r="K6" s="2657"/>
      <c r="L6" s="2657"/>
      <c r="M6" s="2657"/>
      <c r="N6" s="2657"/>
      <c r="O6" s="2657"/>
      <c r="P6" s="2657"/>
    </row>
    <row r="7" spans="1:16" ht="15.75" thickBot="1">
      <c r="A7" s="3581"/>
      <c r="B7" s="3582"/>
      <c r="C7" s="358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279.52999999999997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279.52999999999997</v>
      </c>
      <c r="F16" s="2657"/>
      <c r="G16" s="2658"/>
      <c r="H16" s="1646" t="s">
        <v>1135</v>
      </c>
      <c r="I16" s="1647"/>
      <c r="J16" s="1137"/>
      <c r="K16" s="3578" t="s">
        <v>1135</v>
      </c>
      <c r="L16" s="3579"/>
      <c r="M16" s="3579"/>
      <c r="N16" s="3579"/>
      <c r="O16" s="3579"/>
      <c r="P16" s="3580"/>
    </row>
    <row r="17" spans="1:19" ht="15">
      <c r="A17" s="1648" t="s">
        <v>1136</v>
      </c>
      <c r="B17" s="1649" t="s">
        <v>1137</v>
      </c>
      <c r="C17" s="1650" t="s">
        <v>1138</v>
      </c>
      <c r="D17" s="1651" t="s">
        <v>1126</v>
      </c>
      <c r="E17" s="1652" t="s">
        <v>1127</v>
      </c>
      <c r="F17" s="1653"/>
      <c r="G17" s="1654"/>
      <c r="H17" s="1655" t="s">
        <v>1139</v>
      </c>
      <c r="I17" s="1656" t="s">
        <v>1124</v>
      </c>
      <c r="J17" s="1137"/>
      <c r="K17" s="3575" t="s">
        <v>1140</v>
      </c>
      <c r="L17" s="3576"/>
      <c r="M17" s="3577"/>
      <c r="N17" s="3575" t="s">
        <v>1141</v>
      </c>
      <c r="O17" s="3576"/>
      <c r="P17" s="357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3476</v>
      </c>
      <c r="D19" s="45">
        <f>ROUND($D$3*E19/$E$3,2)</f>
        <v>0</v>
      </c>
      <c r="E19" s="53">
        <f t="shared" ref="E19:E26" si="1">SUM(F19:G19)</f>
        <v>279.52999999999997</v>
      </c>
      <c r="F19" s="2793">
        <f>'数据-基础表'!I13</f>
        <v>279.52999999999997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279.52999999999997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279.52999999999997</v>
      </c>
      <c r="F27" s="1138">
        <f>IF(SUM(F19:F26)=E8,SUM(F19:F26),"地上面积有误")</f>
        <v>279.52999999999997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279.52999999999997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279.52999999999997</v>
      </c>
      <c r="F31" s="675">
        <f>F27+F30</f>
        <v>279.52999999999997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K26" sqref="AK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45965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55735</v>
      </c>
      <c r="F6" s="64">
        <f>SUMIF(项目基本情况!C$12:I$12,C6,项目基本情况!C$15:I$15)</f>
        <v>26.76</v>
      </c>
      <c r="G6" s="65">
        <f>IF(ISERROR(ROUND(POWER(1+H6,D6-F6)*(POWER(1+H6,F6)-1)/(POWER(1+H6,D6)-1),3)),0,ROUND(POWER(1+H6,D6-F6)*(POWER(1+H6,F6)-1)/(POWER(1+H6,D6)-1),3))</f>
        <v>0.79900000000000004</v>
      </c>
      <c r="H6" s="730">
        <v>0.05</v>
      </c>
      <c r="I6" s="730">
        <v>5.5E-2</v>
      </c>
      <c r="J6" s="66">
        <v>7.0000000000000007E-2</v>
      </c>
      <c r="K6" s="1028">
        <f>SUMIF('数据-汇总表'!C$19:C$33,A6,'数据-汇总表'!E$19:E$33)</f>
        <v>279.52999999999997</v>
      </c>
      <c r="L6" s="731">
        <v>5800</v>
      </c>
      <c r="M6" s="67">
        <f t="shared" ref="M6:M14" si="0">ROUND(K6*L6/10000,0)</f>
        <v>162</v>
      </c>
      <c r="N6" s="729">
        <f>N21</f>
        <v>0.73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'比较法-办公租金'!C50</f>
        <v>4.7</v>
      </c>
      <c r="V6" s="70">
        <v>0.02</v>
      </c>
      <c r="W6" s="70">
        <v>0.1</v>
      </c>
      <c r="X6" s="1038"/>
      <c r="Y6" s="71">
        <f>N6</f>
        <v>0.73</v>
      </c>
      <c r="Z6" s="72"/>
      <c r="AA6" s="66"/>
      <c r="AB6" s="66"/>
      <c r="AC6" s="1038"/>
      <c r="AD6" s="73"/>
      <c r="AE6" s="1039">
        <f ca="1">IF(AN6="",0,SUMIF(INDIRECT("'"&amp;AN6&amp;"'"&amp;"!E:E"),$AE$5,INDIRECT("'"&amp;AN6&amp;"'"&amp;"!F:F")))</f>
        <v>26.76</v>
      </c>
      <c r="AF6" s="1346"/>
      <c r="AG6" s="138">
        <f>IF(AF6="",0,AE6-AF6)</f>
        <v>0</v>
      </c>
      <c r="AH6" s="74"/>
      <c r="AI6" s="76">
        <v>365</v>
      </c>
      <c r="AJ6" s="77"/>
      <c r="AK6" s="78">
        <v>3.0000000000000001E-3</v>
      </c>
      <c r="AL6" s="79">
        <v>1E-3</v>
      </c>
      <c r="AM6" s="80">
        <v>0.01</v>
      </c>
      <c r="AN6" s="1713" t="s">
        <v>3422</v>
      </c>
      <c r="AO6" s="52">
        <f ca="1">SUMIF(INDIRECT("'"&amp;AN6&amp;"'"&amp;"!A:A"),"总价",INDIRECT("'"&amp;AN6&amp;"'"&amp;"!B:B"))</f>
        <v>676.54070000000002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0.79900000000000004</v>
      </c>
      <c r="H16" s="90">
        <f>ROUND(SUMPRODUCT(H6:H13,K6:K13)/SUMPRODUCT((H6:H13&gt;0)*(K6:K13)),3)</f>
        <v>0.05</v>
      </c>
      <c r="I16" s="91"/>
      <c r="J16" s="91"/>
      <c r="K16" s="92">
        <f>SUM(K6:K15)</f>
        <v>279.52999999999997</v>
      </c>
      <c r="L16" s="93">
        <f>ROUND(M16*10000/SUM(K6:K14),0)</f>
        <v>5795</v>
      </c>
      <c r="M16" s="93">
        <f>SUM(M6:M14)</f>
        <v>162</v>
      </c>
      <c r="N16" s="94">
        <f>ROUND(SUMPRODUCT(M6:M14,N6:N14)/M16,3)</f>
        <v>0.73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f>U6*365/'比较法-办公'!C50</f>
        <v>5.0213675213675216E-2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2299</v>
      </c>
      <c r="D19" s="2674"/>
      <c r="E19" s="2671"/>
      <c r="F19" s="2671"/>
      <c r="G19" s="2671"/>
      <c r="H19" s="2671"/>
      <c r="I19" s="2671"/>
      <c r="J19" s="2671"/>
      <c r="K19" s="2670"/>
      <c r="L19" s="2670"/>
      <c r="M19" s="3478" t="s">
        <v>3421</v>
      </c>
      <c r="N19" s="2669">
        <f>ROUND(1-(1-0%)*(2025-N18)/60,2)</f>
        <v>0.65</v>
      </c>
      <c r="O19" s="2669"/>
      <c r="P19" s="2669"/>
      <c r="Q19" s="2669"/>
      <c r="R19" s="2669"/>
      <c r="S19" s="2669"/>
      <c r="T19" s="2669"/>
      <c r="U19" s="2669"/>
      <c r="V19" s="2669"/>
      <c r="W19" s="2669"/>
      <c r="X19" s="2669"/>
      <c r="Y19" s="3478"/>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2297</v>
      </c>
      <c r="D20" s="2674"/>
      <c r="E20" s="2671"/>
      <c r="F20" s="2671"/>
      <c r="G20" s="2671"/>
      <c r="H20" s="2671"/>
      <c r="I20" s="2671"/>
      <c r="J20" s="2671"/>
      <c r="K20" s="2670"/>
      <c r="L20" s="2670"/>
      <c r="M20" s="3478" t="s">
        <v>3492</v>
      </c>
      <c r="N20" s="2669">
        <v>0.8</v>
      </c>
      <c r="O20" s="2669"/>
      <c r="P20" s="2669"/>
      <c r="Q20" s="2669"/>
      <c r="R20" s="2669"/>
      <c r="S20" s="2669"/>
      <c r="T20" s="2669"/>
      <c r="U20" s="2669"/>
      <c r="V20" s="2669"/>
      <c r="W20" s="2669"/>
      <c r="X20" s="2669"/>
      <c r="Y20" s="2669"/>
      <c r="Z20" s="2669"/>
      <c r="AA20" s="2669"/>
      <c r="AB20" s="2669"/>
      <c r="AC20" s="2669"/>
      <c r="AD20" s="347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3478" t="s">
        <v>3493</v>
      </c>
      <c r="N21" s="2669">
        <f>ROUND((N19+N20)/2,2)</f>
        <v>0.73</v>
      </c>
      <c r="O21" s="2669"/>
      <c r="P21" s="2669"/>
      <c r="Q21" s="2669"/>
      <c r="R21" s="2669"/>
      <c r="S21" s="2669"/>
      <c r="T21" s="2669"/>
      <c r="U21" s="2669"/>
      <c r="V21" s="2669"/>
      <c r="W21" s="2669"/>
      <c r="X21" s="2669"/>
      <c r="Y21" s="3478"/>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2301</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3378</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3396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3379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3380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2307</v>
      </c>
      <c r="B40" s="1076">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3381</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90" t="s">
        <v>2283</v>
      </c>
      <c r="B1" s="3591"/>
      <c r="C1" s="3591"/>
      <c r="D1" s="3591"/>
      <c r="E1" s="3591"/>
      <c r="F1" s="3591"/>
      <c r="G1" s="359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8"/>
  <sheetViews>
    <sheetView workbookViewId="0">
      <selection activeCell="F7" sqref="F7"/>
    </sheetView>
  </sheetViews>
  <sheetFormatPr defaultRowHeight="13.5"/>
  <cols>
    <col min="1" max="1" width="9" style="3252"/>
    <col min="2" max="2" width="10.375" style="3252" customWidth="1"/>
    <col min="3" max="3" width="10" style="3252" customWidth="1"/>
    <col min="4" max="4" width="16.5" style="3252" customWidth="1"/>
    <col min="5" max="5" width="11.375" style="3252" customWidth="1"/>
    <col min="6" max="16384" width="9" style="3252"/>
  </cols>
  <sheetData>
    <row r="2" spans="2:8">
      <c r="B2" s="3500" t="s">
        <v>3497</v>
      </c>
      <c r="C2" s="3500" t="s">
        <v>3498</v>
      </c>
      <c r="D2" s="3500" t="s">
        <v>3499</v>
      </c>
      <c r="E2" s="3500" t="s">
        <v>3500</v>
      </c>
      <c r="F2" s="3500" t="s">
        <v>3501</v>
      </c>
      <c r="G2" s="3500" t="s">
        <v>3502</v>
      </c>
    </row>
    <row r="3" spans="2:8">
      <c r="B3" s="3252">
        <v>279.52999999999997</v>
      </c>
      <c r="C3" s="3252">
        <v>279.52999999999997</v>
      </c>
      <c r="D3" s="3501">
        <v>44532</v>
      </c>
      <c r="E3" s="3501">
        <v>44896</v>
      </c>
      <c r="F3" s="3252">
        <f>48000*12</f>
        <v>576000</v>
      </c>
      <c r="G3" s="3252">
        <f>F3/365/$C$3</f>
        <v>5.6454841762273169</v>
      </c>
    </row>
    <row r="4" spans="2:8">
      <c r="D4" s="3501">
        <v>44897</v>
      </c>
      <c r="E4" s="3501">
        <v>45261</v>
      </c>
      <c r="F4" s="3252">
        <f>50000*12</f>
        <v>600000</v>
      </c>
      <c r="G4" s="3252">
        <f t="shared" ref="G4:G7" si="0">F4/365/$C$3</f>
        <v>5.8807126835701222</v>
      </c>
    </row>
    <row r="5" spans="2:8">
      <c r="D5" s="3501">
        <v>45262</v>
      </c>
      <c r="E5" s="3501">
        <v>45627</v>
      </c>
      <c r="F5" s="3252">
        <f>53000*12</f>
        <v>636000</v>
      </c>
      <c r="G5" s="3252">
        <f t="shared" si="0"/>
        <v>6.2335554445843302</v>
      </c>
    </row>
    <row r="6" spans="2:8">
      <c r="D6" s="3501">
        <v>45628</v>
      </c>
      <c r="E6" s="3501">
        <v>45992</v>
      </c>
      <c r="F6" s="3252">
        <f>56000*12</f>
        <v>672000</v>
      </c>
      <c r="G6" s="3252">
        <f t="shared" si="0"/>
        <v>6.5863982055985373</v>
      </c>
    </row>
    <row r="7" spans="2:8">
      <c r="D7" s="3501">
        <v>45993</v>
      </c>
      <c r="E7" s="3501">
        <v>46357</v>
      </c>
      <c r="F7" s="3252">
        <f>60000*12</f>
        <v>720000</v>
      </c>
      <c r="G7" s="3252">
        <f t="shared" si="0"/>
        <v>7.056855220284147</v>
      </c>
    </row>
    <row r="8" spans="2:8">
      <c r="F8" s="3252">
        <f>SUM(F3:F7)</f>
        <v>3204000</v>
      </c>
    </row>
    <row r="10" spans="2:8">
      <c r="D10" s="3500" t="s">
        <v>3503</v>
      </c>
      <c r="E10" s="3500" t="s">
        <v>3500</v>
      </c>
      <c r="F10" s="3500" t="s">
        <v>3501</v>
      </c>
      <c r="G10" s="3500"/>
    </row>
    <row r="11" spans="2:8">
      <c r="D11" s="3502">
        <f>系统读取表!B3</f>
        <v>45965</v>
      </c>
      <c r="E11" s="3501">
        <f>E6</f>
        <v>45992</v>
      </c>
      <c r="F11" s="3252">
        <f>ROUND(G3*H11*C3,0)</f>
        <v>42608</v>
      </c>
      <c r="H11" s="3252">
        <f>E11-D11</f>
        <v>27</v>
      </c>
    </row>
    <row r="12" spans="2:8">
      <c r="D12" s="3501">
        <f>D7</f>
        <v>45993</v>
      </c>
      <c r="E12" s="3501">
        <f>E7</f>
        <v>46357</v>
      </c>
      <c r="F12" s="3252">
        <f>F7</f>
        <v>720000</v>
      </c>
    </row>
    <row r="13" spans="2:8">
      <c r="F13" s="3252">
        <f>SUM(F11:F12)</f>
        <v>762608</v>
      </c>
    </row>
    <row r="15" spans="2:8">
      <c r="D15" s="3500" t="s">
        <v>3504</v>
      </c>
      <c r="E15" s="3252">
        <f>ROUND((E12-D11)/365,2)</f>
        <v>1.07</v>
      </c>
    </row>
    <row r="16" spans="2:8">
      <c r="D16" s="3500" t="s">
        <v>3505</v>
      </c>
      <c r="E16" s="3252">
        <f>ROUND(F13/E15,0)</f>
        <v>712718</v>
      </c>
      <c r="F16" s="3252">
        <f>ROUND(E16/365/C3,4)</f>
        <v>6.9855</v>
      </c>
    </row>
    <row r="17" spans="4:5">
      <c r="D17" s="3500" t="s">
        <v>3506</v>
      </c>
      <c r="E17" s="3252">
        <f>ROUND(E16*(1+5%),0)</f>
        <v>748354</v>
      </c>
    </row>
    <row r="18" spans="4:5">
      <c r="D18" s="3500" t="s">
        <v>3507</v>
      </c>
      <c r="E18" s="3252">
        <f>ROUND(E17/365/C3,4)</f>
        <v>7.3348000000000004</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279.52999999999997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45965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844</v>
      </c>
      <c r="C5" s="2510">
        <f ca="1">IF(B5=D14,结果表!H102,ROUND(B5*10000/$B$1,0))</f>
        <v>30180</v>
      </c>
      <c r="D5" s="2510" t="e">
        <f ca="1">ROUND(B5*10000/$B$2,0)</f>
        <v>#DIV/0!</v>
      </c>
      <c r="E5" s="2684"/>
      <c r="F5" s="2685"/>
      <c r="G5" s="2685"/>
      <c r="H5" s="2686"/>
      <c r="I5" s="2686"/>
      <c r="J5" s="2686"/>
      <c r="K5" s="2686"/>
    </row>
    <row r="6" spans="1:11" ht="16.5">
      <c r="A6" s="2510" t="s">
        <v>656</v>
      </c>
      <c r="B6" s="2510">
        <f ca="1">SUM(G14:G23)</f>
        <v>844</v>
      </c>
      <c r="C6" s="2510">
        <f ca="1">IF(B6=G14,结果表!H108,ROUND(B6*10000/$B$1,0))</f>
        <v>30180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279.52999999999997</v>
      </c>
      <c r="C14" s="2516"/>
      <c r="D14" s="2516">
        <f ca="1">结果表!G19</f>
        <v>844</v>
      </c>
      <c r="E14" s="2516">
        <f ca="1">结果表!G20</f>
        <v>30180</v>
      </c>
      <c r="F14" s="2516" t="e">
        <f ca="1">ROUND(D14*10000/C14,0)</f>
        <v>#DIV/0!</v>
      </c>
      <c r="G14" s="2516">
        <f ca="1">D14</f>
        <v>844</v>
      </c>
      <c r="H14" s="2516"/>
      <c r="I14" s="2516"/>
      <c r="J14" s="2685"/>
      <c r="K14" s="2686"/>
    </row>
    <row r="15" spans="1:11" ht="16.5">
      <c r="A15" s="2515" t="s">
        <v>649</v>
      </c>
      <c r="B15" s="2517"/>
      <c r="C15" s="2517"/>
      <c r="D15" s="2517"/>
      <c r="E15" s="2516">
        <f>典型户型修正!R25</f>
        <v>0</v>
      </c>
      <c r="F15" s="2516" t="e">
        <f t="shared" ref="F15:F23" si="0">ROUND(D15*10000/C15,0)</f>
        <v>#DIV/0!</v>
      </c>
      <c r="G15" s="2516"/>
      <c r="H15" s="1329"/>
      <c r="I15" s="2517"/>
      <c r="J15" s="2685"/>
      <c r="K15" s="2686"/>
    </row>
    <row r="16" spans="1:11" ht="16.5">
      <c r="A16" s="2515" t="s">
        <v>648</v>
      </c>
      <c r="B16" s="2517"/>
      <c r="C16" s="2517"/>
      <c r="D16" s="2517"/>
      <c r="E16" s="2516" t="e">
        <f t="shared" ref="E16:E23" si="1">ROUND(D16*10000/B16,0)</f>
        <v>#DIV/0!</v>
      </c>
      <c r="F16" s="2516" t="e">
        <f t="shared" si="0"/>
        <v>#DIV/0!</v>
      </c>
      <c r="G16" s="1329"/>
      <c r="H16" s="1329"/>
      <c r="I16" s="2517"/>
      <c r="J16" s="2686"/>
      <c r="K16" s="2686"/>
    </row>
    <row r="17" spans="1:11" ht="16.5">
      <c r="A17" s="2515" t="s">
        <v>647</v>
      </c>
      <c r="B17" s="2517"/>
      <c r="C17" s="2517"/>
      <c r="D17" s="2517"/>
      <c r="E17" s="2516" t="e">
        <f t="shared" si="1"/>
        <v>#DIV/0!</v>
      </c>
      <c r="F17" s="2516" t="e">
        <f t="shared" si="0"/>
        <v>#DIV/0!</v>
      </c>
      <c r="G17" s="1329"/>
      <c r="H17" s="1329"/>
      <c r="I17" s="2517"/>
      <c r="J17" s="2686"/>
      <c r="K17" s="2686"/>
    </row>
    <row r="18" spans="1:11" ht="16.5">
      <c r="A18" s="2515" t="s">
        <v>646</v>
      </c>
      <c r="B18" s="2517"/>
      <c r="C18" s="2517"/>
      <c r="D18" s="2517"/>
      <c r="E18" s="2516" t="e">
        <f t="shared" si="1"/>
        <v>#DIV/0!</v>
      </c>
      <c r="F18" s="2516" t="e">
        <f t="shared" si="0"/>
        <v>#DIV/0!</v>
      </c>
      <c r="G18" s="2517"/>
      <c r="H18" s="2517"/>
      <c r="I18" s="2517"/>
      <c r="J18" s="2686"/>
      <c r="K18" s="2686"/>
    </row>
    <row r="19" spans="1:11" ht="16.5">
      <c r="A19" s="2515" t="s">
        <v>645</v>
      </c>
      <c r="B19" s="2517"/>
      <c r="C19" s="2517"/>
      <c r="D19" s="2517"/>
      <c r="E19" s="2516" t="e">
        <f t="shared" si="1"/>
        <v>#DIV/0!</v>
      </c>
      <c r="F19" s="2516" t="e">
        <f t="shared" si="0"/>
        <v>#DIV/0!</v>
      </c>
      <c r="G19" s="2517"/>
      <c r="H19" s="2517"/>
      <c r="I19" s="2517"/>
      <c r="J19" s="2686"/>
      <c r="K19" s="2686"/>
    </row>
    <row r="20" spans="1:11" ht="16.5">
      <c r="A20" s="2515" t="s">
        <v>644</v>
      </c>
      <c r="B20" s="2517"/>
      <c r="C20" s="2517"/>
      <c r="D20" s="2517"/>
      <c r="E20" s="2516" t="e">
        <f t="shared" si="1"/>
        <v>#DIV/0!</v>
      </c>
      <c r="F20" s="2516" t="e">
        <f t="shared" si="0"/>
        <v>#DIV/0!</v>
      </c>
      <c r="G20" s="2517"/>
      <c r="H20" s="2517"/>
      <c r="I20" s="2517"/>
      <c r="J20" s="2686"/>
      <c r="K20" s="2686"/>
    </row>
    <row r="21" spans="1:11" ht="16.5">
      <c r="A21" s="2515" t="s">
        <v>643</v>
      </c>
      <c r="B21" s="2517"/>
      <c r="C21" s="2517"/>
      <c r="D21" s="2517"/>
      <c r="E21" s="2516" t="e">
        <f t="shared" si="1"/>
        <v>#DIV/0!</v>
      </c>
      <c r="F21" s="2516" t="e">
        <f t="shared" si="0"/>
        <v>#DIV/0!</v>
      </c>
      <c r="G21" s="2517"/>
      <c r="H21" s="2517"/>
      <c r="I21" s="2517"/>
      <c r="J21" s="2686"/>
      <c r="K21" s="2686"/>
    </row>
    <row r="22" spans="1:11" ht="16.5">
      <c r="A22" s="2515" t="s">
        <v>642</v>
      </c>
      <c r="B22" s="2517"/>
      <c r="C22" s="2517"/>
      <c r="D22" s="2517"/>
      <c r="E22" s="2516" t="e">
        <f t="shared" si="1"/>
        <v>#DIV/0!</v>
      </c>
      <c r="F22" s="2516" t="e">
        <f t="shared" si="0"/>
        <v>#DIV/0!</v>
      </c>
      <c r="G22" s="2517"/>
      <c r="H22" s="2517"/>
      <c r="I22" s="2517"/>
      <c r="J22" s="2686"/>
      <c r="K22" s="2686"/>
    </row>
    <row r="23" spans="1:11" ht="16.5">
      <c r="A23" s="2515" t="s">
        <v>641</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6" t="str">
        <f>项目基本情况!S2</f>
        <v>北京市朝阳区东三环中路39号院23号楼3层0302办公用房房地产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3495</v>
      </c>
      <c r="D4" s="1754" t="s">
        <v>3422</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593">
        <v>25</v>
      </c>
      <c r="C5" s="3609"/>
      <c r="D5" s="3629"/>
      <c r="E5" s="131" t="s">
        <v>1269</v>
      </c>
      <c r="F5" s="1755"/>
      <c r="G5" s="1755"/>
      <c r="H5" s="1755"/>
      <c r="I5" s="1371"/>
    </row>
    <row r="6" spans="1:12" ht="12.75">
      <c r="A6" s="3606"/>
      <c r="B6" s="3593"/>
      <c r="C6" s="3610"/>
      <c r="D6" s="3629"/>
      <c r="E6" s="131" t="s">
        <v>1270</v>
      </c>
      <c r="F6" s="1755"/>
      <c r="G6" s="1755"/>
      <c r="H6" s="1755"/>
      <c r="I6" s="1371"/>
    </row>
    <row r="7" spans="1:12" ht="12.75">
      <c r="A7" s="3606"/>
      <c r="B7" s="3593"/>
      <c r="C7" s="3611"/>
      <c r="D7" s="3629"/>
      <c r="E7" s="131" t="s">
        <v>1271</v>
      </c>
      <c r="F7" s="1755"/>
      <c r="G7" s="1755"/>
      <c r="H7" s="1755"/>
      <c r="I7" s="1371"/>
    </row>
    <row r="8" spans="1:12" ht="12.75">
      <c r="A8" s="3606" t="s">
        <v>1272</v>
      </c>
      <c r="B8" s="3593">
        <v>15</v>
      </c>
      <c r="C8" s="3609"/>
      <c r="D8" s="3629"/>
      <c r="E8" s="131" t="s">
        <v>1273</v>
      </c>
      <c r="F8" s="1755"/>
      <c r="G8" s="1755"/>
      <c r="H8" s="1755"/>
      <c r="I8" s="1371"/>
    </row>
    <row r="9" spans="1:12" ht="12.75">
      <c r="A9" s="3606"/>
      <c r="B9" s="3593"/>
      <c r="C9" s="3611"/>
      <c r="D9" s="3629"/>
      <c r="E9" s="131" t="s">
        <v>1274</v>
      </c>
      <c r="F9" s="1755"/>
      <c r="G9" s="1755"/>
      <c r="H9" s="1755"/>
      <c r="I9" s="1371"/>
    </row>
    <row r="10" spans="1:12" ht="12.75">
      <c r="A10" s="3606" t="s">
        <v>1275</v>
      </c>
      <c r="B10" s="3593">
        <v>15</v>
      </c>
      <c r="C10" s="3609"/>
      <c r="D10" s="3629"/>
      <c r="E10" s="131" t="s">
        <v>1276</v>
      </c>
      <c r="F10" s="1755"/>
      <c r="G10" s="1755"/>
      <c r="H10" s="1755"/>
      <c r="I10" s="1371"/>
    </row>
    <row r="11" spans="1:12" ht="12.75">
      <c r="A11" s="3606"/>
      <c r="B11" s="3593"/>
      <c r="C11" s="3611"/>
      <c r="D11" s="3629"/>
      <c r="E11" s="131" t="s">
        <v>1277</v>
      </c>
      <c r="F11" s="1755"/>
      <c r="G11" s="1755"/>
      <c r="H11" s="1755"/>
      <c r="I11" s="1371"/>
    </row>
    <row r="12" spans="1:12" ht="12.75">
      <c r="A12" s="3606" t="s">
        <v>1278</v>
      </c>
      <c r="B12" s="3593">
        <v>15</v>
      </c>
      <c r="C12" s="3609"/>
      <c r="D12" s="3629"/>
      <c r="E12" s="131" t="s">
        <v>1279</v>
      </c>
      <c r="F12" s="1755"/>
      <c r="G12" s="1755"/>
      <c r="H12" s="1755"/>
      <c r="I12" s="1371"/>
    </row>
    <row r="13" spans="1:12" ht="12.75">
      <c r="A13" s="3606"/>
      <c r="B13" s="3593"/>
      <c r="C13" s="3611"/>
      <c r="D13" s="3629"/>
      <c r="E13" s="131" t="s">
        <v>1280</v>
      </c>
      <c r="F13" s="1755"/>
      <c r="G13" s="1755"/>
      <c r="H13" s="1755"/>
      <c r="I13" s="1371"/>
    </row>
    <row r="14" spans="1:12" ht="12.75">
      <c r="A14" s="3606" t="s">
        <v>1281</v>
      </c>
      <c r="B14" s="3593">
        <v>30</v>
      </c>
      <c r="C14" s="3609">
        <v>6</v>
      </c>
      <c r="D14" s="3629">
        <v>4</v>
      </c>
      <c r="E14" s="131" t="s">
        <v>1282</v>
      </c>
      <c r="F14" s="1755"/>
      <c r="G14" s="1755"/>
      <c r="H14" s="1755"/>
      <c r="I14" s="1371"/>
    </row>
    <row r="15" spans="1:12" ht="12.75">
      <c r="A15" s="3606"/>
      <c r="B15" s="3593"/>
      <c r="C15" s="3610"/>
      <c r="D15" s="3629"/>
      <c r="E15" s="131" t="s">
        <v>1283</v>
      </c>
      <c r="F15" s="1755"/>
      <c r="G15" s="1755"/>
      <c r="H15" s="1755"/>
      <c r="I15" s="1371"/>
    </row>
    <row r="16" spans="1:12" ht="12.75">
      <c r="A16" s="3606"/>
      <c r="B16" s="3593"/>
      <c r="C16" s="3611"/>
      <c r="D16" s="3629"/>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16" t="s">
        <v>2128</v>
      </c>
      <c r="F18" s="3617"/>
      <c r="G18" s="3617"/>
      <c r="H18" s="3617"/>
      <c r="I18" s="3617"/>
      <c r="K18" s="302" t="s">
        <v>1289</v>
      </c>
      <c r="L18" s="302">
        <f>IF(C1="",'数据-汇总表'!E3,SUMIF(项目类型,C1,'数据-汇总表'!E17:E26)+SUMIF(项目类型,C1,'数据-汇总表'!I17:I26))</f>
        <v>279.52999999999997</v>
      </c>
      <c r="M18" s="302">
        <f>IF(C1="",'数据-汇总表'!E3,SUMIF(项目类型,C1,'数据-汇总表'!E17:E26))</f>
        <v>279.52999999999997</v>
      </c>
    </row>
    <row r="19" spans="1:36" ht="15">
      <c r="A19" s="1759" t="s">
        <v>1290</v>
      </c>
      <c r="B19" s="1760" t="s">
        <v>1291</v>
      </c>
      <c r="C19" s="134">
        <f ca="1">SUMIF(INDIRECT("'"&amp;C4&amp;"'"&amp;"!A:A"),结果表!B19,INDIRECT("'"&amp;C4&amp;"'"&amp;"!B:B"))</f>
        <v>954.98630000000003</v>
      </c>
      <c r="D19" s="135">
        <f ca="1">SUMIF(INDIRECT("'"&amp;D4&amp;"'"&amp;"!A:A"),结果表!B19,INDIRECT("'"&amp;D4&amp;"'"&amp;"!B:B"))</f>
        <v>676.54070000000002</v>
      </c>
      <c r="E19" s="1759" t="s">
        <v>1292</v>
      </c>
      <c r="F19" s="1760" t="s">
        <v>1291</v>
      </c>
      <c r="G19" s="136">
        <f ca="1">ROUND(C19*$C$18+D19*$D$18,0)</f>
        <v>844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34164</v>
      </c>
      <c r="D20" s="138">
        <f ca="1">SUMIF(INDIRECT("'"&amp;D4&amp;"'"&amp;"!A:A"),结果表!B20,INDIRECT("'"&amp;D4&amp;"'"&amp;"!B:B"))</f>
        <v>24203</v>
      </c>
      <c r="E20" s="1762"/>
      <c r="F20" s="1024" t="s">
        <v>1295</v>
      </c>
      <c r="G20" s="139">
        <f ca="1">ROUND(C20*$C$18+D20*$D$18,0)</f>
        <v>30180</v>
      </c>
      <c r="H20" s="806" t="s">
        <v>1296</v>
      </c>
      <c r="I20" s="129"/>
      <c r="J20" s="723">
        <v>29000</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0.4115725779690711</v>
      </c>
      <c r="E22" s="129"/>
      <c r="F22" s="129"/>
      <c r="G22" s="129"/>
      <c r="H22" s="129"/>
      <c r="I22" s="129"/>
    </row>
    <row r="23" spans="1:36" ht="13.5" thickBot="1">
      <c r="A23" s="1745"/>
      <c r="B23" s="1745"/>
      <c r="C23" s="1745"/>
      <c r="D23" s="1745"/>
      <c r="E23" s="129"/>
      <c r="F23" s="129"/>
      <c r="G23" s="129"/>
      <c r="H23" s="129"/>
      <c r="I23" s="129"/>
    </row>
    <row r="24" spans="1:36" ht="14.25">
      <c r="A24" s="3600" t="s">
        <v>1299</v>
      </c>
      <c r="B24" s="1760" t="s">
        <v>1291</v>
      </c>
      <c r="C24" s="136">
        <f>IF(B30=0,0,D30)</f>
        <v>0</v>
      </c>
      <c r="D24" s="1767"/>
      <c r="E24" s="129"/>
      <c r="F24" s="129"/>
      <c r="G24" s="129"/>
      <c r="H24" s="129"/>
      <c r="I24" s="129"/>
    </row>
    <row r="25" spans="1:36" ht="14.25">
      <c r="A25" s="360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30180</v>
      </c>
      <c r="D32" s="1773" t="s">
        <v>3466</v>
      </c>
      <c r="E32" s="129"/>
      <c r="F32" s="129"/>
      <c r="G32" s="129"/>
      <c r="H32" s="129"/>
      <c r="I32" s="129"/>
    </row>
    <row r="33" spans="1:15" ht="15">
      <c r="A33" s="784" t="s">
        <v>1306</v>
      </c>
      <c r="B33" s="1774"/>
      <c r="C33" s="1775" t="s">
        <v>3465</v>
      </c>
      <c r="D33" s="1776" t="s">
        <v>3422</v>
      </c>
      <c r="E33" s="1777" t="s">
        <v>1307</v>
      </c>
      <c r="F33" s="1778" t="str">
        <f>IF(D32="楼面单价","取值（单价）","取值（总价）")</f>
        <v>取值（单价）</v>
      </c>
      <c r="G33" s="129"/>
      <c r="H33" s="129"/>
      <c r="I33" s="129"/>
    </row>
    <row r="34" spans="1:15" ht="15">
      <c r="A34" s="1779"/>
      <c r="B34" s="1780" t="s">
        <v>1308</v>
      </c>
      <c r="C34" s="148">
        <f ca="1">IF(C33="自定义",F34,C32-C35)</f>
        <v>22333</v>
      </c>
      <c r="D34" s="859">
        <f ca="1">IF(C33="自定义",ROUND(C34/C32,3),IF(C33="收益比率",SUMIF(INDIRECT("'"&amp;D33&amp;"'"&amp;"!b:b"),"土地收益比率",INDIRECT("'"&amp;D33&amp;"'"&amp;"!c:c")),SUMIF(INDIRECT("'"&amp;D33&amp;"'"&amp;"!b:b"),"土地成本比率",INDIRECT("'"&amp;D33&amp;"'"&amp;"!c:c"))))</f>
        <v>0.74</v>
      </c>
      <c r="E34" s="1781" t="s">
        <v>1309</v>
      </c>
      <c r="F34" s="1328"/>
      <c r="G34" s="129"/>
      <c r="H34" s="129"/>
      <c r="I34" s="129"/>
    </row>
    <row r="35" spans="1:15" ht="15.75" thickBot="1">
      <c r="A35" s="1782"/>
      <c r="B35" s="1783" t="s">
        <v>1310</v>
      </c>
      <c r="C35" s="1168">
        <f ca="1">IF(C33="自定义",F35,ROUND(C32*D35,0))</f>
        <v>7847</v>
      </c>
      <c r="D35" s="1169">
        <f ca="1">IF(C33="自定义",ROUND(C35/C32,3),IF(C33="收益比率",SUMIF(INDIRECT("'"&amp;D33&amp;"'"&amp;"!b:b"),"建筑物收益比率",INDIRECT("'"&amp;D33&amp;"'"&amp;"!c:c")),SUMIF(INDIRECT("'"&amp;D33&amp;"'"&amp;"!b:b"),"建筑物成本比率",INDIRECT("'"&amp;D33&amp;"'"&amp;"!c:c"))))</f>
        <v>0.26</v>
      </c>
      <c r="E35" s="1784" t="s">
        <v>1311</v>
      </c>
      <c r="F35" s="154"/>
      <c r="G35" s="129"/>
      <c r="H35" s="129"/>
      <c r="I35" s="129"/>
    </row>
    <row r="36" spans="1:15" ht="15.75" thickBot="1">
      <c r="A36" s="3620" t="s">
        <v>1312</v>
      </c>
      <c r="B36" s="1785" t="s">
        <v>1313</v>
      </c>
      <c r="C36" s="145"/>
      <c r="D36" s="1786"/>
      <c r="E36" s="1787"/>
      <c r="F36" s="1788"/>
      <c r="G36" s="129"/>
      <c r="H36" s="129"/>
      <c r="I36" s="129"/>
    </row>
    <row r="37" spans="1:15" ht="15.75" thickBot="1">
      <c r="A37" s="3621"/>
      <c r="B37" s="1672" t="s">
        <v>1314</v>
      </c>
      <c r="C37" s="147"/>
      <c r="D37" s="1137"/>
      <c r="E37" s="1137"/>
      <c r="F37" s="1788"/>
      <c r="G37" s="129"/>
      <c r="H37" s="129"/>
      <c r="I37" s="129"/>
    </row>
    <row r="38" spans="1:15" ht="15.75" thickBot="1">
      <c r="A38" s="362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97" t="s">
        <v>1326</v>
      </c>
      <c r="B45" s="3598"/>
      <c r="C45" s="3599"/>
      <c r="D45" s="155">
        <f ca="1">ROUND(H101*F45,0)</f>
        <v>844</v>
      </c>
      <c r="E45" s="156" t="s">
        <v>1327</v>
      </c>
      <c r="F45" s="157">
        <v>1</v>
      </c>
      <c r="G45" s="158" t="s">
        <v>1328</v>
      </c>
      <c r="H45" s="129"/>
      <c r="I45" s="129"/>
      <c r="J45" s="3675" t="s">
        <v>1329</v>
      </c>
      <c r="K45" s="3675"/>
      <c r="L45" s="3675"/>
      <c r="M45" s="3675"/>
      <c r="N45" s="3675"/>
      <c r="O45" s="3675"/>
    </row>
    <row r="46" spans="1:15" ht="14.25" customHeight="1">
      <c r="A46" s="3594" t="s">
        <v>1330</v>
      </c>
      <c r="B46" s="3595"/>
      <c r="C46" s="3595"/>
      <c r="D46" s="3595"/>
      <c r="E46" s="3595"/>
      <c r="F46" s="3595"/>
      <c r="G46" s="3596"/>
      <c r="H46" s="1804"/>
      <c r="I46" s="159"/>
      <c r="J46" s="2521">
        <v>1</v>
      </c>
      <c r="K46" s="3656" t="s">
        <v>1331</v>
      </c>
      <c r="L46" s="3656"/>
      <c r="M46" s="3676"/>
      <c r="N46" s="3676"/>
      <c r="O46" s="3676"/>
    </row>
    <row r="47" spans="1:15" ht="12" customHeight="1">
      <c r="A47" s="160" t="s">
        <v>1332</v>
      </c>
      <c r="B47" s="161"/>
      <c r="C47" s="162"/>
      <c r="D47" s="1085" t="s">
        <v>1333</v>
      </c>
      <c r="E47" s="302" t="s">
        <v>1334</v>
      </c>
      <c r="F47" s="163" t="s">
        <v>1335</v>
      </c>
      <c r="G47" s="2544" t="s">
        <v>1336</v>
      </c>
      <c r="H47" s="2545"/>
      <c r="I47" s="159"/>
      <c r="J47" s="2521">
        <v>2</v>
      </c>
      <c r="K47" s="3656" t="s">
        <v>1337</v>
      </c>
      <c r="L47" s="3656"/>
      <c r="M47" s="3677">
        <f>'数据-取费表'!B2</f>
        <v>45965</v>
      </c>
      <c r="N47" s="3677"/>
      <c r="O47" s="3677"/>
    </row>
    <row r="48" spans="1:15" ht="25.5">
      <c r="A48" s="3625" t="s">
        <v>1338</v>
      </c>
      <c r="B48" s="3608"/>
      <c r="C48" s="360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56" t="s">
        <v>1340</v>
      </c>
      <c r="L48" s="3656"/>
      <c r="M48" s="3678">
        <f ca="1">H101</f>
        <v>844</v>
      </c>
      <c r="N48" s="3678"/>
      <c r="O48" s="3678"/>
    </row>
    <row r="49" spans="1:35" ht="25.5" customHeight="1">
      <c r="A49" s="2331" t="s">
        <v>1341</v>
      </c>
      <c r="B49" s="3592" t="s">
        <v>1342</v>
      </c>
      <c r="C49" s="3592"/>
      <c r="D49" s="1588">
        <v>0</v>
      </c>
      <c r="E49" s="324" t="s">
        <v>1343</v>
      </c>
      <c r="F49" s="2422" t="s">
        <v>28</v>
      </c>
      <c r="G49" s="3662"/>
      <c r="H49" s="2308" t="s">
        <v>2131</v>
      </c>
      <c r="I49" s="2309"/>
      <c r="J49" s="2521">
        <v>4</v>
      </c>
      <c r="K49" s="3656" t="str">
        <f>IF(项目基本情况!E8="房地产抵押价值","房地产抵押价值","抵押担保权已注销时的房地产抵押价值")</f>
        <v>房地产抵押价值</v>
      </c>
      <c r="L49" s="3656"/>
      <c r="M49" s="3678">
        <f ca="1">IF(项目基本情况!E8="房地产抵押价值",H107,H109)</f>
        <v>844</v>
      </c>
      <c r="N49" s="3678"/>
      <c r="O49" s="3678"/>
    </row>
    <row r="50" spans="1:35" ht="25.5" customHeight="1">
      <c r="A50" s="2549"/>
      <c r="B50" s="3592" t="s">
        <v>1344</v>
      </c>
      <c r="C50" s="3592"/>
      <c r="D50" s="2550"/>
      <c r="E50" s="332"/>
      <c r="F50" s="2422"/>
      <c r="G50" s="3663"/>
      <c r="H50" s="2310" t="s">
        <v>2132</v>
      </c>
      <c r="I50" s="2309"/>
      <c r="J50" s="3675" t="s">
        <v>1345</v>
      </c>
      <c r="K50" s="3675"/>
      <c r="L50" s="3675"/>
      <c r="M50" s="3675"/>
      <c r="N50" s="3675"/>
      <c r="O50" s="3675"/>
    </row>
    <row r="51" spans="1:35" ht="20.45" customHeight="1">
      <c r="A51" s="2551"/>
      <c r="B51" s="3592" t="s">
        <v>1346</v>
      </c>
      <c r="C51" s="3592"/>
      <c r="D51" s="1085"/>
      <c r="E51" s="327"/>
      <c r="F51" s="2422"/>
      <c r="G51" s="3664"/>
      <c r="H51" s="2310" t="s">
        <v>2133</v>
      </c>
      <c r="I51" s="2309"/>
      <c r="J51" s="2522" t="s">
        <v>1347</v>
      </c>
      <c r="K51" s="3656" t="s">
        <v>1348</v>
      </c>
      <c r="L51" s="3656"/>
      <c r="M51" s="2522" t="s">
        <v>1349</v>
      </c>
      <c r="N51" s="2522" t="s">
        <v>1350</v>
      </c>
      <c r="O51" s="2522" t="s">
        <v>1351</v>
      </c>
    </row>
    <row r="52" spans="1:35" ht="24" customHeight="1">
      <c r="A52" s="2333" t="s">
        <v>1352</v>
      </c>
      <c r="B52" s="3592" t="s">
        <v>1353</v>
      </c>
      <c r="C52" s="3592"/>
      <c r="D52" s="1085">
        <f ca="1">ROUND(D45*'数据-取费表'!B41/(1+'数据-取费表'!C42),0)</f>
        <v>45</v>
      </c>
      <c r="E52" s="2332" t="s">
        <v>1354</v>
      </c>
      <c r="F52" s="2552">
        <f>'数据-取费表'!B41</f>
        <v>5.6000000000000001E-2</v>
      </c>
      <c r="G52" s="2553"/>
      <c r="H52" s="2542"/>
      <c r="I52" s="1805"/>
      <c r="J52" s="2521">
        <v>1</v>
      </c>
      <c r="K52" s="3657" t="s">
        <v>1355</v>
      </c>
      <c r="L52" s="3657"/>
      <c r="M52" s="2523" t="b">
        <f>D48</f>
        <v>0</v>
      </c>
      <c r="N52" s="2521" t="str">
        <f>E48</f>
        <v>销售额×税（费）率</v>
      </c>
      <c r="O52" s="2524">
        <f>F48</f>
        <v>5.6000000000000001E-2</v>
      </c>
    </row>
    <row r="53" spans="1:35" ht="12" customHeight="1">
      <c r="A53" s="2333" t="s">
        <v>1356</v>
      </c>
      <c r="B53" s="3618" t="s">
        <v>2288</v>
      </c>
      <c r="C53" s="3619"/>
      <c r="D53" s="1085">
        <f ca="1">ROUND(D45*'数据-取费表'!B41/(1+'数据-取费表'!C42),0)</f>
        <v>45</v>
      </c>
      <c r="E53" s="2332" t="s">
        <v>1354</v>
      </c>
      <c r="F53" s="2552">
        <f>'数据-取费表'!B41</f>
        <v>5.6000000000000001E-2</v>
      </c>
      <c r="G53" s="2553"/>
      <c r="H53" s="2542"/>
      <c r="I53" s="1805"/>
      <c r="J53" s="2521">
        <v>2</v>
      </c>
      <c r="K53" s="3657" t="s">
        <v>1357</v>
      </c>
      <c r="L53" s="3657"/>
      <c r="M53" s="2523">
        <f t="shared" ref="M53:O54" ca="1" si="0">D55</f>
        <v>0</v>
      </c>
      <c r="N53" s="2521" t="str">
        <f t="shared" si="0"/>
        <v>销售额×税（费）率</v>
      </c>
      <c r="O53" s="2524" t="str">
        <f t="shared" si="0"/>
        <v>免征</v>
      </c>
    </row>
    <row r="54" spans="1:35" ht="12" customHeight="1">
      <c r="A54" s="2333" t="s">
        <v>1358</v>
      </c>
      <c r="B54" s="3618" t="s">
        <v>2289</v>
      </c>
      <c r="C54" s="3619"/>
      <c r="D54" s="1085">
        <f ca="1">C68</f>
        <v>45</v>
      </c>
      <c r="E54" s="327" t="s">
        <v>1359</v>
      </c>
      <c r="F54" s="2552">
        <f>'数据-取费表'!B41</f>
        <v>5.6000000000000001E-2</v>
      </c>
      <c r="G54" s="2553"/>
      <c r="H54" s="2554"/>
      <c r="I54" s="1805"/>
      <c r="J54" s="2521">
        <v>3</v>
      </c>
      <c r="K54" s="3657" t="s">
        <v>1360</v>
      </c>
      <c r="L54" s="3657"/>
      <c r="M54" s="2523">
        <f t="shared" ca="1" si="0"/>
        <v>478</v>
      </c>
      <c r="N54" s="2521" t="str">
        <f t="shared" si="0"/>
        <v>增值额×税（费）率</v>
      </c>
      <c r="O54" s="2525" t="str">
        <f t="shared" si="0"/>
        <v>免征</v>
      </c>
    </row>
    <row r="55" spans="1:35" ht="24" customHeight="1">
      <c r="A55" s="3607" t="s">
        <v>1361</v>
      </c>
      <c r="B55" s="3608"/>
      <c r="C55" s="3608"/>
      <c r="D55" s="2322">
        <f ca="1">IF(H55="个人住宅",0,ROUND(D45*I55,0))</f>
        <v>0</v>
      </c>
      <c r="E55" s="2332" t="s">
        <v>1362</v>
      </c>
      <c r="F55" s="2552" t="str">
        <f>IF(H55="正常",I55,"免征")</f>
        <v>免征</v>
      </c>
      <c r="G55" s="2553"/>
      <c r="H55" s="2548"/>
      <c r="I55" s="165">
        <f>'数据-取费表'!B49</f>
        <v>5.0000000000000001E-4</v>
      </c>
      <c r="J55" s="2521">
        <f>IF(H59="非个人房产","",4)</f>
        <v>4</v>
      </c>
      <c r="K55" s="3657" t="str">
        <f>IF(H59="非个人房产","——","个人所得税")</f>
        <v>个人所得税</v>
      </c>
      <c r="L55" s="3657"/>
      <c r="M55" s="2526">
        <f ca="1">D59</f>
        <v>8</v>
      </c>
      <c r="N55" s="2038" t="str">
        <f>E59</f>
        <v>差额计税</v>
      </c>
      <c r="O55" s="2527">
        <f>F59</f>
        <v>0.01</v>
      </c>
    </row>
    <row r="56" spans="1:35" ht="24.75">
      <c r="A56" s="3607" t="s">
        <v>1363</v>
      </c>
      <c r="B56" s="3608"/>
      <c r="C56" s="3608"/>
      <c r="D56" s="2322">
        <f ca="1">IF(H56="个人住宅",D57,D58)</f>
        <v>478</v>
      </c>
      <c r="E56" s="2332" t="s">
        <v>1364</v>
      </c>
      <c r="F56" s="2552" t="str">
        <f>IF(H56="正常",F58,"免征")</f>
        <v>免征</v>
      </c>
      <c r="G56" s="2555" t="s">
        <v>1365</v>
      </c>
      <c r="H56" s="2556"/>
      <c r="I56" s="1806"/>
      <c r="J56" s="2521" t="str">
        <f>IF(项目基本情况!K6="上海银行",IF(J55="",4,J55+1),"")</f>
        <v/>
      </c>
      <c r="K56" s="3680" t="str">
        <f>IF(项目基本情况!K6="上海银行","其他处置费用","")</f>
        <v/>
      </c>
      <c r="L56" s="3681"/>
      <c r="M56" s="2523" t="str">
        <f>IF(项目基本情况!K6="上海银行",M69,"")</f>
        <v/>
      </c>
      <c r="N56" s="3680" t="str">
        <f>IF(项目基本情况!K6="上海银行","包含处置中涉及的律师、诉讼、拍卖、评估等费用","")</f>
        <v/>
      </c>
      <c r="O56" s="3683"/>
    </row>
    <row r="57" spans="1:35" ht="12.75">
      <c r="A57" s="2333" t="s">
        <v>1341</v>
      </c>
      <c r="B57" s="3618" t="s">
        <v>1366</v>
      </c>
      <c r="C57" s="3619"/>
      <c r="D57" s="1588">
        <v>0</v>
      </c>
      <c r="E57" s="324" t="s">
        <v>1343</v>
      </c>
      <c r="F57" s="302"/>
      <c r="G57" s="2553"/>
      <c r="H57" s="2557"/>
      <c r="I57" s="1806"/>
      <c r="J57" s="3657">
        <f>IF(AND(J55="",J56=""),4,IF(项目基本情况!K6="上海银行",结果表!J56+1,结果表!J55+1))</f>
        <v>5</v>
      </c>
      <c r="K57" s="3657" t="s">
        <v>1367</v>
      </c>
      <c r="L57" s="2528" t="s">
        <v>1368</v>
      </c>
      <c r="M57" s="2529"/>
      <c r="N57" s="2530">
        <f ca="1">SUMIF(M52:M56,"&lt;9e307")</f>
        <v>486</v>
      </c>
      <c r="O57" s="2531"/>
      <c r="P57" s="2688">
        <f ca="1">N57/M49</f>
        <v>0.57582938388625593</v>
      </c>
    </row>
    <row r="58" spans="1:35" ht="24.75">
      <c r="A58" s="2333" t="s">
        <v>1352</v>
      </c>
      <c r="B58" s="3618" t="s">
        <v>1369</v>
      </c>
      <c r="C58" s="3592"/>
      <c r="D58" s="2322">
        <f ca="1">IF(H58="转让取得",C81,C97)</f>
        <v>478</v>
      </c>
      <c r="E58" s="2332" t="s">
        <v>1364</v>
      </c>
      <c r="F58" s="302" t="s">
        <v>28</v>
      </c>
      <c r="G58" s="2553"/>
      <c r="H58" s="2556"/>
      <c r="I58" s="1806"/>
      <c r="J58" s="3657"/>
      <c r="K58" s="3657"/>
      <c r="L58" s="2528" t="s">
        <v>1370</v>
      </c>
      <c r="M58" s="2532"/>
      <c r="N58" s="2533" t="str">
        <f ca="1">NUMBERSTRING(INT(N57*10000),2)&amp;"元整"</f>
        <v>肆佰捌拾陆万元整</v>
      </c>
      <c r="O58" s="2534"/>
    </row>
    <row r="59" spans="1:35" ht="24.75" thickBot="1">
      <c r="A59" s="3660" t="s">
        <v>1371</v>
      </c>
      <c r="B59" s="3661"/>
      <c r="C59" s="3661"/>
      <c r="D59" s="2558">
        <f ca="1">IF(H59="非个人房产","——",IF(H59="个人住宅（满五唯一有凭证）",0,IF(H59="个人其他（无凭证）",ROUND(D45/(1+'数据-取费表'!C42)*F59,0),ROUND(C67*F59,0))))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58">
        <f>J57+1</f>
        <v>6</v>
      </c>
      <c r="K59" s="3657" t="s">
        <v>1372</v>
      </c>
      <c r="L59" s="2521" t="s">
        <v>1368</v>
      </c>
      <c r="M59" s="2535"/>
      <c r="N59" s="2536">
        <f ca="1">M49-N57</f>
        <v>358</v>
      </c>
      <c r="O59" s="2537"/>
    </row>
    <row r="60" spans="1:35" ht="12" customHeight="1">
      <c r="A60" s="1807"/>
      <c r="B60" s="1745"/>
      <c r="C60" s="1745"/>
      <c r="D60" s="1745"/>
      <c r="E60" s="1576"/>
      <c r="F60" s="1806"/>
      <c r="G60" s="1806"/>
      <c r="H60" s="1808"/>
      <c r="I60" s="129"/>
      <c r="J60" s="3659"/>
      <c r="K60" s="3657"/>
      <c r="L60" s="2528" t="s">
        <v>1370</v>
      </c>
      <c r="M60" s="2532"/>
      <c r="N60" s="2533" t="str">
        <f ca="1">NUMBERSTRING(INT(N59*10000),2)&amp;"元整"</f>
        <v>叁佰伍拾捌万元整</v>
      </c>
      <c r="O60" s="2534"/>
    </row>
    <row r="61" spans="1:35" ht="13.5" thickBot="1">
      <c r="A61" s="3605" t="s">
        <v>1373</v>
      </c>
      <c r="B61" s="3605"/>
      <c r="C61" s="3605"/>
      <c r="D61" s="3605"/>
      <c r="E61" s="3605"/>
      <c r="F61" s="1806"/>
      <c r="G61" s="1806"/>
      <c r="H61" s="1808"/>
      <c r="I61" s="129"/>
      <c r="J61" s="2521">
        <f>J59+1</f>
        <v>7</v>
      </c>
      <c r="K61" s="3657" t="s">
        <v>1374</v>
      </c>
      <c r="L61" s="3657"/>
      <c r="M61" s="2538"/>
      <c r="N61" s="2539">
        <f ca="1">ROUND(N59*10000/'数据-汇总表'!E3,0)</f>
        <v>12807</v>
      </c>
      <c r="O61" s="2540"/>
    </row>
    <row r="62" spans="1:35" ht="12.75">
      <c r="A62" s="3623" t="s">
        <v>1375</v>
      </c>
      <c r="B62" s="3624"/>
      <c r="C62" s="2019"/>
      <c r="D62" s="2019" t="s">
        <v>1376</v>
      </c>
      <c r="E62" s="166" t="s">
        <v>1377</v>
      </c>
      <c r="F62" s="1806"/>
      <c r="G62" s="1806"/>
      <c r="H62" s="1808"/>
      <c r="I62" s="129"/>
    </row>
    <row r="63" spans="1:35" ht="12.75">
      <c r="A63" s="173" t="s">
        <v>330</v>
      </c>
      <c r="B63" s="167" t="s">
        <v>1378</v>
      </c>
      <c r="C63" s="2562">
        <f ca="1">ROUND((C64+C65)/(1+'数据-取费表'!C42),0)</f>
        <v>804</v>
      </c>
      <c r="D63" s="167"/>
      <c r="E63" s="168"/>
      <c r="F63" s="1806"/>
      <c r="G63" s="1806"/>
      <c r="H63" s="1808"/>
      <c r="I63" s="129"/>
      <c r="J63" s="3682" t="s">
        <v>1379</v>
      </c>
      <c r="K63" s="1330" t="s">
        <v>1380</v>
      </c>
      <c r="L63" s="1330">
        <f ca="1">IF(M49&gt;10000,M49*0.5%,IF(AND(M49&gt;1000,M49&lt;=10000),M49*1%,IF(AND(M49&gt;100,M49&lt;=1000),M49*3%,IF(AND(M49&gt;10,M49&lt;=100),M49*5%,M49*8%))))</f>
        <v>25.32</v>
      </c>
      <c r="M63" s="302">
        <f ca="1">ROUND(L63,1)</f>
        <v>25.3</v>
      </c>
      <c r="N63" s="2541"/>
      <c r="Z63" s="1750"/>
      <c r="AI63" s="1751"/>
    </row>
    <row r="64" spans="1:35" ht="14.25" customHeight="1">
      <c r="A64" s="169" t="s">
        <v>325</v>
      </c>
      <c r="B64" s="170" t="s">
        <v>1381</v>
      </c>
      <c r="C64" s="2563">
        <f ca="1">D45</f>
        <v>844</v>
      </c>
      <c r="D64" s="170" t="s">
        <v>26</v>
      </c>
      <c r="E64" s="172"/>
      <c r="F64" s="1806"/>
      <c r="G64" s="1806"/>
      <c r="H64" s="1808"/>
      <c r="I64" s="129"/>
      <c r="J64" s="3682"/>
      <c r="K64" s="1330" t="s">
        <v>1382</v>
      </c>
      <c r="L64" s="1330">
        <f ca="1">IF(M49&gt;2000,M49*0.5%,IF(AND(M49&gt;1000,M49&lt;=2000),M49*0.6%,IF(AND(M49&gt;500,M49&lt;=1000),M49*0.7%,IF(AND(M49&gt;200,M49&lt;=500),M49*0.8%,IF(AND(M49&gt;100,M49&lt;=200),M49*0.9%,IF(AND(M49&gt;50,M49&lt;=100),M49*1%,IF(AND(M49&gt;20,M49&lt;=50),M49*1.5%,IF(AND(M49&gt;10,M49&lt;=20),M49*2%,IF(AND(M49&gt;1,M49&lt;=10),M49*2.5%)))))))))</f>
        <v>5.9079999999999995</v>
      </c>
      <c r="M64" s="302">
        <f t="shared" ref="M64:M65" ca="1" si="1">ROUND(L64,1)</f>
        <v>5.9</v>
      </c>
      <c r="N64" s="2542" t="s">
        <v>1383</v>
      </c>
      <c r="Z64" s="1750"/>
      <c r="AI64" s="1751"/>
    </row>
    <row r="65" spans="1:35" ht="14.25" customHeight="1">
      <c r="A65" s="169" t="s">
        <v>326</v>
      </c>
      <c r="B65" s="170" t="s">
        <v>1384</v>
      </c>
      <c r="C65" s="2564"/>
      <c r="D65" s="170"/>
      <c r="E65" s="172"/>
      <c r="F65" s="1806"/>
      <c r="G65" s="1806"/>
      <c r="H65" s="1808"/>
      <c r="I65" s="129"/>
      <c r="J65" s="3682"/>
      <c r="K65" s="1330" t="s">
        <v>1385</v>
      </c>
      <c r="L65" s="1330">
        <f ca="1">IF(M49&gt;1000,M49*0.1%,IF(AND(M49&gt;500,M49&lt;=1000),M49*0.5%,IF(AND(M49&gt;50,M49&lt;=500),M49*1%,IF(AND(M49&gt;1,M49&lt;=50),M49*1.5%))))</f>
        <v>4.22</v>
      </c>
      <c r="M65" s="302">
        <f t="shared" ca="1" si="1"/>
        <v>4.2</v>
      </c>
      <c r="N65" s="2542" t="s">
        <v>1383</v>
      </c>
      <c r="Z65" s="1750"/>
      <c r="AI65" s="1751"/>
    </row>
    <row r="66" spans="1:35" ht="14.25" customHeight="1">
      <c r="A66" s="173" t="s">
        <v>327</v>
      </c>
      <c r="B66" s="174" t="s">
        <v>1386</v>
      </c>
      <c r="C66" s="2565"/>
      <c r="D66" s="174" t="s">
        <v>26</v>
      </c>
      <c r="E66" s="1336" t="s">
        <v>671</v>
      </c>
      <c r="F66" s="1806"/>
      <c r="G66" s="1806"/>
      <c r="H66" s="1808"/>
      <c r="I66" s="129"/>
      <c r="J66" s="3682"/>
      <c r="K66" s="1330" t="s">
        <v>1387</v>
      </c>
      <c r="L66" s="1330">
        <f ca="1">M49*0.5%</f>
        <v>4.22</v>
      </c>
      <c r="M66" s="302">
        <f ca="1">IF(L66&gt;0.5,0.5,ROUND(L66,0))</f>
        <v>0.5</v>
      </c>
      <c r="N66" s="2542" t="s">
        <v>1388</v>
      </c>
      <c r="Z66" s="1750"/>
      <c r="AI66" s="1751"/>
    </row>
    <row r="67" spans="1:35" ht="14.25" customHeight="1">
      <c r="A67" s="173" t="s">
        <v>328</v>
      </c>
      <c r="B67" s="174" t="s">
        <v>1389</v>
      </c>
      <c r="C67" s="2566">
        <f ca="1">C63-C66</f>
        <v>804</v>
      </c>
      <c r="D67" s="170" t="s">
        <v>26</v>
      </c>
      <c r="E67" s="172"/>
      <c r="F67" s="1806"/>
      <c r="G67" s="1806"/>
      <c r="H67" s="1808"/>
      <c r="I67" s="129"/>
      <c r="J67" s="3682"/>
      <c r="K67" s="1330" t="s">
        <v>1390</v>
      </c>
      <c r="L67" s="1330">
        <f ca="1">IF(M49&gt;=10000,(8.25+(M49-10000)*0.01%),IF(AND(M49&gt;=8000,M49&lt;10000),(7.85+(M49-8000)*0.02%),IF(AND(M49&gt;=5000,M49&lt;8000),(6.65+(M49-5000)*0.04%),IF(AND(M49&gt;=2000,M49&lt;5000),(4.25+(PM49-2000)*0.08%),IF(AND(M49&gt;=1000,M49&lt;2000),(2.75+(M49-1000)*0.15%),IF(AND(M49&gt;=100,M49&lt;1000),(0.5+(M49-100)*0.25%),IF(AND(M49&gt;0,M49&lt;100),M49*0.5%)))))))</f>
        <v>2.3600000000000003</v>
      </c>
      <c r="M67" s="302">
        <f ca="1">ROUND(L67*0.9,1)</f>
        <v>2.1</v>
      </c>
      <c r="N67" s="2541"/>
      <c r="Z67" s="1750"/>
      <c r="AI67" s="1751"/>
    </row>
    <row r="68" spans="1:35" ht="14.25" customHeight="1" thickBot="1">
      <c r="A68" s="176" t="s">
        <v>329</v>
      </c>
      <c r="B68" s="177" t="s">
        <v>1391</v>
      </c>
      <c r="C68" s="2567">
        <f ca="1">IF(C67&lt;=0,0,ROUND(C67*D68,0))</f>
        <v>45</v>
      </c>
      <c r="D68" s="2568">
        <f>'数据-取费表'!B41</f>
        <v>5.6000000000000001E-2</v>
      </c>
      <c r="E68" s="178"/>
      <c r="F68" s="1806"/>
      <c r="G68" s="1806"/>
      <c r="H68" s="1808"/>
      <c r="I68" s="129"/>
      <c r="J68" s="3682"/>
      <c r="K68" s="1330" t="s">
        <v>1392</v>
      </c>
      <c r="L68" s="1330">
        <f ca="1">IF(M49&gt;10000,M49*0.5%,IF(AND(M49&gt;5000,M49&lt;=10000),M49*1%,IF(AND(M49&gt;1000,M49&lt;=5000),M49*2%,IF(AND(M49&gt;200,M49&lt;=1000),M49*3%,M49*5%))))</f>
        <v>25.32</v>
      </c>
      <c r="M68" s="302">
        <f ca="1">ROUND(L68,1)</f>
        <v>25.3</v>
      </c>
      <c r="N68" s="2541"/>
      <c r="Z68" s="1750"/>
      <c r="AI68" s="1751"/>
    </row>
    <row r="69" spans="1:35" s="1770" customFormat="1" ht="16.5" customHeight="1">
      <c r="A69" s="1809"/>
      <c r="B69" s="1810"/>
      <c r="C69" s="1811"/>
      <c r="D69" s="1812"/>
      <c r="E69" s="1813"/>
      <c r="F69" s="1576"/>
      <c r="G69" s="1576"/>
      <c r="H69" s="1575"/>
      <c r="I69" s="1745"/>
      <c r="J69" s="3682"/>
      <c r="K69" s="1330" t="s">
        <v>1393</v>
      </c>
      <c r="L69" s="1330"/>
      <c r="M69" s="302">
        <f ca="1">ROUND(SUM(M63:M68),0)</f>
        <v>63</v>
      </c>
      <c r="N69" s="2543">
        <f ca="1">M69/M49</f>
        <v>7.4644549763033169E-2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44" t="s">
        <v>1394</v>
      </c>
      <c r="B70" s="3645"/>
      <c r="C70" s="3645"/>
      <c r="D70" s="3645"/>
      <c r="E70" s="3645"/>
      <c r="F70" s="3645"/>
      <c r="G70" s="3645"/>
      <c r="H70" s="364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3" t="s">
        <v>1375</v>
      </c>
      <c r="B71" s="362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804</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18" t="s">
        <v>1402</v>
      </c>
      <c r="F76" s="3592"/>
      <c r="G76" s="3592"/>
      <c r="H76" s="364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v>
      </c>
      <c r="D78" s="2575">
        <f>'数据-取费表'!B43</f>
        <v>6.000000000000001E-3</v>
      </c>
      <c r="E78" s="3602" t="s">
        <v>1406</v>
      </c>
      <c r="F78" s="3603"/>
      <c r="G78" s="3603"/>
      <c r="H78" s="361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799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159.80000000000001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4" t="s">
        <v>1410</v>
      </c>
      <c r="B83" s="3645"/>
      <c r="C83" s="3645"/>
      <c r="D83" s="3645"/>
      <c r="E83" s="3645"/>
      <c r="F83" s="3645"/>
      <c r="G83" s="3645"/>
      <c r="H83" s="364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3" t="s">
        <v>1375</v>
      </c>
      <c r="B84" s="362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804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84" t="s">
        <v>2126</v>
      </c>
      <c r="H90" s="3685"/>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02" t="s">
        <v>1419</v>
      </c>
      <c r="F91" s="3603"/>
      <c r="G91" s="360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02" t="s">
        <v>1422</v>
      </c>
      <c r="F92" s="3603"/>
      <c r="G92" s="3603"/>
      <c r="H92" s="3612"/>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v>
      </c>
      <c r="D93" s="2575">
        <f>'数据-取费表'!B43</f>
        <v>6.000000000000001E-3</v>
      </c>
      <c r="E93" s="3602" t="s">
        <v>1406</v>
      </c>
      <c r="F93" s="3603"/>
      <c r="G93" s="3603"/>
      <c r="H93" s="361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13" t="s">
        <v>1426</v>
      </c>
      <c r="F94" s="3614"/>
      <c r="G94" s="3614"/>
      <c r="H94" s="361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799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159.80000000000001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86" t="s">
        <v>1428</v>
      </c>
      <c r="B100" s="3587"/>
      <c r="C100" s="3587"/>
      <c r="D100" s="3604"/>
      <c r="E100" s="3587" t="s">
        <v>1429</v>
      </c>
      <c r="F100" s="3587"/>
      <c r="G100" s="3587"/>
      <c r="H100" s="3604"/>
      <c r="I100" s="129"/>
    </row>
    <row r="101" spans="1:35" ht="18.75" customHeight="1">
      <c r="A101" s="3665" t="s">
        <v>1430</v>
      </c>
      <c r="B101" s="3666"/>
      <c r="C101" s="2583" t="str">
        <f>C4</f>
        <v>比较法-办公</v>
      </c>
      <c r="D101" s="2584" t="str">
        <f>D4</f>
        <v>收益法 (元)</v>
      </c>
      <c r="E101" s="3679" t="s">
        <v>1431</v>
      </c>
      <c r="F101" s="3636"/>
      <c r="G101" s="1825" t="s">
        <v>1432</v>
      </c>
      <c r="H101" s="2593">
        <f ca="1">H118</f>
        <v>844</v>
      </c>
      <c r="I101" s="129"/>
    </row>
    <row r="102" spans="1:35" ht="18.75" customHeight="1">
      <c r="A102" s="3638" t="s">
        <v>1433</v>
      </c>
      <c r="B102" s="2582" t="s">
        <v>1432</v>
      </c>
      <c r="C102" s="2583">
        <f ca="1">IF(D32="楼面单价",ROUND(C19,0),C19)</f>
        <v>955</v>
      </c>
      <c r="D102" s="2584">
        <f ca="1">IF(D32="楼面单价",ROUND(D19,0),D19)</f>
        <v>677</v>
      </c>
      <c r="E102" s="3679"/>
      <c r="F102" s="3636"/>
      <c r="G102" s="1825" t="s">
        <v>1434</v>
      </c>
      <c r="H102" s="2553">
        <f ca="1">I118</f>
        <v>30180</v>
      </c>
      <c r="I102" s="129"/>
    </row>
    <row r="103" spans="1:35" ht="42.75" customHeight="1">
      <c r="A103" s="3638"/>
      <c r="B103" s="2582" t="s">
        <v>1434</v>
      </c>
      <c r="C103" s="2585">
        <f ca="1">C20</f>
        <v>34164</v>
      </c>
      <c r="D103" s="2586">
        <f ca="1">D20</f>
        <v>24203</v>
      </c>
      <c r="E103" s="3673" t="s">
        <v>1435</v>
      </c>
      <c r="F103" s="3674"/>
      <c r="G103" s="1826" t="s">
        <v>1436</v>
      </c>
      <c r="H103" s="2593">
        <f>IF(D36="正常操作",H104+H105+H106,H105+H106)</f>
        <v>0</v>
      </c>
      <c r="I103" s="129"/>
    </row>
    <row r="104" spans="1:35" ht="18.75" customHeight="1">
      <c r="A104" s="3638" t="s">
        <v>1437</v>
      </c>
      <c r="B104" s="2587" t="s">
        <v>1432</v>
      </c>
      <c r="C104" s="2588">
        <f ca="1">H118</f>
        <v>844</v>
      </c>
      <c r="D104" s="2589"/>
      <c r="E104" s="1672" t="s">
        <v>1438</v>
      </c>
      <c r="F104" s="1664"/>
      <c r="G104" s="1826" t="s">
        <v>1436</v>
      </c>
      <c r="H104" s="2594">
        <f>IF(D36="同一抵押权人同一抵押物续贷",C36&amp;"（续贷，未扣减，详见特别提示）",C36)</f>
        <v>0</v>
      </c>
      <c r="I104" s="129"/>
    </row>
    <row r="105" spans="1:35" ht="18.75" customHeight="1" thickBot="1">
      <c r="A105" s="3639"/>
      <c r="B105" s="2590" t="s">
        <v>1434</v>
      </c>
      <c r="C105" s="2591">
        <f ca="1">I118</f>
        <v>30180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35" t="str">
        <f>IF(项目基本情况!E8="已注销","——","3.房地产抵押价值")</f>
        <v>3.房地产抵押价值</v>
      </c>
      <c r="F107" s="3636"/>
      <c r="G107" s="1825" t="s">
        <v>1432</v>
      </c>
      <c r="H107" s="2593">
        <f ca="1">IF(E107="——","——",H101-H103)</f>
        <v>844</v>
      </c>
      <c r="I107" s="129"/>
    </row>
    <row r="108" spans="1:35" ht="18.75" customHeight="1">
      <c r="A108" s="129"/>
      <c r="B108" s="129"/>
      <c r="C108" s="129"/>
      <c r="D108" s="129"/>
      <c r="E108" s="3635"/>
      <c r="F108" s="3636"/>
      <c r="G108" s="1825" t="s">
        <v>1434</v>
      </c>
      <c r="H108" s="2553">
        <f ca="1">IF(H107=H101,H102,ROUND(H107*10000/'数据-汇总表'!E3,0))</f>
        <v>30180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5" t="s">
        <v>1432</v>
      </c>
      <c r="H109" s="2596" t="str">
        <f>IF(E109="——","——",H101-H105-H106)</f>
        <v>——</v>
      </c>
      <c r="I109" s="129"/>
    </row>
    <row r="110" spans="1:35" ht="18.75" customHeight="1">
      <c r="A110" s="129"/>
      <c r="B110" s="129"/>
      <c r="C110" s="129"/>
      <c r="D110" s="129"/>
      <c r="E110" s="3635"/>
      <c r="F110" s="3636"/>
      <c r="G110" s="1825" t="s">
        <v>1434</v>
      </c>
      <c r="H110" s="2553"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v>
      </c>
      <c r="F111" s="3637"/>
      <c r="G111" s="1825" t="s">
        <v>1432</v>
      </c>
      <c r="H111" s="2593" t="str">
        <f>IF(E111="——","——",N59)</f>
        <v>——</v>
      </c>
      <c r="I111" s="129"/>
    </row>
    <row r="112" spans="1:35" ht="18.75" customHeight="1" thickBot="1">
      <c r="A112" s="129"/>
      <c r="B112" s="129"/>
      <c r="C112" s="129"/>
      <c r="D112" s="129"/>
      <c r="E112" s="3668"/>
      <c r="F112" s="3669"/>
      <c r="G112" s="1828" t="s">
        <v>1434</v>
      </c>
      <c r="H112" s="2597" t="str">
        <f>IF(E111="——","——",N61)</f>
        <v>——</v>
      </c>
      <c r="I112" s="129"/>
    </row>
    <row r="113" spans="1:27" ht="18.75" customHeight="1">
      <c r="A113" s="129"/>
      <c r="B113" s="129"/>
      <c r="C113" s="129"/>
      <c r="D113" s="129"/>
      <c r="E113" s="3640" t="s">
        <v>1440</v>
      </c>
      <c r="F113" s="3640"/>
      <c r="G113" s="3640"/>
      <c r="H113" s="3640"/>
      <c r="I113" s="129"/>
    </row>
    <row r="114" spans="1:27" ht="3.75" customHeight="1">
      <c r="A114" s="1745"/>
      <c r="B114" s="1745"/>
      <c r="C114" s="1745"/>
      <c r="D114" s="1745"/>
      <c r="E114" s="1807"/>
      <c r="F114" s="1807"/>
      <c r="G114" s="1807"/>
      <c r="H114" s="1807"/>
      <c r="I114" s="1745"/>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7" t="s">
        <v>1449</v>
      </c>
      <c r="E117" s="2327" t="s">
        <v>1450</v>
      </c>
      <c r="F117" s="2327" t="s">
        <v>1449</v>
      </c>
      <c r="G117" s="2327" t="s">
        <v>1451</v>
      </c>
      <c r="H117" s="2327" t="s">
        <v>1449</v>
      </c>
      <c r="I117" s="2327" t="s">
        <v>1451</v>
      </c>
    </row>
    <row r="118" spans="1:27" ht="24.75" customHeight="1">
      <c r="A118" s="2598" t="str">
        <f>项目基本情况!S2</f>
        <v>北京市朝阳区东三环中路39号院23号楼3层0302办公用房房地产</v>
      </c>
      <c r="B118" s="2327">
        <f>M18</f>
        <v>279.52999999999997</v>
      </c>
      <c r="C118" s="2327">
        <f>M19</f>
        <v>0</v>
      </c>
      <c r="D118" s="2327">
        <f ca="1">ROUND(IF(D32="总价",C34,E118*B118/10000),0)</f>
        <v>624</v>
      </c>
      <c r="E118" s="2327">
        <f ca="1">ROUND(IF(C33="自定义",IF(D32="楼面单价",C34,D118*10000/B118),I118-G118),0)</f>
        <v>22333</v>
      </c>
      <c r="F118" s="2327">
        <f ca="1">ROUND(IF(D32="总价",C35,G118*B118/10000),0)</f>
        <v>219</v>
      </c>
      <c r="G118" s="2327">
        <f ca="1">ROUND(IF(D32="楼面单价",C35,F118*10000/B118),0)</f>
        <v>7847</v>
      </c>
      <c r="H118" s="2327">
        <f ca="1">ROUND(IF(D32="总价",C32,I118*B118/10000),0)</f>
        <v>844</v>
      </c>
      <c r="I118" s="2327">
        <f ca="1">ROUND(IF(D32="楼面单价",C32,H118*10000/B118),0)</f>
        <v>30180</v>
      </c>
    </row>
    <row r="119" spans="1:27" ht="18.75" customHeight="1">
      <c r="A119" s="3606" t="s">
        <v>1452</v>
      </c>
      <c r="B119" s="3606"/>
      <c r="C119" s="3606"/>
      <c r="D119" s="3646" t="str">
        <f ca="1">NUMBERSTRING(INT(D118*10000),2)&amp;"元整"</f>
        <v>陆佰贰拾肆万元整</v>
      </c>
      <c r="E119" s="3648"/>
      <c r="F119" s="3646" t="str">
        <f ca="1">NUMBERSTRING(INT(F118*10000),2)&amp;"元整"</f>
        <v>贰佰壹拾玖万元整</v>
      </c>
      <c r="G119" s="3648"/>
      <c r="H119" s="3646" t="str">
        <f ca="1">NUMBERSTRING(INT(H118*10000),2)&amp;"元整"</f>
        <v>捌佰肆拾肆万元整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6" t="s">
        <v>1452</v>
      </c>
      <c r="B121" s="3647"/>
      <c r="C121" s="3648"/>
      <c r="D121" s="3646" t="str">
        <f>IF(D120=0,"零元整",NUMBERSTRING(INT(D120*10000),2)&amp;"元整")</f>
        <v>零元整</v>
      </c>
      <c r="E121" s="3647"/>
      <c r="F121" s="3647"/>
      <c r="G121" s="3647"/>
      <c r="H121" s="3647"/>
      <c r="I121" s="3648"/>
      <c r="AA121" s="723"/>
    </row>
    <row r="122" spans="1:27" ht="18.75" customHeight="1">
      <c r="A122" s="3637" t="str">
        <f>IF(项目基本情况!B9="房地产市场价值","",MID(E107,3,LEN(E107)-2))</f>
        <v>房地产抵押价值</v>
      </c>
      <c r="B122" s="3637"/>
      <c r="C122" s="3637"/>
      <c r="D122" s="3670">
        <f ca="1">H107</f>
        <v>844</v>
      </c>
      <c r="E122" s="3671"/>
      <c r="F122" s="3671"/>
      <c r="G122" s="3671"/>
      <c r="H122" s="3671"/>
      <c r="I122" s="3672"/>
      <c r="AA122" s="723"/>
    </row>
    <row r="123" spans="1:27" ht="18.75" customHeight="1">
      <c r="A123" s="3606" t="s">
        <v>1452</v>
      </c>
      <c r="B123" s="3606"/>
      <c r="C123" s="3606"/>
      <c r="D123" s="3646" t="str">
        <f ca="1">NUMBERSTRING(INT(D122*10000),2)&amp;"元整"</f>
        <v>捌佰肆拾肆万元整</v>
      </c>
      <c r="E123" s="3647"/>
      <c r="F123" s="3647"/>
      <c r="G123" s="3647"/>
      <c r="H123" s="3647"/>
      <c r="I123" s="3648"/>
      <c r="AA123" s="723"/>
    </row>
    <row r="124" spans="1:27" ht="18.75" customHeight="1">
      <c r="A124" s="3637" t="str">
        <f>IF(项目基本情况!B9="房地产市场价值","",MID(E109,3,LEN(E109)-2))</f>
        <v/>
      </c>
      <c r="B124" s="3637"/>
      <c r="C124" s="3637"/>
      <c r="D124" s="3670" t="str">
        <f>H109</f>
        <v>——</v>
      </c>
      <c r="E124" s="3671"/>
      <c r="F124" s="3671"/>
      <c r="G124" s="3671"/>
      <c r="H124" s="3671"/>
      <c r="I124" s="3672"/>
      <c r="AA124" s="723"/>
    </row>
    <row r="125" spans="1:27" ht="18.75" customHeight="1">
      <c r="A125" s="3606" t="s">
        <v>1452</v>
      </c>
      <c r="B125" s="3606"/>
      <c r="C125" s="3606"/>
      <c r="D125" s="3646" t="e">
        <f>NUMBERSTRING(INT(D124*10000),2)&amp;"元整"</f>
        <v>#VALUE!</v>
      </c>
      <c r="E125" s="3647"/>
      <c r="F125" s="3647"/>
      <c r="G125" s="3647"/>
      <c r="H125" s="3647"/>
      <c r="I125" s="3648"/>
      <c r="AA125" s="723"/>
    </row>
    <row r="126" spans="1:27" ht="18.75" customHeight="1">
      <c r="A126" s="3637" t="str">
        <f>IF(项目基本情况!B9="房地产市场价值","",MID(E111,3,LEN(E111)-2))</f>
        <v/>
      </c>
      <c r="B126" s="3637"/>
      <c r="C126" s="3637"/>
      <c r="D126" s="3670" t="str">
        <f>H111</f>
        <v>——</v>
      </c>
      <c r="E126" s="3671"/>
      <c r="F126" s="3671"/>
      <c r="G126" s="3671"/>
      <c r="H126" s="3671"/>
      <c r="I126" s="3672"/>
      <c r="AA126" s="723"/>
    </row>
    <row r="127" spans="1:27" ht="18.75" customHeight="1">
      <c r="A127" s="3606" t="s">
        <v>1452</v>
      </c>
      <c r="B127" s="3606"/>
      <c r="C127" s="3606"/>
      <c r="D127" s="3646" t="e">
        <f>NUMBERSTRING(INT(D126*10000),2)&amp;"元整"</f>
        <v>#VALUE!</v>
      </c>
      <c r="E127" s="3647"/>
      <c r="F127" s="3647"/>
      <c r="G127" s="3647"/>
      <c r="H127" s="3647"/>
      <c r="I127" s="3648"/>
      <c r="AA127" s="723"/>
    </row>
    <row r="128" spans="1:27" ht="21.75" customHeight="1">
      <c r="A128" s="3653" t="s">
        <v>1453</v>
      </c>
      <c r="B128" s="3653"/>
      <c r="C128" s="3653"/>
      <c r="D128" s="3653"/>
      <c r="E128" s="3653"/>
      <c r="F128" s="3653"/>
      <c r="G128" s="3653"/>
      <c r="H128" s="3653"/>
      <c r="I128" s="365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3" t="str">
        <f>项目基本情况!B1</f>
        <v>北京市朝阳区东三环中路39号院23号楼3层0302办公用房房地产抵押价值预评估</v>
      </c>
      <c r="C37" s="3503"/>
      <c r="D37" s="3503"/>
      <c r="E37" s="3503"/>
      <c r="F37" s="3503"/>
      <c r="G37" s="3503"/>
      <c r="H37" s="3503"/>
      <c r="I37" s="350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180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6439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6</v>
      </c>
      <c r="D10" s="843">
        <f ca="1">IF(B1="",'数据-汇总表'!E6,IF(INDIRECT("'数据-取费表'!c"&amp;$G$1)="住宅",INDIRECT("'数据-取费表'!s"&amp;$G$1),INDIRECT("'数据-取费表'!k"&amp;$G$1)+INDIRECT("'数据-取费表'!s"&amp;$G$1)))</f>
        <v>279.52999999999997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6</v>
      </c>
      <c r="D19" s="847">
        <f ca="1">D9+D10</f>
        <v>279.52999999999997</v>
      </c>
      <c r="E19" s="211">
        <f>'数据-取费表'!B31</f>
        <v>200</v>
      </c>
      <c r="F19" s="231"/>
      <c r="G19" s="1854"/>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162</v>
      </c>
      <c r="D34" s="217"/>
      <c r="E34" s="220"/>
      <c r="F34" s="257">
        <f ca="1">IF('数据-取费表'!B24=0,1,IF(B1="",'数据-取费表'!N16,INDIRECT("'数据-取费表'!n"&amp;$G$1)))</f>
        <v>1</v>
      </c>
      <c r="G34" s="219" t="s">
        <v>1526</v>
      </c>
    </row>
    <row r="35" spans="1:7" ht="13.5" customHeight="1">
      <c r="A35" s="778" t="s">
        <v>351</v>
      </c>
      <c r="B35" s="215" t="s">
        <v>1527</v>
      </c>
      <c r="C35" s="220">
        <f ca="1">ROUND(C34*F35,0)</f>
        <v>8</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6</v>
      </c>
      <c r="D37" s="217">
        <f ca="1">D19</f>
        <v>279.52999999999997</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86" t="s">
        <v>1544</v>
      </c>
    </row>
    <row r="43" spans="1:7" ht="13.5" customHeight="1">
      <c r="A43" s="778" t="s">
        <v>347</v>
      </c>
      <c r="B43" s="215" t="s">
        <v>1545</v>
      </c>
      <c r="C43" s="238">
        <f ca="1">ROUND(IF('数据-取费表'!B22&lt;=1,C39*F22*'数据-取费表'!B21/2,C39*(POWER((1+F22),'数据-取费表'!B21/2)-1)),0)</f>
        <v>0</v>
      </c>
      <c r="D43" s="238"/>
      <c r="E43" s="238"/>
      <c r="F43" s="239"/>
      <c r="G43" s="3687"/>
    </row>
    <row r="44" spans="1:7" ht="13.5" customHeight="1">
      <c r="A44" s="778" t="s">
        <v>348</v>
      </c>
      <c r="B44" s="215" t="s">
        <v>1546</v>
      </c>
      <c r="C44" s="238">
        <f ca="1">ROUND(IF('数据-取费表'!B22&lt;=1,C40*F22*'数据-取费表'!B21/2,C40*(POWER((1+F22),'数据-取费表'!B21/2)-1)),4)</f>
        <v>5.9999999999999995E-4</v>
      </c>
      <c r="D44" s="238"/>
      <c r="E44" s="238"/>
      <c r="F44" s="239"/>
      <c r="G44" s="3688"/>
    </row>
    <row r="45" spans="1:7" s="214" customFormat="1" ht="13.5" customHeight="1">
      <c r="A45" s="255" t="s">
        <v>1547</v>
      </c>
      <c r="B45" s="244" t="s">
        <v>1513</v>
      </c>
      <c r="C45" s="245">
        <f ca="1">C46</f>
        <v>28</v>
      </c>
      <c r="D45" s="235">
        <f ca="1">C47</f>
        <v>3.0000000000000001E-3</v>
      </c>
      <c r="E45" s="236" t="s">
        <v>1539</v>
      </c>
      <c r="F45" s="246">
        <f ca="1">F27</f>
        <v>0.15</v>
      </c>
      <c r="G45" s="247" t="s">
        <v>1548</v>
      </c>
    </row>
    <row r="46" spans="1:7" s="214" customFormat="1" ht="13.5" customHeight="1">
      <c r="A46" s="778" t="s">
        <v>346</v>
      </c>
      <c r="B46" s="248" t="s">
        <v>1549</v>
      </c>
      <c r="C46" s="249">
        <f ca="1">ROUND((C33+C39)*F27,0)</f>
        <v>28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236</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172</v>
      </c>
      <c r="D51" s="232"/>
      <c r="E51" s="232"/>
      <c r="F51" s="264"/>
      <c r="G51" s="234" t="s">
        <v>1560</v>
      </c>
    </row>
    <row r="52" spans="1:7" s="208" customFormat="1" ht="16.5" thickBot="1">
      <c r="A52" s="265" t="s">
        <v>1561</v>
      </c>
      <c r="B52" s="266"/>
      <c r="C52" s="267">
        <f ca="1">C31+C51</f>
        <v>180</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187.42939999999999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55906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55906</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55906</v>
      </c>
      <c r="D10" s="843">
        <f ca="1">IF(B1="",'数据-汇总表'!E6,IF(INDIRECT("'数据-取费表'!c"&amp;$G$1)="住宅",INDIRECT("'数据-取费表'!s"&amp;$G$1),INDIRECT("'数据-取费表'!k"&amp;$G$1)+INDIRECT("'数据-取费表'!s"&amp;$G$1)))</f>
        <v>279.52999999999997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55906</v>
      </c>
      <c r="D19" s="847">
        <f ca="1">D9+D10</f>
        <v>279.52999999999997</v>
      </c>
      <c r="E19" s="211">
        <f>'数据-取费表'!B31</f>
        <v>200</v>
      </c>
      <c r="F19" s="231"/>
      <c r="G19" s="1854"/>
    </row>
    <row r="20" spans="1:7" s="214" customFormat="1" ht="13.5" customHeight="1">
      <c r="A20" s="255" t="s">
        <v>1574</v>
      </c>
      <c r="B20" s="210" t="s">
        <v>1575</v>
      </c>
      <c r="C20" s="232">
        <f ca="1">ROUND((C5+C19)*F20,0)</f>
        <v>3354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7213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3554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3554</v>
      </c>
      <c r="D24" s="238"/>
      <c r="E24" s="238"/>
      <c r="F24" s="239"/>
      <c r="G24" s="240" t="s">
        <v>1586</v>
      </c>
    </row>
    <row r="25" spans="1:7" s="214" customFormat="1" ht="24">
      <c r="A25" s="778" t="s">
        <v>1476</v>
      </c>
      <c r="B25" s="215" t="s">
        <v>1587</v>
      </c>
      <c r="C25" s="1126">
        <f ca="1">ROUND(IF('数据-取费表'!B22&lt;=1,C20*F22*'数据-取费表'!B22/2,C20*(POWER((1+F22),'数据-取费表'!B22/2)-1)),0)</f>
        <v>105</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17275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17275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151288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1790669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1621274</v>
      </c>
      <c r="D34" s="217"/>
      <c r="E34" s="220"/>
      <c r="F34" s="257"/>
      <c r="G34" s="219"/>
    </row>
    <row r="35" spans="1:7" ht="13.5" customHeight="1">
      <c r="A35" s="778" t="s">
        <v>351</v>
      </c>
      <c r="B35" s="215" t="s">
        <v>1527</v>
      </c>
      <c r="C35" s="220">
        <f ca="1">ROUND(C34*F35,0)</f>
        <v>81064</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55906</v>
      </c>
      <c r="D37" s="217">
        <f ca="1">D19</f>
        <v>279.52999999999997</v>
      </c>
      <c r="E37" s="249">
        <f>'数据-取费表'!B35</f>
        <v>200</v>
      </c>
      <c r="F37" s="259"/>
      <c r="G37" s="261"/>
    </row>
    <row r="38" spans="1:7" ht="13.5" customHeight="1">
      <c r="A38" s="778" t="s">
        <v>354</v>
      </c>
      <c r="B38" s="215" t="s">
        <v>1533</v>
      </c>
      <c r="C38" s="220">
        <f ca="1">ROUND(C34*F38,0)</f>
        <v>32425</v>
      </c>
      <c r="D38" s="220"/>
      <c r="E38" s="220"/>
      <c r="F38" s="259">
        <f>'数据-取费表'!B36</f>
        <v>0.02</v>
      </c>
      <c r="G38" s="219" t="s">
        <v>1528</v>
      </c>
    </row>
    <row r="39" spans="1:7" s="214" customFormat="1" ht="13.5" customHeight="1">
      <c r="A39" s="255" t="s">
        <v>1534</v>
      </c>
      <c r="B39" s="210" t="s">
        <v>1535</v>
      </c>
      <c r="C39" s="232">
        <f ca="1">ROUND(C33*F20,0)</f>
        <v>53720</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57729</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56048</v>
      </c>
      <c r="D42" s="238"/>
      <c r="E42" s="238"/>
      <c r="F42" s="239"/>
      <c r="G42" s="3686" t="s">
        <v>1591</v>
      </c>
    </row>
    <row r="43" spans="1:7" ht="13.5" customHeight="1">
      <c r="A43" s="778" t="s">
        <v>347</v>
      </c>
      <c r="B43" s="215" t="s">
        <v>1545</v>
      </c>
      <c r="C43" s="238">
        <f ca="1">ROUND(IF('数据-取费表'!B22&lt;=1,C39*F22*'数据-取费表'!B20/2,C39*(POWER((1+F22),'数据-取费表'!B20/2)-1)),0)</f>
        <v>1681</v>
      </c>
      <c r="D43" s="238"/>
      <c r="E43" s="238"/>
      <c r="F43" s="239"/>
      <c r="G43" s="3687"/>
    </row>
    <row r="44" spans="1:7" ht="13.5" customHeight="1">
      <c r="A44" s="778" t="s">
        <v>348</v>
      </c>
      <c r="B44" s="215" t="s">
        <v>1546</v>
      </c>
      <c r="C44" s="238">
        <f ca="1">ROUND(IF('数据-取费表'!B22&lt;=1,C40*F22*'数据-取费表'!B20/2,C40*(POWER((1+F22),'数据-取费表'!B20/2)-1)),4)</f>
        <v>5.9999999999999995E-4</v>
      </c>
      <c r="D44" s="238"/>
      <c r="E44" s="238"/>
      <c r="F44" s="239"/>
      <c r="G44" s="3688"/>
    </row>
    <row r="45" spans="1:7" s="214" customFormat="1" ht="13.5" customHeight="1">
      <c r="A45" s="255" t="s">
        <v>1547</v>
      </c>
      <c r="B45" s="244" t="s">
        <v>1513</v>
      </c>
      <c r="C45" s="245">
        <f ca="1">C46</f>
        <v>276658</v>
      </c>
      <c r="D45" s="235">
        <f ca="1">C47</f>
        <v>3.0000000000000001E-3</v>
      </c>
      <c r="E45" s="236" t="s">
        <v>1539</v>
      </c>
      <c r="F45" s="246">
        <f ca="1">F27</f>
        <v>0.15</v>
      </c>
      <c r="G45" s="247" t="s">
        <v>1548</v>
      </c>
    </row>
    <row r="46" spans="1:7" s="214" customFormat="1" ht="13.5" customHeight="1">
      <c r="A46" s="778" t="s">
        <v>346</v>
      </c>
      <c r="B46" s="248" t="s">
        <v>1549</v>
      </c>
      <c r="C46" s="249">
        <f ca="1">ROUND((C33+C39)*F27,0)</f>
        <v>276658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2360282</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1723006</v>
      </c>
      <c r="D51" s="232"/>
      <c r="E51" s="232"/>
      <c r="F51" s="264"/>
      <c r="G51" s="234" t="s">
        <v>1560</v>
      </c>
    </row>
    <row r="52" spans="1:7" s="208" customFormat="1" ht="16.5" thickBot="1">
      <c r="A52" s="265" t="s">
        <v>1561</v>
      </c>
      <c r="B52" s="266"/>
      <c r="C52" s="267">
        <f ca="1">C31+C51</f>
        <v>1874294</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-7</v>
      </c>
      <c r="C2" s="276" t="s">
        <v>1595</v>
      </c>
      <c r="D2" s="276"/>
      <c r="E2" s="2804"/>
      <c r="F2" s="2804"/>
      <c r="G2" s="2804"/>
      <c r="H2" s="2804"/>
      <c r="I2" s="2804"/>
      <c r="J2" s="2804"/>
      <c r="K2" s="2804"/>
    </row>
    <row r="3" spans="1:33" ht="18" customHeight="1" thickBot="1">
      <c r="A3" s="203" t="s">
        <v>1464</v>
      </c>
      <c r="B3" s="204">
        <f ca="1">ROUND(B2*10000/IF(C1="",'数据-汇总表'!E3,INDIRECT("'数据-取费表'!K"&amp;$K$1)),0)</f>
        <v>-250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279.52999999999997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279.52999999999997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6</v>
      </c>
      <c r="D20" s="844">
        <f ca="1">IF(C1="",'数据-汇总表'!E6,IF(INDIRECT("'数据-取费表'!c"&amp;$K$1)="住宅",INDIRECT("'数据-取费表'!s"&amp;$K$1),INDIRECT("'数据-取费表'!k"&amp;$K$1)+INDIRECT("'数据-取费表'!s"&amp;$K$1)))</f>
        <v>279.52999999999997</v>
      </c>
      <c r="E20" s="21">
        <f>'数据-取费表'!B28</f>
        <v>200</v>
      </c>
      <c r="F20" s="802"/>
      <c r="G20" s="12"/>
      <c r="H20" s="807"/>
      <c r="I20" s="807"/>
      <c r="J20" s="807"/>
      <c r="K20" s="808"/>
    </row>
    <row r="21" spans="1:33" s="801" customFormat="1" ht="13.5" customHeight="1">
      <c r="A21" s="788" t="s">
        <v>357</v>
      </c>
      <c r="B21" s="811" t="s">
        <v>1628</v>
      </c>
      <c r="C21" s="812">
        <f ca="1">C16+C17+C18</f>
        <v>6</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91" t="s">
        <v>694</v>
      </c>
      <c r="C6" s="1072">
        <f ca="1">ROUND(F6*F8*F7*(1-F9)/10000,0)</f>
        <v>0</v>
      </c>
      <c r="D6" s="155" t="s">
        <v>2106</v>
      </c>
      <c r="E6" s="302" t="s">
        <v>696</v>
      </c>
      <c r="F6" s="303">
        <f ca="1">INDIRECT("'数据-取费表'!u"&amp;$G$1)</f>
        <v>0</v>
      </c>
      <c r="G6" s="1382"/>
      <c r="H6" s="1067" t="s">
        <v>398</v>
      </c>
      <c r="I6" s="3691" t="s">
        <v>694</v>
      </c>
      <c r="J6" s="301">
        <f ca="1">ROUND(M6*M8*M7*(1-M9)/10000,0)</f>
        <v>0</v>
      </c>
      <c r="K6" s="155" t="s">
        <v>2105</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0</v>
      </c>
      <c r="G7" s="1382"/>
      <c r="H7" s="304"/>
      <c r="I7" s="3692"/>
      <c r="J7" s="306"/>
      <c r="K7" s="307"/>
      <c r="L7" s="302" t="s">
        <v>697</v>
      </c>
      <c r="M7" s="303">
        <f ca="1">F7</f>
        <v>0</v>
      </c>
    </row>
    <row r="8" spans="1:37" ht="18" customHeight="1">
      <c r="A8" s="304"/>
      <c r="B8" s="3692"/>
      <c r="C8" s="306"/>
      <c r="D8" s="307"/>
      <c r="E8" s="302" t="s">
        <v>698</v>
      </c>
      <c r="F8" s="303">
        <f ca="1">INDIRECT("'数据-取费表'!ai"&amp;$G$1)</f>
        <v>0</v>
      </c>
      <c r="G8" s="1382"/>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2303</v>
      </c>
      <c r="I31" s="1396"/>
      <c r="J31" s="1397"/>
      <c r="K31" s="2473"/>
      <c r="L31" s="2696"/>
      <c r="M31" s="2697"/>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IF(项目基本情况!B11="自然人","——",ROUND(F34*F35/10000,2))</f>
        <v>——</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89" t="s">
        <v>837</v>
      </c>
      <c r="L53" s="369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3459</v>
      </c>
      <c r="F1" s="1877" t="s">
        <v>3460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954.98630000000003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34164</v>
      </c>
      <c r="C3" s="354" t="s">
        <v>1768</v>
      </c>
      <c r="D3" s="353">
        <f>IF(D1="",'数据-汇总表'!E3,SUMIF('数据-汇总表'!$C19:$C33,D1,'数据-汇总表'!$E19:$E33))</f>
        <v>279.52999999999997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722" t="s">
        <v>1771</v>
      </c>
      <c r="S4" s="3723"/>
      <c r="T4" s="3722" t="s">
        <v>1772</v>
      </c>
      <c r="U4" s="3723"/>
      <c r="V4" s="3728" t="s">
        <v>1773</v>
      </c>
      <c r="W4" s="3728"/>
      <c r="X4" s="1956"/>
      <c r="Y4" s="3722" t="s">
        <v>1775</v>
      </c>
      <c r="Z4" s="3723"/>
      <c r="AA4" s="3740" t="s">
        <v>1771</v>
      </c>
      <c r="AB4" s="3740" t="s">
        <v>1772</v>
      </c>
      <c r="AC4" s="3709" t="s">
        <v>1773</v>
      </c>
    </row>
    <row r="5" spans="1:29" ht="15">
      <c r="A5" s="358"/>
      <c r="B5" s="359"/>
      <c r="C5" s="3732" t="s">
        <v>3511</v>
      </c>
      <c r="D5" s="3733"/>
      <c r="E5" s="3743" t="s">
        <v>3511</v>
      </c>
      <c r="F5" s="3744"/>
      <c r="G5" s="3732" t="s">
        <v>3511</v>
      </c>
      <c r="H5" s="3733"/>
      <c r="I5" s="3732" t="s">
        <v>3517</v>
      </c>
      <c r="J5" s="3733"/>
      <c r="K5" s="559"/>
      <c r="L5" s="2713"/>
      <c r="M5" s="2714"/>
      <c r="N5" s="2714"/>
      <c r="O5" s="2714"/>
      <c r="P5" s="3718"/>
      <c r="Q5" s="3719"/>
      <c r="R5" s="3724"/>
      <c r="S5" s="3725"/>
      <c r="T5" s="3724"/>
      <c r="U5" s="3725"/>
      <c r="V5" s="3729"/>
      <c r="W5" s="3729"/>
      <c r="X5" s="1353"/>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20"/>
      <c r="Q6" s="3721"/>
      <c r="R6" s="3724"/>
      <c r="S6" s="3725"/>
      <c r="T6" s="3726"/>
      <c r="U6" s="3727"/>
      <c r="V6" s="3729"/>
      <c r="W6" s="3729"/>
      <c r="X6" s="1353"/>
      <c r="Y6" s="3726"/>
      <c r="Z6" s="3727"/>
      <c r="AA6" s="3742"/>
      <c r="AB6" s="3742"/>
      <c r="AC6" s="3711"/>
    </row>
    <row r="7" spans="1:29" s="108" customFormat="1" ht="15.75" thickBot="1">
      <c r="A7" s="362" t="s">
        <v>1679</v>
      </c>
      <c r="B7" s="363"/>
      <c r="C7" s="364">
        <f>'数据-取费表'!B2</f>
        <v>45965</v>
      </c>
      <c r="D7" s="365">
        <v>100</v>
      </c>
      <c r="E7" s="366">
        <f>C7</f>
        <v>45965</v>
      </c>
      <c r="F7" s="367">
        <f>SUMIF(59:59,YEAR(E7)&amp;"-"&amp;MONTH(E7),60:60)</f>
        <v>100</v>
      </c>
      <c r="G7" s="366">
        <f>C7</f>
        <v>45965</v>
      </c>
      <c r="H7" s="365">
        <f>SUMIF(59:59,YEAR(G7)&amp;"-"&amp;MONTH(G7),60:60)</f>
        <v>100</v>
      </c>
      <c r="I7" s="366">
        <f>C7</f>
        <v>45965</v>
      </c>
      <c r="J7" s="365">
        <f>SUMIF(59:59,YEAR(I7)&amp;"-"&amp;MONTH(I7),60:60)</f>
        <v>100</v>
      </c>
      <c r="K7" s="560"/>
      <c r="L7" s="2715"/>
      <c r="M7" s="2716"/>
      <c r="N7" s="2716"/>
      <c r="O7" s="2716"/>
      <c r="P7" s="3734"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103</v>
      </c>
      <c r="G8" s="368" t="s">
        <v>3428</v>
      </c>
      <c r="H8" s="365">
        <f>SUMIF(62:62,G8,63:63)-SUMIF(62:62,C8,63:63)+100</f>
        <v>103</v>
      </c>
      <c r="I8" s="368" t="s">
        <v>3428</v>
      </c>
      <c r="J8" s="365">
        <f>SUMIF(62:62,I8,63:63)-SUMIF(62:62,C8,63:63)+100</f>
        <v>103</v>
      </c>
      <c r="K8" s="560"/>
      <c r="L8" s="2715"/>
      <c r="M8" s="2716"/>
      <c r="N8" s="2716"/>
      <c r="O8" s="2716"/>
      <c r="P8" s="3734" t="s">
        <v>1683</v>
      </c>
      <c r="Q8" s="3735"/>
      <c r="R8" s="699" t="s">
        <v>14</v>
      </c>
      <c r="S8" s="700">
        <f t="shared" si="0"/>
        <v>103</v>
      </c>
      <c r="T8" s="699" t="s">
        <v>14</v>
      </c>
      <c r="U8" s="700">
        <f t="shared" si="1"/>
        <v>103</v>
      </c>
      <c r="V8" s="699" t="s">
        <v>14</v>
      </c>
      <c r="W8" s="700">
        <f t="shared" si="2"/>
        <v>103</v>
      </c>
      <c r="X8" s="701"/>
      <c r="Y8" s="3736" t="s">
        <v>1683</v>
      </c>
      <c r="Z8" s="3735"/>
      <c r="AA8" s="702">
        <f t="shared" ref="AA8:AA47" si="3">D8/F8</f>
        <v>0.970873786407767</v>
      </c>
      <c r="AB8" s="702">
        <f t="shared" ref="AB8:AB47" si="4">D8/H8</f>
        <v>0.970873786407767</v>
      </c>
      <c r="AC8" s="1957">
        <f t="shared" ref="AC8:AC47" si="5">D8/J8</f>
        <v>0.970873786407767</v>
      </c>
    </row>
    <row r="9" spans="1:29" s="108" customFormat="1">
      <c r="A9" s="369" t="s">
        <v>1684</v>
      </c>
      <c r="B9" s="63" t="s">
        <v>1685</v>
      </c>
      <c r="C9" s="3485"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4"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1957">
        <f t="shared" si="5"/>
        <v>1</v>
      </c>
    </row>
    <row r="10" spans="1:29" s="378" customFormat="1" ht="27">
      <c r="A10" s="374"/>
      <c r="B10" s="375" t="s">
        <v>1688</v>
      </c>
      <c r="C10" s="3432" t="str">
        <f>E66</f>
        <v>30（含）-20</v>
      </c>
      <c r="D10" s="127">
        <v>100</v>
      </c>
      <c r="E10" s="3432" t="str">
        <f>C10</f>
        <v>30（含）-20</v>
      </c>
      <c r="F10" s="127">
        <f>SUMIF(66:66,E10,67:67)-SUMIF(66:66,C10,67:67)+100</f>
        <v>100</v>
      </c>
      <c r="G10" s="3433" t="str">
        <f>C10</f>
        <v>30（含）-20</v>
      </c>
      <c r="H10" s="127">
        <f>SUMIF(66:66,G10,67:67)-SUMIF(66:66,C10,67:67)+100</f>
        <v>100</v>
      </c>
      <c r="I10" s="3432" t="str">
        <f>C10</f>
        <v>30（含）-20</v>
      </c>
      <c r="J10" s="127">
        <f>SUMIF(66:66,I10,67:67)-SUMIF(66:66,C10,67:67)+100</f>
        <v>100</v>
      </c>
      <c r="K10" s="560"/>
      <c r="L10" s="2717"/>
      <c r="M10" s="2718"/>
      <c r="N10" s="2718"/>
      <c r="O10" s="2718"/>
      <c r="P10" s="3694"/>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4"/>
      <c r="Q11" s="1341" t="str">
        <f t="shared" si="6"/>
        <v>容积率</v>
      </c>
      <c r="R11" s="699" t="s">
        <v>14</v>
      </c>
      <c r="S11" s="700">
        <f t="shared" si="0"/>
        <v>100</v>
      </c>
      <c r="T11" s="699" t="s">
        <v>14</v>
      </c>
      <c r="U11" s="700">
        <f t="shared" si="1"/>
        <v>100</v>
      </c>
      <c r="V11" s="699" t="s">
        <v>14</v>
      </c>
      <c r="W11" s="700">
        <f t="shared" si="2"/>
        <v>100</v>
      </c>
      <c r="X11" s="701"/>
      <c r="Y11" s="3593"/>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4"/>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4"/>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94"/>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0" t="s">
        <v>1691</v>
      </c>
      <c r="Q15" s="1350" t="str">
        <f t="shared" si="6"/>
        <v>办公集聚程度</v>
      </c>
      <c r="R15" s="703" t="s">
        <v>14</v>
      </c>
      <c r="S15" s="704">
        <f t="shared" si="0"/>
        <v>100</v>
      </c>
      <c r="T15" s="703" t="s">
        <v>14</v>
      </c>
      <c r="U15" s="704">
        <f t="shared" si="1"/>
        <v>100</v>
      </c>
      <c r="V15" s="703" t="s">
        <v>14</v>
      </c>
      <c r="W15" s="704">
        <f t="shared" si="2"/>
        <v>100</v>
      </c>
      <c r="X15" s="1353"/>
      <c r="Y15" s="3702" t="s">
        <v>1691</v>
      </c>
      <c r="Z15" s="1354" t="str">
        <f t="shared" si="7"/>
        <v>办公集聚程度</v>
      </c>
      <c r="AA15" s="1351">
        <f t="shared" si="3"/>
        <v>1</v>
      </c>
      <c r="AB15" s="1351">
        <f t="shared" si="4"/>
        <v>1</v>
      </c>
      <c r="AC15" s="1960">
        <f t="shared" si="5"/>
        <v>1</v>
      </c>
    </row>
    <row r="16" spans="1:29" ht="15">
      <c r="A16" s="379"/>
      <c r="B16" s="577"/>
      <c r="C16" s="1902" t="s">
        <v>3438</v>
      </c>
      <c r="D16" s="399"/>
      <c r="E16" s="1902" t="s">
        <v>3438</v>
      </c>
      <c r="F16" s="399"/>
      <c r="G16" s="1902" t="s">
        <v>3438</v>
      </c>
      <c r="H16" s="401"/>
      <c r="I16" s="1902" t="s">
        <v>3438</v>
      </c>
      <c r="J16" s="399"/>
      <c r="K16" s="564"/>
      <c r="L16" s="2720"/>
      <c r="M16" s="2714"/>
      <c r="N16" s="2714"/>
      <c r="O16" s="2714"/>
      <c r="P16" s="3701"/>
      <c r="Q16" s="1350"/>
      <c r="R16" s="703"/>
      <c r="S16" s="704"/>
      <c r="T16" s="703"/>
      <c r="U16" s="704"/>
      <c r="V16" s="703"/>
      <c r="W16" s="704"/>
      <c r="X16" s="1353"/>
      <c r="Y16" s="3703"/>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1"/>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960">
        <f t="shared" si="5"/>
        <v>1</v>
      </c>
    </row>
    <row r="18" spans="1:29" ht="15">
      <c r="A18" s="379"/>
      <c r="B18" s="579"/>
      <c r="C18" s="1962" t="s">
        <v>3438</v>
      </c>
      <c r="D18" s="401"/>
      <c r="E18" s="1962" t="s">
        <v>3438</v>
      </c>
      <c r="F18" s="401"/>
      <c r="G18" s="1962" t="s">
        <v>3438</v>
      </c>
      <c r="H18" s="399"/>
      <c r="I18" s="1962" t="s">
        <v>3438</v>
      </c>
      <c r="J18" s="399"/>
      <c r="K18" s="564"/>
      <c r="L18" s="2720"/>
      <c r="M18" s="2714"/>
      <c r="N18" s="2714"/>
      <c r="O18" s="2714"/>
      <c r="P18" s="3701"/>
      <c r="Q18" s="1350"/>
      <c r="R18" s="703"/>
      <c r="S18" s="704"/>
      <c r="T18" s="703"/>
      <c r="U18" s="704"/>
      <c r="V18" s="703"/>
      <c r="W18" s="704"/>
      <c r="X18" s="1353"/>
      <c r="Y18" s="3703"/>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1"/>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960">
        <f t="shared" si="5"/>
        <v>1</v>
      </c>
    </row>
    <row r="20" spans="1:29" ht="15">
      <c r="A20" s="379"/>
      <c r="B20" s="579"/>
      <c r="C20" s="1902" t="s">
        <v>3438</v>
      </c>
      <c r="D20" s="399"/>
      <c r="E20" s="1902" t="s">
        <v>3438</v>
      </c>
      <c r="F20" s="399"/>
      <c r="G20" s="1902" t="s">
        <v>3438</v>
      </c>
      <c r="H20" s="399"/>
      <c r="I20" s="1902" t="s">
        <v>3438</v>
      </c>
      <c r="J20" s="399"/>
      <c r="K20" s="564"/>
      <c r="L20" s="2720"/>
      <c r="M20" s="2714"/>
      <c r="N20" s="2714"/>
      <c r="O20" s="2714"/>
      <c r="P20" s="3701"/>
      <c r="Q20" s="1350"/>
      <c r="R20" s="703"/>
      <c r="S20" s="704"/>
      <c r="T20" s="703"/>
      <c r="U20" s="704"/>
      <c r="V20" s="703"/>
      <c r="W20" s="704"/>
      <c r="X20" s="1353"/>
      <c r="Y20" s="3703"/>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1"/>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20"/>
      <c r="M22" s="2714"/>
      <c r="N22" s="2714"/>
      <c r="O22" s="2714"/>
      <c r="P22" s="3701"/>
      <c r="Q22" s="1350"/>
      <c r="R22" s="703"/>
      <c r="S22" s="704"/>
      <c r="T22" s="703"/>
      <c r="U22" s="704"/>
      <c r="V22" s="703"/>
      <c r="W22" s="704"/>
      <c r="X22" s="1353"/>
      <c r="Y22" s="3703"/>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1"/>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960">
        <f t="shared" si="5"/>
        <v>1</v>
      </c>
    </row>
    <row r="24" spans="1:29" ht="15">
      <c r="A24" s="379"/>
      <c r="B24" s="580"/>
      <c r="C24" s="1902" t="s">
        <v>3438</v>
      </c>
      <c r="D24" s="399"/>
      <c r="E24" s="1902" t="s">
        <v>3438</v>
      </c>
      <c r="F24" s="399"/>
      <c r="G24" s="1902" t="s">
        <v>3438</v>
      </c>
      <c r="H24" s="399"/>
      <c r="I24" s="1902" t="s">
        <v>3438</v>
      </c>
      <c r="J24" s="399"/>
      <c r="K24" s="564"/>
      <c r="L24" s="2720"/>
      <c r="M24" s="2714"/>
      <c r="N24" s="2714"/>
      <c r="O24" s="2714"/>
      <c r="P24" s="3701"/>
      <c r="Q24" s="1350"/>
      <c r="R24" s="703"/>
      <c r="S24" s="704"/>
      <c r="T24" s="703"/>
      <c r="U24" s="704"/>
      <c r="V24" s="703"/>
      <c r="W24" s="704"/>
      <c r="X24" s="1353"/>
      <c r="Y24" s="3703"/>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1"/>
      <c r="Q25" s="1350" t="str">
        <f>B25</f>
        <v>毗邻道路的类型与等级</v>
      </c>
      <c r="R25" s="703" t="s">
        <v>14</v>
      </c>
      <c r="S25" s="704">
        <f>F25</f>
        <v>100</v>
      </c>
      <c r="T25" s="703" t="s">
        <v>14</v>
      </c>
      <c r="U25" s="704">
        <f>H25</f>
        <v>100</v>
      </c>
      <c r="V25" s="703" t="s">
        <v>14</v>
      </c>
      <c r="W25" s="704">
        <f>J25</f>
        <v>100</v>
      </c>
      <c r="X25" s="1353"/>
      <c r="Y25" s="3703"/>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701"/>
      <c r="Q26" s="1350"/>
      <c r="R26" s="703"/>
      <c r="S26" s="704"/>
      <c r="T26" s="703"/>
      <c r="U26" s="704"/>
      <c r="V26" s="703"/>
      <c r="W26" s="704"/>
      <c r="X26" s="1353"/>
      <c r="Y26" s="3703"/>
      <c r="Z26" s="1354"/>
      <c r="AA26" s="1351">
        <v>1</v>
      </c>
      <c r="AB26" s="1351">
        <v>1</v>
      </c>
      <c r="AC26" s="1960">
        <v>1</v>
      </c>
    </row>
    <row r="27" spans="1:29" ht="15">
      <c r="A27" s="379"/>
      <c r="B27" s="579" t="s">
        <v>1783</v>
      </c>
      <c r="C27" s="581" t="s">
        <v>3481</v>
      </c>
      <c r="D27" s="386">
        <v>100</v>
      </c>
      <c r="E27" s="581" t="s">
        <v>3509</v>
      </c>
      <c r="F27" s="386">
        <f>SUMIF(89:89,E27,90:90)-SUMIF(89:89,C27,90:90)+100</f>
        <v>102</v>
      </c>
      <c r="G27" s="581" t="s">
        <v>3481</v>
      </c>
      <c r="H27" s="386">
        <f>SUMIF(89:89,G27,90:90)-SUMIF(89:89,C27,90:90)+100</f>
        <v>100</v>
      </c>
      <c r="I27" s="581" t="s">
        <v>3481</v>
      </c>
      <c r="J27" s="386">
        <f>SUMIF(89:89,I27,90:90)-SUMIF(89:89,C27,90:90)+100</f>
        <v>100</v>
      </c>
      <c r="K27" s="561">
        <v>2</v>
      </c>
      <c r="L27" s="2720"/>
      <c r="M27" s="2714"/>
      <c r="N27" s="2714"/>
      <c r="O27" s="2714"/>
      <c r="P27" s="3701"/>
      <c r="Q27" s="1350" t="str">
        <f t="shared" ref="Q27:Q47" si="11">B27</f>
        <v>楼层</v>
      </c>
      <c r="R27" s="703" t="s">
        <v>14</v>
      </c>
      <c r="S27" s="704">
        <f>F27</f>
        <v>102</v>
      </c>
      <c r="T27" s="703" t="s">
        <v>14</v>
      </c>
      <c r="U27" s="704">
        <f>H27</f>
        <v>100</v>
      </c>
      <c r="V27" s="703" t="s">
        <v>14</v>
      </c>
      <c r="W27" s="704">
        <f>J27</f>
        <v>100</v>
      </c>
      <c r="X27" s="1353"/>
      <c r="Y27" s="3703"/>
      <c r="Z27" s="1354" t="str">
        <f>Q27</f>
        <v>楼层</v>
      </c>
      <c r="AA27" s="1351">
        <f t="shared" si="3"/>
        <v>0.98039215686274506</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1"/>
      <c r="Q28" s="1341" t="str">
        <f t="shared" si="11"/>
        <v>朝向</v>
      </c>
      <c r="R28" s="699" t="s">
        <v>14</v>
      </c>
      <c r="S28" s="700">
        <f>F28</f>
        <v>100</v>
      </c>
      <c r="T28" s="699" t="s">
        <v>14</v>
      </c>
      <c r="U28" s="700">
        <f>H28</f>
        <v>100</v>
      </c>
      <c r="V28" s="699" t="s">
        <v>14</v>
      </c>
      <c r="W28" s="700">
        <f>J28</f>
        <v>100</v>
      </c>
      <c r="X28" s="701"/>
      <c r="Y28" s="3703"/>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1"/>
      <c r="Q29" s="1350">
        <f t="shared" si="11"/>
        <v>111</v>
      </c>
      <c r="R29" s="703" t="s">
        <v>14</v>
      </c>
      <c r="S29" s="704">
        <f t="shared" ref="S29:S47" si="12">F29</f>
        <v>100</v>
      </c>
      <c r="T29" s="703" t="s">
        <v>14</v>
      </c>
      <c r="U29" s="704">
        <f t="shared" ref="U29:U47" si="13">H29</f>
        <v>100</v>
      </c>
      <c r="V29" s="703" t="s">
        <v>14</v>
      </c>
      <c r="W29" s="704">
        <f t="shared" ref="W29:W47" si="14">J29</f>
        <v>100</v>
      </c>
      <c r="X29" s="1353"/>
      <c r="Y29" s="3703"/>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1"/>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1"/>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1"/>
      <c r="Q32" s="1350">
        <f t="shared" si="11"/>
        <v>111</v>
      </c>
      <c r="R32" s="703" t="s">
        <v>14</v>
      </c>
      <c r="S32" s="704">
        <f t="shared" si="12"/>
        <v>100</v>
      </c>
      <c r="T32" s="703" t="s">
        <v>14</v>
      </c>
      <c r="U32" s="704">
        <f t="shared" si="13"/>
        <v>100</v>
      </c>
      <c r="V32" s="703" t="s">
        <v>14</v>
      </c>
      <c r="W32" s="704">
        <f t="shared" si="14"/>
        <v>100</v>
      </c>
      <c r="X32" s="1353"/>
      <c r="Y32" s="3703"/>
      <c r="Z32" s="1354">
        <f t="shared" si="15"/>
        <v>111</v>
      </c>
      <c r="AA32" s="1351">
        <f t="shared" si="3"/>
        <v>1</v>
      </c>
      <c r="AB32" s="1351">
        <f t="shared" si="4"/>
        <v>1</v>
      </c>
      <c r="AC32" s="1960">
        <f t="shared" si="5"/>
        <v>1</v>
      </c>
    </row>
    <row r="33" spans="1:29" ht="15">
      <c r="A33" s="391" t="s">
        <v>1694</v>
      </c>
      <c r="B33" s="63" t="s">
        <v>1817</v>
      </c>
      <c r="C33" s="1965" t="s">
        <v>3483</v>
      </c>
      <c r="D33" s="418">
        <v>100</v>
      </c>
      <c r="E33" s="1965" t="s">
        <v>3483</v>
      </c>
      <c r="F33" s="412">
        <f>SUMIF(101:101,E33,102:102)-SUMIF(101:101,C33,102:102)+100</f>
        <v>100</v>
      </c>
      <c r="G33" s="1965" t="s">
        <v>3483</v>
      </c>
      <c r="H33" s="386">
        <f>SUMIF(101:101,G33,102:102)-SUMIF(101:101,C33,102:102)+100</f>
        <v>100</v>
      </c>
      <c r="I33" s="1965" t="s">
        <v>3483</v>
      </c>
      <c r="J33" s="418">
        <f>SUMIF(101:101,I33,102:102)-SUMIF(101:101,C33,102:102)+100</f>
        <v>100</v>
      </c>
      <c r="K33" s="561">
        <v>2</v>
      </c>
      <c r="L33" s="2720"/>
      <c r="M33" s="2714"/>
      <c r="N33" s="2714"/>
      <c r="O33" s="2714"/>
      <c r="P33" s="3704" t="s">
        <v>1696</v>
      </c>
      <c r="Q33" s="1350" t="str">
        <f t="shared" si="11"/>
        <v>建筑类型</v>
      </c>
      <c r="R33" s="703" t="s">
        <v>14</v>
      </c>
      <c r="S33" s="704">
        <f t="shared" si="12"/>
        <v>100</v>
      </c>
      <c r="T33" s="703" t="s">
        <v>14</v>
      </c>
      <c r="U33" s="704">
        <f t="shared" si="13"/>
        <v>100</v>
      </c>
      <c r="V33" s="703" t="s">
        <v>14</v>
      </c>
      <c r="W33" s="704">
        <f t="shared" si="14"/>
        <v>100</v>
      </c>
      <c r="X33" s="1353"/>
      <c r="Y33" s="3707"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279.52999999999997</v>
      </c>
      <c r="D34" s="127">
        <v>100</v>
      </c>
      <c r="E34" s="381">
        <v>167.98</v>
      </c>
      <c r="F34" s="376">
        <f>LOOKUP(E34,104:104,105:105)-LOOKUP(C34,104:104,105:105)+100</f>
        <v>100</v>
      </c>
      <c r="G34" s="380">
        <v>279.52999999999997</v>
      </c>
      <c r="H34" s="127">
        <f>LOOKUP(G34,104:104,105:105)-LOOKUP(C34,104:104,105:105)+100</f>
        <v>100</v>
      </c>
      <c r="I34" s="380">
        <v>179.25</v>
      </c>
      <c r="J34" s="127">
        <f>LOOKUP(I34,104:104,105:105)-LOOKUP(C34,104:104,105:105)+100</f>
        <v>100</v>
      </c>
      <c r="K34" s="562"/>
      <c r="L34" s="2719"/>
      <c r="M34" s="2721"/>
      <c r="N34" s="2721"/>
      <c r="O34" s="2721"/>
      <c r="P34" s="3705"/>
      <c r="Q34" s="705" t="str">
        <f t="shared" si="11"/>
        <v>项目建筑规模</v>
      </c>
      <c r="R34" s="706" t="s">
        <v>14</v>
      </c>
      <c r="S34" s="707">
        <f t="shared" si="12"/>
        <v>100</v>
      </c>
      <c r="T34" s="706" t="s">
        <v>14</v>
      </c>
      <c r="U34" s="707">
        <f t="shared" si="13"/>
        <v>100</v>
      </c>
      <c r="V34" s="706" t="s">
        <v>14</v>
      </c>
      <c r="W34" s="707">
        <f t="shared" si="14"/>
        <v>100</v>
      </c>
      <c r="X34" s="708"/>
      <c r="Y34" s="3707"/>
      <c r="Z34" s="709" t="str">
        <f t="shared" si="15"/>
        <v>项目建筑规模</v>
      </c>
      <c r="AA34" s="1351">
        <f t="shared" si="3"/>
        <v>1</v>
      </c>
      <c r="AB34" s="1351">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5"/>
      <c r="Q35" s="1350" t="str">
        <f t="shared" si="11"/>
        <v>建筑结构</v>
      </c>
      <c r="R35" s="703" t="s">
        <v>14</v>
      </c>
      <c r="S35" s="704">
        <f t="shared" si="12"/>
        <v>100</v>
      </c>
      <c r="T35" s="703" t="s">
        <v>14</v>
      </c>
      <c r="U35" s="704">
        <f t="shared" si="13"/>
        <v>100</v>
      </c>
      <c r="V35" s="703" t="s">
        <v>14</v>
      </c>
      <c r="W35" s="704">
        <f t="shared" si="14"/>
        <v>100</v>
      </c>
      <c r="X35" s="1353"/>
      <c r="Y35" s="3707"/>
      <c r="Z35" s="1354" t="str">
        <f t="shared" si="15"/>
        <v>建筑结构</v>
      </c>
      <c r="AA35" s="1351">
        <f t="shared" si="3"/>
        <v>1</v>
      </c>
      <c r="AB35" s="1351">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20"/>
      <c r="M36" s="2714"/>
      <c r="N36" s="2714"/>
      <c r="O36" s="2714"/>
      <c r="P36" s="3705"/>
      <c r="Q36" s="1350" t="str">
        <f t="shared" si="11"/>
        <v>公共部分装修</v>
      </c>
      <c r="R36" s="703" t="s">
        <v>14</v>
      </c>
      <c r="S36" s="704">
        <f t="shared" si="12"/>
        <v>100</v>
      </c>
      <c r="T36" s="703" t="s">
        <v>14</v>
      </c>
      <c r="U36" s="704">
        <f t="shared" si="13"/>
        <v>100</v>
      </c>
      <c r="V36" s="703" t="s">
        <v>14</v>
      </c>
      <c r="W36" s="704">
        <f t="shared" si="14"/>
        <v>100</v>
      </c>
      <c r="X36" s="1353"/>
      <c r="Y36" s="3707"/>
      <c r="Z36" s="1354" t="str">
        <f t="shared" si="15"/>
        <v>公共部分装修</v>
      </c>
      <c r="AA36" s="1351">
        <f t="shared" si="3"/>
        <v>1</v>
      </c>
      <c r="AB36" s="1351">
        <f t="shared" si="4"/>
        <v>1</v>
      </c>
      <c r="AC36" s="1960">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v>0.75</v>
      </c>
      <c r="J37" s="386">
        <f>LOOKUP(I37,111:111,112:112)-LOOKUP(C37,111:111,112:112)+100</f>
        <v>100</v>
      </c>
      <c r="K37" s="561">
        <v>1</v>
      </c>
      <c r="L37" s="2720"/>
      <c r="M37" s="2714"/>
      <c r="N37" s="2714"/>
      <c r="O37" s="2714"/>
      <c r="P37" s="3705"/>
      <c r="Q37" s="1350" t="str">
        <f t="shared" si="11"/>
        <v>成新度</v>
      </c>
      <c r="R37" s="703" t="s">
        <v>14</v>
      </c>
      <c r="S37" s="704">
        <f t="shared" si="12"/>
        <v>100</v>
      </c>
      <c r="T37" s="703" t="s">
        <v>14</v>
      </c>
      <c r="U37" s="704">
        <f t="shared" si="13"/>
        <v>100</v>
      </c>
      <c r="V37" s="703" t="s">
        <v>14</v>
      </c>
      <c r="W37" s="704">
        <f t="shared" si="14"/>
        <v>100</v>
      </c>
      <c r="X37" s="1353"/>
      <c r="Y37" s="3707"/>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1341" t="str">
        <f t="shared" si="11"/>
        <v>写字楼等级</v>
      </c>
      <c r="R38" s="699" t="s">
        <v>14</v>
      </c>
      <c r="S38" s="700">
        <f t="shared" si="12"/>
        <v>100</v>
      </c>
      <c r="T38" s="699" t="s">
        <v>14</v>
      </c>
      <c r="U38" s="700">
        <f t="shared" si="13"/>
        <v>100</v>
      </c>
      <c r="V38" s="699" t="s">
        <v>14</v>
      </c>
      <c r="W38" s="700">
        <f t="shared" si="14"/>
        <v>100</v>
      </c>
      <c r="X38" s="701"/>
      <c r="Y38" s="3707"/>
      <c r="Z38" s="52" t="str">
        <f t="shared" si="15"/>
        <v>写字楼等级</v>
      </c>
      <c r="AA38" s="702">
        <f t="shared" si="3"/>
        <v>1</v>
      </c>
      <c r="AB38" s="702">
        <f t="shared" si="4"/>
        <v>1</v>
      </c>
      <c r="AC38" s="1957">
        <f t="shared" si="5"/>
        <v>1</v>
      </c>
    </row>
    <row r="39" spans="1:29" ht="15">
      <c r="A39" s="423"/>
      <c r="B39" s="375" t="s">
        <v>1819</v>
      </c>
      <c r="C39" s="411" t="s">
        <v>3494</v>
      </c>
      <c r="D39" s="386">
        <v>100</v>
      </c>
      <c r="E39" s="411" t="s">
        <v>3494</v>
      </c>
      <c r="F39" s="412">
        <f>SUMIF(115:115,E39,116:116)-SUMIF(115:115,C39,116:116)+100</f>
        <v>100</v>
      </c>
      <c r="G39" s="411" t="s">
        <v>3494</v>
      </c>
      <c r="H39" s="386">
        <f>SUMIF(115:115,G39,116:116)-SUMIF(115:115,C39,116:116)+100</f>
        <v>100</v>
      </c>
      <c r="I39" s="411" t="s">
        <v>3494</v>
      </c>
      <c r="J39" s="386">
        <f>SUMIF(115:115,I39,116:116)-SUMIF(115:115,C39,116:116)+100</f>
        <v>100</v>
      </c>
      <c r="K39" s="561">
        <v>1</v>
      </c>
      <c r="L39" s="2720"/>
      <c r="M39" s="2714"/>
      <c r="N39" s="2714"/>
      <c r="O39" s="2714"/>
      <c r="P39" s="3705" t="s">
        <v>1696</v>
      </c>
      <c r="Q39" s="1350" t="str">
        <f t="shared" si="11"/>
        <v>物业管理</v>
      </c>
      <c r="R39" s="703" t="s">
        <v>14</v>
      </c>
      <c r="S39" s="704">
        <f t="shared" si="12"/>
        <v>100</v>
      </c>
      <c r="T39" s="703" t="s">
        <v>14</v>
      </c>
      <c r="U39" s="704">
        <f t="shared" si="13"/>
        <v>100</v>
      </c>
      <c r="V39" s="703" t="s">
        <v>14</v>
      </c>
      <c r="W39" s="704">
        <f t="shared" si="14"/>
        <v>100</v>
      </c>
      <c r="X39" s="1353"/>
      <c r="Y39" s="3707" t="s">
        <v>1696</v>
      </c>
      <c r="Z39" s="1354" t="str">
        <f t="shared" si="15"/>
        <v>物业管理</v>
      </c>
      <c r="AA39" s="1351">
        <f t="shared" si="3"/>
        <v>1</v>
      </c>
      <c r="AB39" s="1351">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1350" t="str">
        <f t="shared" si="11"/>
        <v>市政基础设施</v>
      </c>
      <c r="R40" s="703" t="s">
        <v>14</v>
      </c>
      <c r="S40" s="704">
        <f t="shared" si="12"/>
        <v>100</v>
      </c>
      <c r="T40" s="703" t="s">
        <v>14</v>
      </c>
      <c r="U40" s="704">
        <f t="shared" si="13"/>
        <v>100</v>
      </c>
      <c r="V40" s="703" t="s">
        <v>14</v>
      </c>
      <c r="W40" s="704">
        <f t="shared" si="14"/>
        <v>100</v>
      </c>
      <c r="X40" s="1353"/>
      <c r="Y40" s="3707"/>
      <c r="Z40" s="1354" t="str">
        <f t="shared" si="15"/>
        <v>市政基础设施</v>
      </c>
      <c r="AA40" s="1351">
        <f t="shared" si="3"/>
        <v>1</v>
      </c>
      <c r="AB40" s="1351">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0"/>
      <c r="M41" s="2714"/>
      <c r="N41" s="2714"/>
      <c r="O41" s="2714"/>
      <c r="P41" s="3705"/>
      <c r="Q41" s="1350" t="str">
        <f t="shared" si="11"/>
        <v>层高</v>
      </c>
      <c r="R41" s="703" t="s">
        <v>14</v>
      </c>
      <c r="S41" s="704">
        <f t="shared" si="12"/>
        <v>100</v>
      </c>
      <c r="T41" s="703" t="s">
        <v>14</v>
      </c>
      <c r="U41" s="704">
        <f t="shared" si="13"/>
        <v>100</v>
      </c>
      <c r="V41" s="703" t="s">
        <v>14</v>
      </c>
      <c r="W41" s="704">
        <f t="shared" si="14"/>
        <v>100</v>
      </c>
      <c r="X41" s="1353"/>
      <c r="Y41" s="3707"/>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1351">
        <f t="shared" si="3"/>
        <v>1</v>
      </c>
      <c r="AB42" s="1351">
        <f t="shared" si="4"/>
        <v>1</v>
      </c>
      <c r="AC42" s="1960">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1</v>
      </c>
      <c r="L43" s="2720"/>
      <c r="M43" s="2714"/>
      <c r="N43" s="2714"/>
      <c r="O43" s="2714"/>
      <c r="P43" s="3705"/>
      <c r="Q43" s="1350" t="str">
        <f t="shared" si="11"/>
        <v>内部装修</v>
      </c>
      <c r="R43" s="703" t="s">
        <v>14</v>
      </c>
      <c r="S43" s="704">
        <f t="shared" si="12"/>
        <v>100</v>
      </c>
      <c r="T43" s="703" t="s">
        <v>14</v>
      </c>
      <c r="U43" s="704">
        <f t="shared" si="13"/>
        <v>100</v>
      </c>
      <c r="V43" s="703" t="s">
        <v>14</v>
      </c>
      <c r="W43" s="704">
        <f t="shared" si="14"/>
        <v>100</v>
      </c>
      <c r="X43" s="1353"/>
      <c r="Y43" s="3707"/>
      <c r="Z43" s="1354" t="str">
        <f t="shared" si="15"/>
        <v>内部装修</v>
      </c>
      <c r="AA43" s="1351">
        <f t="shared" si="3"/>
        <v>1</v>
      </c>
      <c r="AB43" s="1351">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20"/>
      <c r="M44" s="2714"/>
      <c r="N44" s="2714"/>
      <c r="O44" s="2714"/>
      <c r="P44" s="3705"/>
      <c r="Q44" s="1350" t="str">
        <f t="shared" si="11"/>
        <v>内部装修维护情况</v>
      </c>
      <c r="R44" s="703" t="s">
        <v>14</v>
      </c>
      <c r="S44" s="704">
        <f t="shared" si="12"/>
        <v>100</v>
      </c>
      <c r="T44" s="703" t="s">
        <v>14</v>
      </c>
      <c r="U44" s="704">
        <f t="shared" si="13"/>
        <v>100</v>
      </c>
      <c r="V44" s="703" t="s">
        <v>14</v>
      </c>
      <c r="W44" s="704">
        <f t="shared" si="14"/>
        <v>100</v>
      </c>
      <c r="X44" s="1353"/>
      <c r="Y44" s="3707"/>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1">
        <f t="shared" si="11"/>
        <v>111</v>
      </c>
      <c r="R45" s="699" t="s">
        <v>14</v>
      </c>
      <c r="S45" s="700">
        <f t="shared" si="12"/>
        <v>100</v>
      </c>
      <c r="T45" s="699" t="s">
        <v>14</v>
      </c>
      <c r="U45" s="700">
        <f t="shared" si="13"/>
        <v>100</v>
      </c>
      <c r="V45" s="699" t="s">
        <v>14</v>
      </c>
      <c r="W45" s="700">
        <f t="shared" si="14"/>
        <v>100</v>
      </c>
      <c r="X45" s="701"/>
      <c r="Y45" s="3707"/>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v>2008</v>
      </c>
      <c r="J46" s="386">
        <f>SUMIF(129:129,I46,130:130)-SUMIF(129:129,C46,130:130)+100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0">
        <f t="shared" si="11"/>
        <v>111</v>
      </c>
      <c r="R47" s="703" t="s">
        <v>14</v>
      </c>
      <c r="S47" s="704">
        <f t="shared" si="12"/>
        <v>100</v>
      </c>
      <c r="T47" s="703" t="s">
        <v>14</v>
      </c>
      <c r="U47" s="704">
        <f t="shared" si="13"/>
        <v>100</v>
      </c>
      <c r="V47" s="703" t="s">
        <v>14</v>
      </c>
      <c r="W47" s="704">
        <f t="shared" si="14"/>
        <v>100</v>
      </c>
      <c r="X47" s="1353"/>
      <c r="Y47" s="3708"/>
      <c r="Z47" s="1354">
        <f t="shared" si="15"/>
        <v>111</v>
      </c>
      <c r="AA47" s="1351">
        <f t="shared" si="3"/>
        <v>1</v>
      </c>
      <c r="AB47" s="1351">
        <f t="shared" si="4"/>
        <v>1</v>
      </c>
      <c r="AC47" s="1960">
        <f t="shared" si="5"/>
        <v>1</v>
      </c>
    </row>
    <row r="48" spans="1:29" ht="15">
      <c r="A48" s="430" t="s">
        <v>1708</v>
      </c>
      <c r="B48" s="431"/>
      <c r="C48" s="1152" t="s">
        <v>0</v>
      </c>
      <c r="D48" s="1153"/>
      <c r="E48" s="1154">
        <v>36314</v>
      </c>
      <c r="F48" s="1155"/>
      <c r="G48" s="1156">
        <v>34987</v>
      </c>
      <c r="H48" s="1157"/>
      <c r="I48" s="1154">
        <v>34979</v>
      </c>
      <c r="J48" s="436"/>
      <c r="K48" s="712"/>
      <c r="L48" s="2722"/>
      <c r="M48" s="2714"/>
      <c r="N48" s="2714"/>
      <c r="O48" s="2714"/>
      <c r="P48" s="3694" t="str">
        <f>A48</f>
        <v>成交单价（元/平方米）</v>
      </c>
      <c r="Q48" s="3695"/>
      <c r="R48" s="3696">
        <f>E48</f>
        <v>36314</v>
      </c>
      <c r="S48" s="3696"/>
      <c r="T48" s="3696">
        <f>G48</f>
        <v>34987</v>
      </c>
      <c r="U48" s="3696"/>
      <c r="V48" s="3696">
        <f>I48</f>
        <v>34979</v>
      </c>
      <c r="W48" s="3696"/>
      <c r="X48" s="397"/>
      <c r="Y48" s="710"/>
      <c r="Z48" s="397"/>
      <c r="AA48" s="397"/>
      <c r="AB48" s="397"/>
      <c r="AC48" s="577"/>
    </row>
    <row r="49" spans="1:29" ht="15.75" thickBot="1">
      <c r="A49" s="437" t="s">
        <v>1793</v>
      </c>
      <c r="B49" s="438"/>
      <c r="C49" s="1158">
        <f>R50</f>
        <v>34164</v>
      </c>
      <c r="D49" s="2315" t="s">
        <v>2135</v>
      </c>
      <c r="E49" s="1159">
        <f>R49</f>
        <v>34565</v>
      </c>
      <c r="F49" s="2316"/>
      <c r="G49" s="1158">
        <f>T49</f>
        <v>33968</v>
      </c>
      <c r="H49" s="2316"/>
      <c r="I49" s="1159">
        <f>V49</f>
        <v>33960</v>
      </c>
      <c r="J49" s="2316"/>
      <c r="K49" s="2318">
        <f>F49+H49+J49</f>
        <v>0</v>
      </c>
      <c r="L49" s="2722"/>
      <c r="M49" s="2714"/>
      <c r="N49" s="2714"/>
      <c r="O49" s="2714"/>
      <c r="P49" s="3694" t="str">
        <f>A49</f>
        <v>比较价值（元/平方米）</v>
      </c>
      <c r="Q49" s="3695"/>
      <c r="R49" s="3696">
        <f>IF(F1="售价",ROUND(PRODUCT(R48,AA7:AA47),0),ROUND(PRODUCT(R48,AA7:AA47),1))</f>
        <v>34565</v>
      </c>
      <c r="S49" s="3696"/>
      <c r="T49" s="3696">
        <f>IF(F1="售价",ROUND(PRODUCT(T48,AB7:AB47),0),ROUND(PRODUCT(T48,AB7:AB47),1))</f>
        <v>33968</v>
      </c>
      <c r="U49" s="3696"/>
      <c r="V49" s="3696">
        <f>IF(F1="售价",ROUND(PRODUCT(V48,AC7:AC47),0),ROUND(PRODUCT(V48,AC7:AC47),1))</f>
        <v>33960</v>
      </c>
      <c r="W49" s="3696"/>
      <c r="X49" s="397"/>
      <c r="Y49" s="397"/>
      <c r="Z49" s="397"/>
      <c r="AA49" s="397"/>
      <c r="AB49" s="397"/>
      <c r="AC49" s="577"/>
    </row>
    <row r="50" spans="1:29" ht="15.75" thickBot="1">
      <c r="A50" s="441" t="s">
        <v>1794</v>
      </c>
      <c r="B50" s="442"/>
      <c r="C50" s="1161">
        <f>R50</f>
        <v>34164</v>
      </c>
      <c r="D50" s="1161"/>
      <c r="E50" s="1161"/>
      <c r="F50" s="1161"/>
      <c r="G50" s="1161"/>
      <c r="H50" s="1161"/>
      <c r="I50" s="1161"/>
      <c r="J50" s="443"/>
      <c r="K50" s="713"/>
      <c r="L50" s="2722"/>
      <c r="M50" s="2714"/>
      <c r="N50" s="2714"/>
      <c r="O50" s="2714"/>
      <c r="P50" s="3697" t="str">
        <f>A50</f>
        <v>估价对象XX用房的比较价值（楼面单价，元/平方米）</v>
      </c>
      <c r="Q50" s="3698"/>
      <c r="R50" s="3699">
        <f>IF(F1="售价",ROUND(IF(D49="简单平均",AVERAGE(R49:V49),R49*F49+T49*H49+V49*J49),0),ROUND(IF(D49="简单平均",AVERAGE(R49:V49),R49*F49+T49*H49+V49*J49),1))</f>
        <v>34164</v>
      </c>
      <c r="S50" s="3699"/>
      <c r="T50" s="3699"/>
      <c r="U50" s="3699"/>
      <c r="V50" s="3699"/>
      <c r="W50" s="369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5.0600318240995312E-2</v>
      </c>
      <c r="F53" s="449" t="str">
        <f>IF(OR(E53&gt;=0.3,E53&lt;=-0.3),"超过30%","")</f>
        <v/>
      </c>
      <c r="G53" s="448">
        <f>IF(G48&lt;G49,G49/G48-1,G48/G49-1)</f>
        <v>2.99988224211023E-2</v>
      </c>
      <c r="H53" s="449" t="str">
        <f>IF(OR(G53&gt;=0.3,G53&lt;=-0.3),"超过30%","")</f>
        <v/>
      </c>
      <c r="I53" s="448">
        <f>IF(I48&lt;I49,I49/I48-1,I48/I49-1)</f>
        <v>3.0005889281507603E-2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1.7575365049458336E-2</v>
      </c>
      <c r="F54" s="449" t="str">
        <f>IF(OR(E54&gt;=0.2,E54&lt;=-0.2),"超过20%","")</f>
        <v/>
      </c>
      <c r="G54" s="448">
        <f>IF(G49&lt;I49,I49/G49-1,G49/I49-1)</f>
        <v>2.3557126030615549E-4</v>
      </c>
      <c r="H54" s="449" t="str">
        <f>IF(OR(G54&gt;=0.2,G54&lt;=-0.2),"超过20%","")</f>
        <v/>
      </c>
      <c r="I54" s="448">
        <f>IF(I49&lt;E49,E49/I49-1,I49/E49-1)</f>
        <v>1.7815076560659504E-2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3.792837339583266E-2</v>
      </c>
      <c r="F55" s="449" t="str">
        <f>IF(OR(E55&gt;=0.3,E55&lt;=-0.3),"超过30%","")</f>
        <v/>
      </c>
      <c r="G55" s="448">
        <f>IF(G48&lt;I48,I48/G48-1,G48/I48-1)</f>
        <v>2.2870865376378724E-4</v>
      </c>
      <c r="H55" s="449" t="str">
        <f>IF(OR(G55&gt;=0.3,G55&lt;=-0.3),"超过30%","")</f>
        <v/>
      </c>
      <c r="I55" s="448">
        <f>IF(I48&lt;E48,E48/I48-1,I48/E48-1)</f>
        <v>3.8165756596815203E-2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80" t="s">
        <v>3478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3512</v>
      </c>
      <c r="D66" s="532" t="s">
        <v>3513</v>
      </c>
      <c r="E66" s="532" t="s">
        <v>3514</v>
      </c>
      <c r="F66" s="532" t="s">
        <v>3515</v>
      </c>
      <c r="G66" s="532" t="s">
        <v>3516</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81" t="s">
        <v>3479</v>
      </c>
      <c r="D89" s="3481" t="s">
        <v>3480</v>
      </c>
      <c r="E89" s="3481" t="s">
        <v>3482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3484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300(含)-500</v>
      </c>
      <c r="E103" s="527" t="str">
        <f t="shared" si="24"/>
        <v>500(含)-800</v>
      </c>
      <c r="F103" s="527" t="str">
        <f t="shared" si="24"/>
        <v>800(含)-</v>
      </c>
      <c r="G103" s="527" t="str">
        <f t="shared" si="24"/>
        <v>(含)-</v>
      </c>
      <c r="H103" s="527" t="str">
        <f t="shared" si="24"/>
        <v>(含)-</v>
      </c>
      <c r="I103" s="527" t="str">
        <f t="shared" si="24"/>
        <v>(含)-</v>
      </c>
      <c r="J103" s="527" t="str">
        <f t="shared" si="24"/>
        <v>(含)-</v>
      </c>
      <c r="K103" s="527" t="str">
        <f t="shared" si="24"/>
        <v>(含)-</v>
      </c>
      <c r="L103" s="527" t="str">
        <f t="shared" si="24"/>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3485</v>
      </c>
      <c r="D106" s="3481" t="s">
        <v>3486</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3" t="s">
        <v>3451</v>
      </c>
      <c r="D108" s="3483" t="s">
        <v>3452</v>
      </c>
      <c r="E108" s="3483" t="s">
        <v>3453</v>
      </c>
      <c r="F108" s="3484"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3488</v>
      </c>
      <c r="D115" s="3481" t="s">
        <v>3489</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3490" t="s">
        <v>3487</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3" t="s">
        <v>3451</v>
      </c>
      <c r="D123" s="3483" t="s">
        <v>3452</v>
      </c>
      <c r="E123" s="3483" t="s">
        <v>3453</v>
      </c>
      <c r="F123" s="3484"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3467</v>
      </c>
      <c r="E1" s="3424" t="s">
        <v>3459</v>
      </c>
      <c r="F1" s="1877" t="s">
        <v>3460</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30123</v>
      </c>
      <c r="C3" s="354" t="s">
        <v>1768</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29" t="s">
        <v>1772</v>
      </c>
      <c r="AC4" s="3748" t="s">
        <v>1773</v>
      </c>
    </row>
    <row r="5" spans="1:29" ht="15">
      <c r="A5" s="358"/>
      <c r="B5" s="359"/>
      <c r="C5" s="3755" t="s">
        <v>1673</v>
      </c>
      <c r="D5" s="3733"/>
      <c r="E5" s="3743" t="s">
        <v>3472</v>
      </c>
      <c r="F5" s="3744"/>
      <c r="G5" s="3732" t="s">
        <v>3470</v>
      </c>
      <c r="H5" s="3733"/>
      <c r="I5" s="3732" t="s">
        <v>3471</v>
      </c>
      <c r="J5" s="3733"/>
      <c r="K5" s="559"/>
      <c r="L5" s="2713"/>
      <c r="M5" s="2714"/>
      <c r="N5" s="2714"/>
      <c r="O5" s="2714"/>
      <c r="P5" s="3751"/>
      <c r="Q5" s="3719"/>
      <c r="R5" s="3724"/>
      <c r="S5" s="3725"/>
      <c r="T5" s="3724"/>
      <c r="U5" s="3725"/>
      <c r="V5" s="3729"/>
      <c r="W5" s="3729"/>
      <c r="X5" s="1353"/>
      <c r="Y5" s="3724"/>
      <c r="Z5" s="3725"/>
      <c r="AA5" s="3741"/>
      <c r="AB5" s="3729"/>
      <c r="AC5" s="3741"/>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29"/>
      <c r="AC6" s="3742"/>
    </row>
    <row r="7" spans="1:29" s="108" customFormat="1" ht="15.75" thickBot="1">
      <c r="A7" s="362" t="s">
        <v>1679</v>
      </c>
      <c r="B7" s="363"/>
      <c r="C7" s="364">
        <f>'数据-取费表'!B2</f>
        <v>45965</v>
      </c>
      <c r="D7" s="365">
        <v>100</v>
      </c>
      <c r="E7" s="366">
        <f>C7</f>
        <v>45965</v>
      </c>
      <c r="F7" s="367">
        <f>SUMIF(58:58,YEAR(E7)&amp;"-"&amp;MONTH(E7),59:59)</f>
        <v>100</v>
      </c>
      <c r="G7" s="366">
        <f>C7</f>
        <v>45965</v>
      </c>
      <c r="H7" s="365">
        <f>SUMIF(58:58,YEAR(G7)&amp;"-"&amp;MONTH(G7),59:59)</f>
        <v>100</v>
      </c>
      <c r="I7" s="366">
        <f>C7</f>
        <v>45965</v>
      </c>
      <c r="J7" s="365">
        <f>SUMIF(58:58,YEAR(I7)&amp;"-"&amp;MONTH(I7),59:59)</f>
        <v>100</v>
      </c>
      <c r="K7" s="560"/>
      <c r="L7" s="2715"/>
      <c r="M7" s="2716"/>
      <c r="N7" s="2716"/>
      <c r="O7" s="2716"/>
      <c r="P7" s="3736"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702">
        <f>D7/J7</f>
        <v>1</v>
      </c>
    </row>
    <row r="8" spans="1:29" s="108" customFormat="1" ht="15.75" thickBot="1">
      <c r="A8" s="362" t="s">
        <v>1681</v>
      </c>
      <c r="B8" s="363"/>
      <c r="C8" s="368" t="s">
        <v>3427</v>
      </c>
      <c r="D8" s="365">
        <v>100</v>
      </c>
      <c r="E8" s="368" t="s">
        <v>3428</v>
      </c>
      <c r="F8" s="367">
        <f>SUMIF(61:61,E8,62:62)-SUMIF(61:61,C8,62:62)+100</f>
        <v>103</v>
      </c>
      <c r="G8" s="368" t="s">
        <v>3428</v>
      </c>
      <c r="H8" s="365">
        <f>SUMIF(61:61,G8,62:62)-SUMIF(61:61,C8,62:62)+100</f>
        <v>103</v>
      </c>
      <c r="I8" s="368" t="s">
        <v>3428</v>
      </c>
      <c r="J8" s="365">
        <f>SUMIF(61:61,I8,62:62)-SUMIF(61:61,C8,62:62)+100</f>
        <v>103</v>
      </c>
      <c r="K8" s="560"/>
      <c r="L8" s="2715"/>
      <c r="M8" s="2716"/>
      <c r="N8" s="2716"/>
      <c r="O8" s="2716"/>
      <c r="P8" s="3736" t="s">
        <v>1683</v>
      </c>
      <c r="Q8" s="3735"/>
      <c r="R8" s="699" t="s">
        <v>14</v>
      </c>
      <c r="S8" s="700">
        <f t="shared" si="0"/>
        <v>103</v>
      </c>
      <c r="T8" s="699" t="s">
        <v>14</v>
      </c>
      <c r="U8" s="700">
        <f t="shared" si="1"/>
        <v>103</v>
      </c>
      <c r="V8" s="699" t="s">
        <v>14</v>
      </c>
      <c r="W8" s="700">
        <f t="shared" si="2"/>
        <v>103</v>
      </c>
      <c r="X8" s="701"/>
      <c r="Y8" s="3736" t="s">
        <v>1683</v>
      </c>
      <c r="Z8" s="3735"/>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5"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4"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432" t="str">
        <f>E65</f>
        <v>20（含）-10</v>
      </c>
      <c r="D10" s="127">
        <v>100</v>
      </c>
      <c r="E10" s="3433" t="str">
        <f>D65</f>
        <v>30（含）-20</v>
      </c>
      <c r="F10" s="376">
        <f>SUMIF(65:65,E10,66:66)-SUMIF(65:65,C10,66:66)+100</f>
        <v>102</v>
      </c>
      <c r="G10" s="3432" t="str">
        <f>D65</f>
        <v>30（含）-20</v>
      </c>
      <c r="H10" s="127">
        <f>SUMIF(65:65,G10,66:66)-SUMIF(65:65,C10,66:66)+100</f>
        <v>102</v>
      </c>
      <c r="I10" s="3432" t="str">
        <f>D65</f>
        <v>30（含）-20</v>
      </c>
      <c r="J10" s="127">
        <f>SUMIF(65:65,I10,66:66)-SUMIF(65:65,C10,66:66)+100</f>
        <v>102</v>
      </c>
      <c r="K10" s="560"/>
      <c r="L10" s="2717"/>
      <c r="M10" s="2718"/>
      <c r="N10" s="2718"/>
      <c r="O10" s="2718"/>
      <c r="P10" s="3694"/>
      <c r="Q10" s="1341" t="str">
        <f t="shared" si="6"/>
        <v>土地使用年限（年）</v>
      </c>
      <c r="R10" s="699" t="s">
        <v>14</v>
      </c>
      <c r="S10" s="700">
        <f t="shared" si="0"/>
        <v>102</v>
      </c>
      <c r="T10" s="699" t="s">
        <v>14</v>
      </c>
      <c r="U10" s="700">
        <f t="shared" si="1"/>
        <v>102</v>
      </c>
      <c r="V10" s="699" t="s">
        <v>14</v>
      </c>
      <c r="W10" s="700">
        <f t="shared" si="2"/>
        <v>102</v>
      </c>
      <c r="X10" s="701"/>
      <c r="Y10" s="3593"/>
      <c r="Z10" s="52" t="str">
        <f t="shared" si="7"/>
        <v>土地使用年限（年）</v>
      </c>
      <c r="AA10" s="702">
        <f t="shared" si="3"/>
        <v>0.98039215686274506</v>
      </c>
      <c r="AB10" s="702">
        <f t="shared" si="4"/>
        <v>0.98039215686274506</v>
      </c>
      <c r="AC10" s="702">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4"/>
      <c r="Q11" s="1341" t="str">
        <f t="shared" si="6"/>
        <v>容积率</v>
      </c>
      <c r="R11" s="699" t="s">
        <v>14</v>
      </c>
      <c r="S11" s="700">
        <f t="shared" si="0"/>
        <v>100</v>
      </c>
      <c r="T11" s="699" t="s">
        <v>14</v>
      </c>
      <c r="U11" s="700">
        <f t="shared" si="1"/>
        <v>100</v>
      </c>
      <c r="V11" s="699" t="s">
        <v>14</v>
      </c>
      <c r="W11" s="700">
        <f t="shared" si="2"/>
        <v>100</v>
      </c>
      <c r="X11" s="701"/>
      <c r="Y11" s="3593"/>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4"/>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4"/>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4"/>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00" t="s">
        <v>1691</v>
      </c>
      <c r="Q15" s="1350" t="str">
        <f t="shared" si="6"/>
        <v>商业繁华度</v>
      </c>
      <c r="R15" s="703" t="s">
        <v>14</v>
      </c>
      <c r="S15" s="704">
        <f t="shared" si="0"/>
        <v>100</v>
      </c>
      <c r="T15" s="703" t="s">
        <v>14</v>
      </c>
      <c r="U15" s="704">
        <f t="shared" si="1"/>
        <v>100</v>
      </c>
      <c r="V15" s="703" t="s">
        <v>14</v>
      </c>
      <c r="W15" s="704">
        <f t="shared" si="2"/>
        <v>100</v>
      </c>
      <c r="X15" s="1353"/>
      <c r="Y15" s="3702" t="s">
        <v>1691</v>
      </c>
      <c r="Z15" s="1354" t="str">
        <f t="shared" si="7"/>
        <v>商业繁华度</v>
      </c>
      <c r="AA15" s="1351">
        <f t="shared" si="3"/>
        <v>1</v>
      </c>
      <c r="AB15" s="1351">
        <f t="shared" si="4"/>
        <v>1</v>
      </c>
      <c r="AC15" s="1351">
        <f t="shared" si="5"/>
        <v>1</v>
      </c>
    </row>
    <row r="16" spans="1:29" ht="15">
      <c r="A16" s="379"/>
      <c r="B16" s="397"/>
      <c r="C16" s="398" t="s">
        <v>3438</v>
      </c>
      <c r="D16" s="399"/>
      <c r="E16" s="398" t="s">
        <v>3438</v>
      </c>
      <c r="F16" s="400"/>
      <c r="G16" s="398" t="s">
        <v>3438</v>
      </c>
      <c r="H16" s="401"/>
      <c r="I16" s="398" t="s">
        <v>3438</v>
      </c>
      <c r="J16" s="399"/>
      <c r="K16" s="564"/>
      <c r="L16" s="2720"/>
      <c r="M16" s="2714"/>
      <c r="N16" s="2714"/>
      <c r="O16" s="2714"/>
      <c r="P16" s="3701"/>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01"/>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t="s">
        <v>3438</v>
      </c>
      <c r="D18" s="401"/>
      <c r="E18" s="1899" t="s">
        <v>3438</v>
      </c>
      <c r="F18" s="404"/>
      <c r="G18" s="1899" t="s">
        <v>3438</v>
      </c>
      <c r="H18" s="399"/>
      <c r="I18" s="1899" t="s">
        <v>3438</v>
      </c>
      <c r="J18" s="399"/>
      <c r="K18" s="564"/>
      <c r="L18" s="2720"/>
      <c r="M18" s="2714"/>
      <c r="N18" s="2714"/>
      <c r="O18" s="2714"/>
      <c r="P18" s="3701"/>
      <c r="Q18" s="1350"/>
      <c r="R18" s="703"/>
      <c r="S18" s="704"/>
      <c r="T18" s="703"/>
      <c r="U18" s="704"/>
      <c r="V18" s="703"/>
      <c r="W18" s="704"/>
      <c r="X18" s="1353"/>
      <c r="Y18" s="3703"/>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01"/>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t="s">
        <v>3438</v>
      </c>
      <c r="D20" s="399"/>
      <c r="E20" s="398" t="s">
        <v>3438</v>
      </c>
      <c r="F20" s="400"/>
      <c r="G20" s="398" t="s">
        <v>3438</v>
      </c>
      <c r="H20" s="399"/>
      <c r="I20" s="398" t="s">
        <v>3438</v>
      </c>
      <c r="J20" s="399"/>
      <c r="K20" s="564"/>
      <c r="L20" s="2720"/>
      <c r="M20" s="2714"/>
      <c r="N20" s="2714"/>
      <c r="O20" s="2714"/>
      <c r="P20" s="3701"/>
      <c r="Q20" s="1350"/>
      <c r="R20" s="703"/>
      <c r="S20" s="704"/>
      <c r="T20" s="703"/>
      <c r="U20" s="704"/>
      <c r="V20" s="703"/>
      <c r="W20" s="704"/>
      <c r="X20" s="1353"/>
      <c r="Y20" s="3703"/>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01"/>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t="s">
        <v>3464</v>
      </c>
      <c r="D22" s="399"/>
      <c r="E22" s="1899" t="s">
        <v>3464</v>
      </c>
      <c r="F22" s="400"/>
      <c r="G22" s="1899" t="s">
        <v>3464</v>
      </c>
      <c r="H22" s="399"/>
      <c r="I22" s="1899" t="s">
        <v>3464</v>
      </c>
      <c r="J22" s="399"/>
      <c r="K22" s="1128"/>
      <c r="L22" s="2720"/>
      <c r="M22" s="2714"/>
      <c r="N22" s="2714"/>
      <c r="O22" s="2714"/>
      <c r="P22" s="3701"/>
      <c r="Q22" s="1350"/>
      <c r="R22" s="703"/>
      <c r="S22" s="704"/>
      <c r="T22" s="703"/>
      <c r="U22" s="704"/>
      <c r="V22" s="703"/>
      <c r="W22" s="704"/>
      <c r="X22" s="1353"/>
      <c r="Y22" s="3703"/>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20"/>
      <c r="M23" s="2714"/>
      <c r="N23" s="2714"/>
      <c r="O23" s="2714"/>
      <c r="P23" s="3701"/>
      <c r="Q23" s="1350" t="str">
        <f>B23</f>
        <v>自然及人文环境</v>
      </c>
      <c r="R23" s="703" t="s">
        <v>14</v>
      </c>
      <c r="S23" s="704">
        <f>F23</f>
        <v>102</v>
      </c>
      <c r="T23" s="703" t="s">
        <v>14</v>
      </c>
      <c r="U23" s="704">
        <f>H23</f>
        <v>102</v>
      </c>
      <c r="V23" s="703" t="s">
        <v>14</v>
      </c>
      <c r="W23" s="704">
        <f>J23</f>
        <v>100</v>
      </c>
      <c r="X23" s="1353"/>
      <c r="Y23" s="3703"/>
      <c r="Z23" s="1354" t="str">
        <f>Q23</f>
        <v>自然及人文环境</v>
      </c>
      <c r="AA23" s="1351">
        <f t="shared" si="3"/>
        <v>0.98039215686274506</v>
      </c>
      <c r="AB23" s="1351">
        <f t="shared" si="4"/>
        <v>0.98039215686274506</v>
      </c>
      <c r="AC23" s="1351">
        <f t="shared" si="5"/>
        <v>1</v>
      </c>
    </row>
    <row r="24" spans="1:29" ht="15">
      <c r="A24" s="379"/>
      <c r="B24" s="407"/>
      <c r="C24" s="398" t="s">
        <v>3439</v>
      </c>
      <c r="D24" s="399"/>
      <c r="E24" s="398" t="s">
        <v>3438</v>
      </c>
      <c r="F24" s="400"/>
      <c r="G24" s="398" t="s">
        <v>3438</v>
      </c>
      <c r="H24" s="399"/>
      <c r="I24" s="398" t="s">
        <v>3439</v>
      </c>
      <c r="J24" s="399"/>
      <c r="K24" s="564"/>
      <c r="L24" s="2720"/>
      <c r="M24" s="2714"/>
      <c r="N24" s="2714"/>
      <c r="O24" s="2714"/>
      <c r="P24" s="3701"/>
      <c r="Q24" s="1350"/>
      <c r="R24" s="703"/>
      <c r="S24" s="704"/>
      <c r="T24" s="703"/>
      <c r="U24" s="704"/>
      <c r="V24" s="703"/>
      <c r="W24" s="704"/>
      <c r="X24" s="1353"/>
      <c r="Y24" s="3703"/>
      <c r="Z24" s="1354"/>
      <c r="AA24" s="1351">
        <v>1</v>
      </c>
      <c r="AB24" s="1351">
        <v>1</v>
      </c>
      <c r="AC24" s="1351">
        <v>1</v>
      </c>
    </row>
    <row r="25" spans="1:29" ht="15">
      <c r="A25" s="379"/>
      <c r="B25" s="375" t="s">
        <v>1780</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20"/>
      <c r="M25" s="2714"/>
      <c r="N25" s="2714"/>
      <c r="O25" s="2714"/>
      <c r="P25" s="3701"/>
      <c r="Q25" s="1350" t="str">
        <f t="shared" ref="Q25:Q46" si="11">B25</f>
        <v>临街状况</v>
      </c>
      <c r="R25" s="703" t="s">
        <v>14</v>
      </c>
      <c r="S25" s="704">
        <f>F25</f>
        <v>100</v>
      </c>
      <c r="T25" s="703" t="s">
        <v>14</v>
      </c>
      <c r="U25" s="704">
        <f>H25</f>
        <v>100</v>
      </c>
      <c r="V25" s="703" t="s">
        <v>14</v>
      </c>
      <c r="W25" s="704">
        <f>J25</f>
        <v>100</v>
      </c>
      <c r="X25" s="1353"/>
      <c r="Y25" s="3703"/>
      <c r="Z25" s="1354" t="str">
        <f>Q25</f>
        <v>临街状况</v>
      </c>
      <c r="AA25" s="1351">
        <f t="shared" si="3"/>
        <v>1</v>
      </c>
      <c r="AB25" s="1351">
        <f t="shared" si="4"/>
        <v>1</v>
      </c>
      <c r="AC25" s="1351">
        <f t="shared" si="5"/>
        <v>1</v>
      </c>
    </row>
    <row r="26" spans="1:29" ht="15">
      <c r="A26" s="379"/>
      <c r="B26" s="1131" t="s">
        <v>1781</v>
      </c>
      <c r="C26" s="3486" t="s">
        <v>3462</v>
      </c>
      <c r="D26" s="386">
        <v>100</v>
      </c>
      <c r="E26" s="3486" t="s">
        <v>3462</v>
      </c>
      <c r="F26" s="412">
        <f>SUMIF(88:88,E26,89:89)-SUMIF(88:88,C26,89:89)+100</f>
        <v>100</v>
      </c>
      <c r="G26" s="3486" t="s">
        <v>3462</v>
      </c>
      <c r="H26" s="386">
        <f>SUMIF(88:88,G26,89:89)-SUMIF(88:88,C26,89:89)+100</f>
        <v>100</v>
      </c>
      <c r="I26" s="3486" t="s">
        <v>3462</v>
      </c>
      <c r="J26" s="386">
        <f>SUMIF(88:88,I26,89:89)-SUMIF(88:88,C26,89:89)+100</f>
        <v>100</v>
      </c>
      <c r="K26" s="562"/>
      <c r="L26" s="2720"/>
      <c r="M26" s="2714"/>
      <c r="N26" s="2714"/>
      <c r="O26" s="2714"/>
      <c r="P26" s="3701"/>
      <c r="Q26" s="1350" t="str">
        <f t="shared" si="11"/>
        <v>平面位置/可视性</v>
      </c>
      <c r="R26" s="703" t="s">
        <v>14</v>
      </c>
      <c r="S26" s="704">
        <f>F26</f>
        <v>100</v>
      </c>
      <c r="T26" s="703" t="s">
        <v>14</v>
      </c>
      <c r="U26" s="704">
        <f>H26</f>
        <v>100</v>
      </c>
      <c r="V26" s="703" t="s">
        <v>14</v>
      </c>
      <c r="W26" s="704">
        <f>J26</f>
        <v>100</v>
      </c>
      <c r="X26" s="1353"/>
      <c r="Y26" s="3703"/>
      <c r="Z26" s="1354" t="str">
        <f>Q26</f>
        <v>平面位置/可视性</v>
      </c>
      <c r="AA26" s="1351">
        <f t="shared" si="3"/>
        <v>1</v>
      </c>
      <c r="AB26" s="1351">
        <f t="shared" si="4"/>
        <v>1</v>
      </c>
      <c r="AC26" s="1351">
        <f t="shared" si="5"/>
        <v>1</v>
      </c>
    </row>
    <row r="27" spans="1:29" s="108" customFormat="1" ht="15">
      <c r="A27" s="382"/>
      <c r="B27" s="402" t="s">
        <v>1782</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3</v>
      </c>
      <c r="L27" s="2715"/>
      <c r="M27" s="2716"/>
      <c r="N27" s="2716"/>
      <c r="O27" s="2716"/>
      <c r="P27" s="3701"/>
      <c r="Q27" s="1341" t="str">
        <f t="shared" si="11"/>
        <v>人流量</v>
      </c>
      <c r="R27" s="699" t="s">
        <v>14</v>
      </c>
      <c r="S27" s="700">
        <f>F27</f>
        <v>100</v>
      </c>
      <c r="T27" s="699" t="s">
        <v>14</v>
      </c>
      <c r="U27" s="700">
        <f>H27</f>
        <v>100</v>
      </c>
      <c r="V27" s="699" t="s">
        <v>14</v>
      </c>
      <c r="W27" s="700">
        <f>J27</f>
        <v>100</v>
      </c>
      <c r="X27" s="701"/>
      <c r="Y27" s="3703"/>
      <c r="Z27" s="52" t="str">
        <f>Q27</f>
        <v>人流量</v>
      </c>
      <c r="AA27" s="1351">
        <f>D27/F27</f>
        <v>1</v>
      </c>
      <c r="AB27" s="1351">
        <f>D27/H27</f>
        <v>1</v>
      </c>
      <c r="AC27" s="1351">
        <f>D27/J27</f>
        <v>1</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20"/>
      <c r="M28" s="2714"/>
      <c r="N28" s="2714"/>
      <c r="O28" s="2714"/>
      <c r="P28" s="370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3"/>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1"/>
      <c r="Q29" s="1350">
        <f t="shared" si="11"/>
        <v>111</v>
      </c>
      <c r="R29" s="703" t="s">
        <v>14</v>
      </c>
      <c r="S29" s="704">
        <f t="shared" si="12"/>
        <v>100</v>
      </c>
      <c r="T29" s="703" t="s">
        <v>14</v>
      </c>
      <c r="U29" s="704">
        <f t="shared" si="13"/>
        <v>100</v>
      </c>
      <c r="V29" s="703" t="s">
        <v>14</v>
      </c>
      <c r="W29" s="704">
        <f t="shared" si="14"/>
        <v>100</v>
      </c>
      <c r="X29" s="1353"/>
      <c r="Y29" s="3703"/>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1"/>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1"/>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351">
        <f t="shared" si="5"/>
        <v>1</v>
      </c>
    </row>
    <row r="32" spans="1:29" ht="15">
      <c r="A32" s="391" t="s">
        <v>1694</v>
      </c>
      <c r="B32" s="63" t="s">
        <v>1784</v>
      </c>
      <c r="C32" s="1908" t="s">
        <v>3468</v>
      </c>
      <c r="D32" s="418">
        <v>100</v>
      </c>
      <c r="E32" s="1908" t="s">
        <v>3448</v>
      </c>
      <c r="F32" s="412">
        <f>SUMIF(100:100,E32,101:101)-SUMIF(100:100,C32,101:101)+100</f>
        <v>98</v>
      </c>
      <c r="G32" s="1908" t="s">
        <v>3448</v>
      </c>
      <c r="H32" s="386">
        <f>SUMIF(100:100,G32,101:101)-SUMIF(100:100,C32,101:101)+100</f>
        <v>98</v>
      </c>
      <c r="I32" s="1908" t="s">
        <v>3448</v>
      </c>
      <c r="J32" s="418">
        <f>SUMIF(100:100,I32,101:101)-SUMIF(100:100,C32,101:101)+100</f>
        <v>98</v>
      </c>
      <c r="K32" s="561">
        <v>2</v>
      </c>
      <c r="L32" s="2720"/>
      <c r="M32" s="2714"/>
      <c r="N32" s="2714"/>
      <c r="O32" s="2714"/>
      <c r="P32" s="3704" t="s">
        <v>1696</v>
      </c>
      <c r="Q32" s="1350" t="str">
        <f t="shared" si="11"/>
        <v>商业类型</v>
      </c>
      <c r="R32" s="703" t="s">
        <v>14</v>
      </c>
      <c r="S32" s="704">
        <f t="shared" si="12"/>
        <v>98</v>
      </c>
      <c r="T32" s="703" t="s">
        <v>14</v>
      </c>
      <c r="U32" s="704">
        <f t="shared" si="13"/>
        <v>98</v>
      </c>
      <c r="V32" s="703" t="s">
        <v>14</v>
      </c>
      <c r="W32" s="704">
        <f t="shared" si="14"/>
        <v>98</v>
      </c>
      <c r="X32" s="1353"/>
      <c r="Y32" s="3707"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'数据-汇总表'!E3</f>
        <v>279.52999999999997</v>
      </c>
      <c r="D33" s="127">
        <v>100</v>
      </c>
      <c r="E33" s="420">
        <v>159.93</v>
      </c>
      <c r="F33" s="376">
        <f>LOOKUP(E33,103:103,104:104)-LOOKUP(C33,103:103,104:104)+100</f>
        <v>101</v>
      </c>
      <c r="G33" s="420">
        <v>85.82</v>
      </c>
      <c r="H33" s="127">
        <f>LOOKUP(G33,103:103,104:104)-LOOKUP(C33,103:103,104:104)+100</f>
        <v>102</v>
      </c>
      <c r="I33" s="420">
        <v>49.68</v>
      </c>
      <c r="J33" s="127">
        <f>LOOKUP(I33,103:103,104:104)-LOOKUP(C33,103:103,104:104)+100</f>
        <v>102</v>
      </c>
      <c r="K33" s="562"/>
      <c r="L33" s="2719"/>
      <c r="M33" s="2721"/>
      <c r="N33" s="2721"/>
      <c r="O33" s="2721"/>
      <c r="P33" s="3705"/>
      <c r="Q33" s="705" t="str">
        <f t="shared" si="11"/>
        <v>项目建筑规模</v>
      </c>
      <c r="R33" s="706" t="s">
        <v>14</v>
      </c>
      <c r="S33" s="707">
        <f t="shared" si="12"/>
        <v>101</v>
      </c>
      <c r="T33" s="706" t="s">
        <v>14</v>
      </c>
      <c r="U33" s="707">
        <f t="shared" si="13"/>
        <v>102</v>
      </c>
      <c r="V33" s="706" t="s">
        <v>14</v>
      </c>
      <c r="W33" s="707">
        <f t="shared" si="14"/>
        <v>102</v>
      </c>
      <c r="X33" s="708"/>
      <c r="Y33" s="3707"/>
      <c r="Z33" s="709" t="str">
        <f t="shared" si="15"/>
        <v>项目建筑规模</v>
      </c>
      <c r="AA33" s="1351">
        <f t="shared" si="3"/>
        <v>0.99009900990099009</v>
      </c>
      <c r="AB33" s="1351">
        <f t="shared" si="4"/>
        <v>0.98039215686274506</v>
      </c>
      <c r="AC33" s="1351">
        <f t="shared" si="5"/>
        <v>0.98039215686274506</v>
      </c>
    </row>
    <row r="34" spans="1:29" ht="15">
      <c r="A34" s="423"/>
      <c r="B34" s="375" t="s">
        <v>1698</v>
      </c>
      <c r="C34" s="1910" t="s">
        <v>3424</v>
      </c>
      <c r="D34" s="386">
        <v>100</v>
      </c>
      <c r="E34" s="1910" t="s">
        <v>3424</v>
      </c>
      <c r="F34" s="412">
        <f>SUMIF(105:105,E34,106:106)-SUMIF(105:105,C34,106:106)+100</f>
        <v>100</v>
      </c>
      <c r="G34" s="1910" t="s">
        <v>3424</v>
      </c>
      <c r="H34" s="386">
        <f>SUMIF(105:105,G34,106:106)-SUMIF(105:105,C34,106:106)+100</f>
        <v>100</v>
      </c>
      <c r="I34" s="1910" t="s">
        <v>3424</v>
      </c>
      <c r="J34" s="386">
        <f>SUMIF(105:105,I34,106:106)-SUMIF(105:105,C34,106:106)+100</f>
        <v>100</v>
      </c>
      <c r="K34" s="561">
        <v>1</v>
      </c>
      <c r="L34" s="2720"/>
      <c r="M34" s="2714"/>
      <c r="N34" s="2714"/>
      <c r="O34" s="2714"/>
      <c r="P34" s="3705"/>
      <c r="Q34" s="1350" t="str">
        <f t="shared" si="11"/>
        <v>建筑结构</v>
      </c>
      <c r="R34" s="703" t="s">
        <v>14</v>
      </c>
      <c r="S34" s="704">
        <f t="shared" si="12"/>
        <v>100</v>
      </c>
      <c r="T34" s="703" t="s">
        <v>14</v>
      </c>
      <c r="U34" s="704">
        <f t="shared" si="13"/>
        <v>100</v>
      </c>
      <c r="V34" s="703" t="s">
        <v>14</v>
      </c>
      <c r="W34" s="704">
        <f t="shared" si="14"/>
        <v>100</v>
      </c>
      <c r="X34" s="1353"/>
      <c r="Y34" s="3707"/>
      <c r="Z34" s="1354" t="str">
        <f t="shared" si="15"/>
        <v>建筑结构</v>
      </c>
      <c r="AA34" s="1351">
        <f t="shared" si="3"/>
        <v>1</v>
      </c>
      <c r="AB34" s="1351">
        <f t="shared" si="4"/>
        <v>1</v>
      </c>
      <c r="AC34" s="1351">
        <f t="shared" si="5"/>
        <v>1</v>
      </c>
    </row>
    <row r="35" spans="1:29" ht="15">
      <c r="A35" s="423"/>
      <c r="B35" s="375" t="s">
        <v>1785</v>
      </c>
      <c r="C35" s="1904" t="s">
        <v>3451</v>
      </c>
      <c r="D35" s="386">
        <v>100</v>
      </c>
      <c r="E35" s="1904" t="s">
        <v>3451</v>
      </c>
      <c r="F35" s="412">
        <f>SUMIF(107:107,E35,108:108)-SUMIF(107:107,C35,108:108)+100</f>
        <v>100</v>
      </c>
      <c r="G35" s="1904" t="s">
        <v>3451</v>
      </c>
      <c r="H35" s="386">
        <f>SUMIF(107:107,G35,108:108)-SUMIF(107:107,C35,108:108)+100</f>
        <v>100</v>
      </c>
      <c r="I35" s="1904" t="s">
        <v>3451</v>
      </c>
      <c r="J35" s="386">
        <f>SUMIF(107:107,I35,108:108)-SUMIF(107:107,C35,108:108)+100</f>
        <v>100</v>
      </c>
      <c r="K35" s="561">
        <v>1</v>
      </c>
      <c r="L35" s="2720"/>
      <c r="M35" s="2714"/>
      <c r="N35" s="2714"/>
      <c r="O35" s="2714"/>
      <c r="P35" s="3705"/>
      <c r="Q35" s="1350" t="str">
        <f t="shared" si="11"/>
        <v>公共部分装修</v>
      </c>
      <c r="R35" s="703" t="s">
        <v>14</v>
      </c>
      <c r="S35" s="704">
        <f t="shared" si="12"/>
        <v>100</v>
      </c>
      <c r="T35" s="703" t="s">
        <v>14</v>
      </c>
      <c r="U35" s="704">
        <f t="shared" si="13"/>
        <v>100</v>
      </c>
      <c r="V35" s="703" t="s">
        <v>14</v>
      </c>
      <c r="W35" s="704">
        <f t="shared" si="14"/>
        <v>100</v>
      </c>
      <c r="X35" s="1353"/>
      <c r="Y35" s="3707"/>
      <c r="Z35" s="1354" t="str">
        <f t="shared" si="15"/>
        <v>公共部分装修</v>
      </c>
      <c r="AA35" s="1351">
        <f t="shared" si="3"/>
        <v>1</v>
      </c>
      <c r="AB35" s="1351">
        <f t="shared" si="4"/>
        <v>1</v>
      </c>
      <c r="AC35" s="1351">
        <f t="shared" si="5"/>
        <v>1</v>
      </c>
    </row>
    <row r="36" spans="1:29" ht="15">
      <c r="A36" s="423"/>
      <c r="B36" s="375" t="s">
        <v>1786</v>
      </c>
      <c r="C36" s="425">
        <f>'数据-取费表'!N6</f>
        <v>0.73</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20"/>
      <c r="M36" s="2714"/>
      <c r="N36" s="2714"/>
      <c r="O36" s="2714"/>
      <c r="P36" s="3705"/>
      <c r="Q36" s="1350" t="str">
        <f t="shared" si="11"/>
        <v>成新度</v>
      </c>
      <c r="R36" s="703" t="s">
        <v>14</v>
      </c>
      <c r="S36" s="704">
        <f t="shared" si="12"/>
        <v>101</v>
      </c>
      <c r="T36" s="703" t="s">
        <v>14</v>
      </c>
      <c r="U36" s="704">
        <f t="shared" si="13"/>
        <v>101</v>
      </c>
      <c r="V36" s="703" t="s">
        <v>14</v>
      </c>
      <c r="W36" s="704">
        <f t="shared" si="14"/>
        <v>101</v>
      </c>
      <c r="X36" s="1353"/>
      <c r="Y36" s="3707"/>
      <c r="Z36" s="1354" t="str">
        <f t="shared" si="15"/>
        <v>成新度</v>
      </c>
      <c r="AA36" s="1351">
        <f t="shared" si="3"/>
        <v>0.99009900990099009</v>
      </c>
      <c r="AB36" s="1351">
        <f t="shared" si="4"/>
        <v>0.99009900990099009</v>
      </c>
      <c r="AC36" s="1351">
        <f t="shared" si="5"/>
        <v>0.99009900990099009</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5"/>
      <c r="Q37" s="1341" t="str">
        <f t="shared" si="11"/>
        <v>市政基础设施</v>
      </c>
      <c r="R37" s="699" t="s">
        <v>14</v>
      </c>
      <c r="S37" s="700">
        <f t="shared" si="12"/>
        <v>100</v>
      </c>
      <c r="T37" s="699" t="s">
        <v>14</v>
      </c>
      <c r="U37" s="700">
        <f t="shared" si="13"/>
        <v>100</v>
      </c>
      <c r="V37" s="699" t="s">
        <v>14</v>
      </c>
      <c r="W37" s="700">
        <f t="shared" si="14"/>
        <v>100</v>
      </c>
      <c r="X37" s="701"/>
      <c r="Y37" s="3707"/>
      <c r="Z37" s="52" t="str">
        <f t="shared" si="15"/>
        <v>市政基础设施</v>
      </c>
      <c r="AA37" s="702">
        <f t="shared" si="3"/>
        <v>1</v>
      </c>
      <c r="AB37" s="702">
        <f t="shared" si="4"/>
        <v>1</v>
      </c>
      <c r="AC37" s="702">
        <f t="shared" si="5"/>
        <v>1</v>
      </c>
    </row>
    <row r="38" spans="1:29" ht="15">
      <c r="A38" s="423"/>
      <c r="B38" s="375" t="s">
        <v>1788</v>
      </c>
      <c r="C38" s="1904" t="s">
        <v>3455</v>
      </c>
      <c r="D38" s="386">
        <v>100</v>
      </c>
      <c r="E38" s="1904" t="s">
        <v>3456</v>
      </c>
      <c r="F38" s="412">
        <f>SUMIF(114:114,E38,115:115)-SUMIF(114:114,C38,115:115)+100</f>
        <v>97</v>
      </c>
      <c r="G38" s="1904" t="s">
        <v>3456</v>
      </c>
      <c r="H38" s="386">
        <f>SUMIF(114:114,G38,115:115)-SUMIF(114:114,C38,115:115)+100</f>
        <v>97</v>
      </c>
      <c r="I38" s="1904" t="s">
        <v>3456</v>
      </c>
      <c r="J38" s="386">
        <f>SUMIF(114:114,I38,115:115)-SUMIF(114:114,C38,115:115)+100</f>
        <v>97</v>
      </c>
      <c r="K38" s="561">
        <v>3</v>
      </c>
      <c r="L38" s="2720"/>
      <c r="M38" s="2714"/>
      <c r="N38" s="2714"/>
      <c r="O38" s="2714"/>
      <c r="P38" s="3705" t="s">
        <v>1696</v>
      </c>
      <c r="Q38" s="1350" t="str">
        <f t="shared" si="11"/>
        <v>业态</v>
      </c>
      <c r="R38" s="703" t="s">
        <v>14</v>
      </c>
      <c r="S38" s="704">
        <f t="shared" si="12"/>
        <v>97</v>
      </c>
      <c r="T38" s="703" t="s">
        <v>14</v>
      </c>
      <c r="U38" s="704">
        <f t="shared" si="13"/>
        <v>97</v>
      </c>
      <c r="V38" s="703" t="s">
        <v>14</v>
      </c>
      <c r="W38" s="704">
        <f t="shared" si="14"/>
        <v>97</v>
      </c>
      <c r="X38" s="1353"/>
      <c r="Y38" s="3707" t="s">
        <v>1696</v>
      </c>
      <c r="Z38" s="1354" t="str">
        <f t="shared" si="15"/>
        <v>业态</v>
      </c>
      <c r="AA38" s="1351">
        <f t="shared" si="3"/>
        <v>1.0309278350515463</v>
      </c>
      <c r="AB38" s="1351">
        <f t="shared" si="4"/>
        <v>1.0309278350515463</v>
      </c>
      <c r="AC38" s="1351">
        <f t="shared" si="5"/>
        <v>1.0309278350515463</v>
      </c>
    </row>
    <row r="39" spans="1:29" ht="15">
      <c r="A39" s="423"/>
      <c r="B39" s="375" t="s">
        <v>1789</v>
      </c>
      <c r="C39" s="1904" t="s">
        <v>3457</v>
      </c>
      <c r="D39" s="386">
        <v>100</v>
      </c>
      <c r="E39" s="1904" t="s">
        <v>3457</v>
      </c>
      <c r="F39" s="412">
        <f>SUMIF(116:116,E39,117:117)-SUMIF(116:116,C39,117:117)+100</f>
        <v>100</v>
      </c>
      <c r="G39" s="1904" t="s">
        <v>3457</v>
      </c>
      <c r="H39" s="386">
        <f>SUMIF(116:116,G39,117:117)-SUMIF(116:116,C39,117:117)+100</f>
        <v>100</v>
      </c>
      <c r="I39" s="1904" t="s">
        <v>3457</v>
      </c>
      <c r="J39" s="386">
        <f>SUMIF(116:116,I39,117:117)-SUMIF(116:116,C39,117:117)+100</f>
        <v>100</v>
      </c>
      <c r="K39" s="561">
        <v>2</v>
      </c>
      <c r="L39" s="2720"/>
      <c r="M39" s="2714"/>
      <c r="N39" s="2714"/>
      <c r="O39" s="2714"/>
      <c r="P39" s="3705"/>
      <c r="Q39" s="1350" t="str">
        <f t="shared" si="11"/>
        <v>层高</v>
      </c>
      <c r="R39" s="703" t="s">
        <v>14</v>
      </c>
      <c r="S39" s="704">
        <f t="shared" si="12"/>
        <v>100</v>
      </c>
      <c r="T39" s="703" t="s">
        <v>14</v>
      </c>
      <c r="U39" s="704">
        <f t="shared" si="13"/>
        <v>100</v>
      </c>
      <c r="V39" s="703" t="s">
        <v>14</v>
      </c>
      <c r="W39" s="704">
        <f t="shared" si="14"/>
        <v>100</v>
      </c>
      <c r="X39" s="1353"/>
      <c r="Y39" s="3707"/>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05"/>
      <c r="Q40" s="1350" t="str">
        <f t="shared" si="11"/>
        <v>单套建筑面积</v>
      </c>
      <c r="R40" s="703" t="s">
        <v>14</v>
      </c>
      <c r="S40" s="704">
        <f t="shared" si="12"/>
        <v>100</v>
      </c>
      <c r="T40" s="703" t="s">
        <v>14</v>
      </c>
      <c r="U40" s="704">
        <f t="shared" si="13"/>
        <v>100</v>
      </c>
      <c r="V40" s="703" t="s">
        <v>14</v>
      </c>
      <c r="W40" s="704">
        <f t="shared" si="14"/>
        <v>100</v>
      </c>
      <c r="X40" s="1353"/>
      <c r="Y40" s="3707"/>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5" t="str">
        <f t="shared" si="11"/>
        <v>进深比</v>
      </c>
      <c r="R41" s="706" t="s">
        <v>14</v>
      </c>
      <c r="S41" s="707">
        <f t="shared" si="12"/>
        <v>100</v>
      </c>
      <c r="T41" s="706" t="s">
        <v>14</v>
      </c>
      <c r="U41" s="707">
        <f t="shared" si="13"/>
        <v>100</v>
      </c>
      <c r="V41" s="706" t="s">
        <v>14</v>
      </c>
      <c r="W41" s="707">
        <f t="shared" si="14"/>
        <v>100</v>
      </c>
      <c r="X41" s="708"/>
      <c r="Y41" s="3707"/>
      <c r="Z41" s="709" t="str">
        <f t="shared" si="15"/>
        <v>进深比</v>
      </c>
      <c r="AA41" s="1351">
        <f t="shared" si="3"/>
        <v>1</v>
      </c>
      <c r="AB41" s="1351">
        <f t="shared" si="4"/>
        <v>1</v>
      </c>
      <c r="AC41" s="1351">
        <f t="shared" si="5"/>
        <v>1</v>
      </c>
    </row>
    <row r="42" spans="1:29" ht="15">
      <c r="A42" s="423"/>
      <c r="B42" s="375" t="s">
        <v>1792</v>
      </c>
      <c r="C42" s="1904" t="s">
        <v>3451</v>
      </c>
      <c r="D42" s="386">
        <v>100</v>
      </c>
      <c r="E42" s="1904" t="s">
        <v>3451</v>
      </c>
      <c r="F42" s="412">
        <f>SUMIF(122:122,E42,123:123)-SUMIF(122:122,C42,123:123)+100</f>
        <v>100</v>
      </c>
      <c r="G42" s="1904" t="s">
        <v>3451</v>
      </c>
      <c r="H42" s="386">
        <f>SUMIF(122:122,G42,123:123)-SUMIF(122:122,C42,123:123)+100</f>
        <v>100</v>
      </c>
      <c r="I42" s="1904" t="s">
        <v>3451</v>
      </c>
      <c r="J42" s="386">
        <f>SUMIF(122:122,I42,123:123)-SUMIF(122:122,C42,123:123)+100</f>
        <v>100</v>
      </c>
      <c r="K42" s="561">
        <v>1</v>
      </c>
      <c r="L42" s="2720"/>
      <c r="M42" s="2714"/>
      <c r="N42" s="2714"/>
      <c r="O42" s="2714"/>
      <c r="P42" s="3705"/>
      <c r="Q42" s="1350" t="str">
        <f t="shared" si="11"/>
        <v>内部装修</v>
      </c>
      <c r="R42" s="703" t="s">
        <v>14</v>
      </c>
      <c r="S42" s="704">
        <f t="shared" si="12"/>
        <v>100</v>
      </c>
      <c r="T42" s="703" t="s">
        <v>14</v>
      </c>
      <c r="U42" s="704">
        <f t="shared" si="13"/>
        <v>100</v>
      </c>
      <c r="V42" s="703" t="s">
        <v>14</v>
      </c>
      <c r="W42" s="704">
        <f t="shared" si="14"/>
        <v>100</v>
      </c>
      <c r="X42" s="1353"/>
      <c r="Y42" s="3707"/>
      <c r="Z42" s="1354" t="str">
        <f t="shared" si="15"/>
        <v>内部装修</v>
      </c>
      <c r="AA42" s="1351">
        <f t="shared" si="3"/>
        <v>1</v>
      </c>
      <c r="AB42" s="1351">
        <f t="shared" si="4"/>
        <v>1</v>
      </c>
      <c r="AC42" s="1351">
        <f t="shared" si="5"/>
        <v>1</v>
      </c>
    </row>
    <row r="43" spans="1:29" ht="15">
      <c r="A43" s="423"/>
      <c r="B43" s="375" t="s">
        <v>1707</v>
      </c>
      <c r="C43" s="1904" t="s">
        <v>3438</v>
      </c>
      <c r="D43" s="386">
        <v>100</v>
      </c>
      <c r="E43" s="1904" t="s">
        <v>3438</v>
      </c>
      <c r="F43" s="412">
        <f>SUMIF(124:124,E43,125:125)-SUMIF(124:124,C43,125:125)+100</f>
        <v>100</v>
      </c>
      <c r="G43" s="1904" t="s">
        <v>3438</v>
      </c>
      <c r="H43" s="386">
        <f>SUMIF(124:124,G43,125:125)-SUMIF(124:124,C43,125:125)+100</f>
        <v>100</v>
      </c>
      <c r="I43" s="1904" t="s">
        <v>3438</v>
      </c>
      <c r="J43" s="386">
        <f>SUMIF(124:124,I43,125:125)-SUMIF(124:124,C43,125:125)+100</f>
        <v>100</v>
      </c>
      <c r="K43" s="561">
        <v>1</v>
      </c>
      <c r="L43" s="2720"/>
      <c r="M43" s="2714"/>
      <c r="N43" s="2714"/>
      <c r="O43" s="2714"/>
      <c r="P43" s="3705"/>
      <c r="Q43" s="1350" t="str">
        <f t="shared" si="11"/>
        <v>内部装修维护情况</v>
      </c>
      <c r="R43" s="703" t="s">
        <v>14</v>
      </c>
      <c r="S43" s="704">
        <f t="shared" si="12"/>
        <v>100</v>
      </c>
      <c r="T43" s="703" t="s">
        <v>14</v>
      </c>
      <c r="U43" s="704">
        <f t="shared" si="13"/>
        <v>100</v>
      </c>
      <c r="V43" s="703" t="s">
        <v>14</v>
      </c>
      <c r="W43" s="704">
        <f t="shared" si="14"/>
        <v>100</v>
      </c>
      <c r="X43" s="1353"/>
      <c r="Y43" s="3707"/>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1">
        <f t="shared" si="11"/>
        <v>111</v>
      </c>
      <c r="R44" s="699" t="s">
        <v>14</v>
      </c>
      <c r="S44" s="700">
        <f t="shared" si="12"/>
        <v>100</v>
      </c>
      <c r="T44" s="699" t="s">
        <v>14</v>
      </c>
      <c r="U44" s="700">
        <f t="shared" si="13"/>
        <v>100</v>
      </c>
      <c r="V44" s="699" t="s">
        <v>14</v>
      </c>
      <c r="W44" s="700">
        <f t="shared" si="14"/>
        <v>100</v>
      </c>
      <c r="X44" s="701"/>
      <c r="Y44" s="3707"/>
      <c r="Z44" s="52">
        <f t="shared" si="15"/>
        <v>111</v>
      </c>
      <c r="AA44" s="702">
        <f t="shared" si="3"/>
        <v>1</v>
      </c>
      <c r="AB44" s="702">
        <f t="shared" si="4"/>
        <v>1</v>
      </c>
      <c r="AC44" s="702">
        <f t="shared" si="5"/>
        <v>1</v>
      </c>
    </row>
    <row r="45" spans="1:29" ht="15">
      <c r="A45" s="423"/>
      <c r="B45" s="3489" t="s">
        <v>3474</v>
      </c>
      <c r="C45" s="385">
        <v>2013</v>
      </c>
      <c r="D45" s="386">
        <v>100</v>
      </c>
      <c r="E45" s="385" t="s">
        <v>3475</v>
      </c>
      <c r="F45" s="412">
        <f>SUMIF(128:128,E45,129:129)-SUMIF(128:128,C45,129:129)+100</f>
        <v>100</v>
      </c>
      <c r="G45" s="385" t="s">
        <v>3473</v>
      </c>
      <c r="H45" s="386">
        <f>SUMIF(128:128,G45,129:129)-SUMIF(128:128,C45,129:129)+100</f>
        <v>100</v>
      </c>
      <c r="I45" s="385">
        <v>2015</v>
      </c>
      <c r="J45" s="386">
        <f>SUMIF(128:128,I45,129:129)-SUMIF(128:128,C45,129:129)+100</f>
        <v>100</v>
      </c>
      <c r="K45" s="562"/>
      <c r="L45" s="2720"/>
      <c r="M45" s="2714"/>
      <c r="N45" s="2714"/>
      <c r="O45" s="2714"/>
      <c r="P45" s="3705"/>
      <c r="Q45" s="1350" t="str">
        <f t="shared" si="11"/>
        <v>建成年代</v>
      </c>
      <c r="R45" s="703" t="s">
        <v>14</v>
      </c>
      <c r="S45" s="704">
        <f t="shared" si="12"/>
        <v>100</v>
      </c>
      <c r="T45" s="703" t="s">
        <v>14</v>
      </c>
      <c r="U45" s="704">
        <f t="shared" si="13"/>
        <v>100</v>
      </c>
      <c r="V45" s="703" t="s">
        <v>14</v>
      </c>
      <c r="W45" s="704">
        <f t="shared" si="14"/>
        <v>100</v>
      </c>
      <c r="X45" s="1353"/>
      <c r="Y45" s="3707"/>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351">
        <f t="shared" si="5"/>
        <v>1</v>
      </c>
    </row>
    <row r="47" spans="1:29" ht="15">
      <c r="A47" s="430" t="s">
        <v>1708</v>
      </c>
      <c r="B47" s="431"/>
      <c r="C47" s="1152" t="s">
        <v>0</v>
      </c>
      <c r="D47" s="1153"/>
      <c r="E47" s="1154">
        <v>29951</v>
      </c>
      <c r="F47" s="1155"/>
      <c r="G47" s="1156">
        <v>33792</v>
      </c>
      <c r="H47" s="1157"/>
      <c r="I47" s="1154">
        <v>30194</v>
      </c>
      <c r="J47" s="1157"/>
      <c r="K47" s="712"/>
      <c r="L47" s="2722"/>
      <c r="M47" s="2723"/>
      <c r="N47" s="2714"/>
      <c r="O47" s="2723"/>
      <c r="P47" s="3695" t="str">
        <f>A47</f>
        <v>成交单价（元/平方米）</v>
      </c>
      <c r="Q47" s="3695"/>
      <c r="R47" s="3729">
        <f>E47</f>
        <v>29951</v>
      </c>
      <c r="S47" s="3729"/>
      <c r="T47" s="3729">
        <f>G47</f>
        <v>33792</v>
      </c>
      <c r="U47" s="3729"/>
      <c r="V47" s="3729">
        <f>I47</f>
        <v>30194</v>
      </c>
      <c r="W47" s="3729"/>
      <c r="X47" s="688"/>
      <c r="Y47" s="710"/>
      <c r="Z47" s="688"/>
      <c r="AA47" s="688"/>
      <c r="AB47" s="688"/>
      <c r="AC47" s="688"/>
    </row>
    <row r="48" spans="1:29" ht="15.75" thickBot="1">
      <c r="A48" s="437" t="s">
        <v>1793</v>
      </c>
      <c r="B48" s="438"/>
      <c r="C48" s="1158">
        <f>R49</f>
        <v>30123</v>
      </c>
      <c r="D48" s="2315" t="s">
        <v>2135</v>
      </c>
      <c r="E48" s="1159">
        <f>R48</f>
        <v>28823</v>
      </c>
      <c r="F48" s="2316"/>
      <c r="G48" s="1158">
        <f>T48</f>
        <v>32200</v>
      </c>
      <c r="H48" s="2316"/>
      <c r="I48" s="1159">
        <f>V48</f>
        <v>29347</v>
      </c>
      <c r="J48" s="2316"/>
      <c r="K48" s="2318">
        <f>F48+H48+J48</f>
        <v>0</v>
      </c>
      <c r="L48" s="2722"/>
      <c r="M48" s="2723"/>
      <c r="N48" s="2714"/>
      <c r="O48" s="2723"/>
      <c r="P48" s="3695" t="str">
        <f>A48</f>
        <v>比较价值（元/平方米）</v>
      </c>
      <c r="Q48" s="3695"/>
      <c r="R48" s="3696">
        <f>IF(F1="售价",ROUND(PRODUCT(R47,AA7:AA46),0),ROUND(PRODUCT(R47,AA7:AA46),1))</f>
        <v>28823</v>
      </c>
      <c r="S48" s="3696"/>
      <c r="T48" s="3696">
        <f>IF(F1="售价",ROUND(PRODUCT(T47,AB7:AB46),0),ROUND(PRODUCT(T47,AB7:AB46),1))</f>
        <v>32200</v>
      </c>
      <c r="U48" s="3696"/>
      <c r="V48" s="3696">
        <f>IF(F1="售价",ROUND(PRODUCT(V47,AC7:AC46),0),ROUND(PRODUCT(V47,AC7:AC46),1))</f>
        <v>29347</v>
      </c>
      <c r="W48" s="3696"/>
      <c r="X48" s="688"/>
      <c r="Y48" s="688"/>
      <c r="Z48" s="688"/>
      <c r="AA48" s="688"/>
      <c r="AB48" s="688"/>
      <c r="AC48" s="688"/>
    </row>
    <row r="49" spans="1:29" ht="15.75" thickBot="1">
      <c r="A49" s="441" t="s">
        <v>1794</v>
      </c>
      <c r="B49" s="442"/>
      <c r="C49" s="1161">
        <f>R49</f>
        <v>30123</v>
      </c>
      <c r="D49" s="1161"/>
      <c r="E49" s="1161"/>
      <c r="F49" s="1161"/>
      <c r="G49" s="1161"/>
      <c r="H49" s="1161"/>
      <c r="I49" s="1161"/>
      <c r="J49" s="1161"/>
      <c r="K49" s="713"/>
      <c r="L49" s="2722"/>
      <c r="M49" s="2723"/>
      <c r="N49" s="2714"/>
      <c r="O49" s="2723"/>
      <c r="P49" s="3745" t="str">
        <f>A49</f>
        <v>估价对象XX用房的比较价值（楼面单价，元/平方米）</v>
      </c>
      <c r="Q49" s="3746"/>
      <c r="R49" s="3747">
        <f>IF(F1="售价",ROUND(IF(D48="简单平均",AVERAGE(R48:V48),R48*F48+T48*H48+V48*J48),0),ROUND(IF(D48="简单平均",AVERAGE(R48:V48),R48*F48+T48*H48+V48*J48),1))</f>
        <v>30123</v>
      </c>
      <c r="S49" s="3747"/>
      <c r="T49" s="3747"/>
      <c r="U49" s="3747"/>
      <c r="V49" s="3747"/>
      <c r="W49" s="37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3.9135412691253535E-2</v>
      </c>
      <c r="F52" s="449" t="str">
        <f>IF(OR(E52&gt;=0.3,E52&lt;=-0.3),"超过30%","")</f>
        <v/>
      </c>
      <c r="G52" s="448">
        <f>IF(G47&lt;G48,G48/G47-1,G47/G48-1)</f>
        <v>4.9440993788819831E-2</v>
      </c>
      <c r="H52" s="449" t="str">
        <f>IF(OR(G52&gt;=0.3,G52&lt;=-0.3),"超过30%","")</f>
        <v/>
      </c>
      <c r="I52" s="448">
        <f>IF(I47&lt;I48,I48/I47-1,I47/I48-1)</f>
        <v>2.8861553140014262E-2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0.11716337647018005</v>
      </c>
      <c r="F53" s="449" t="str">
        <f>IF(OR(E53&gt;=0.2,E53&lt;=-0.2),"超过20%","")</f>
        <v/>
      </c>
      <c r="G53" s="448">
        <f>IF(G48&lt;I48,I48/G48-1,G48/I48-1)</f>
        <v>9.7216069785668102E-2</v>
      </c>
      <c r="H53" s="449" t="str">
        <f>IF(OR(G53&gt;=0.2,G53&lt;=-0.2),"超过20%","")</f>
        <v/>
      </c>
      <c r="I53" s="448">
        <f>IF(I48&lt;E48,E48/I48-1,I48/E48-1)</f>
        <v>1.817992575373828E-2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80" t="s">
        <v>3429</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3430</v>
      </c>
      <c r="D65" s="532" t="s">
        <v>3431</v>
      </c>
      <c r="E65" s="532" t="s">
        <v>3432</v>
      </c>
      <c r="F65" s="532" t="s">
        <v>3433</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81" t="s">
        <v>3435</v>
      </c>
      <c r="D86" s="3481" t="s">
        <v>3436</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3437</v>
      </c>
      <c r="D88" s="503" t="s">
        <v>3438</v>
      </c>
      <c r="E88" s="503" t="s">
        <v>3439</v>
      </c>
      <c r="F88" s="1925" t="s">
        <v>3440</v>
      </c>
      <c r="G88" s="503" t="s">
        <v>3441</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81" t="s">
        <v>3442</v>
      </c>
      <c r="D90" s="3481" t="s">
        <v>3443</v>
      </c>
      <c r="E90" s="3481" t="s">
        <v>3444</v>
      </c>
      <c r="F90" s="3481" t="s">
        <v>3445</v>
      </c>
      <c r="G90" s="3481" t="s">
        <v>3446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3447</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82" t="s">
        <v>3469</v>
      </c>
      <c r="D100" s="3482" t="s">
        <v>3449</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485">
        <v>98</v>
      </c>
      <c r="F104" s="485">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81" t="s">
        <v>3450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83" t="s">
        <v>3451</v>
      </c>
      <c r="D107" s="3483" t="s">
        <v>3452</v>
      </c>
      <c r="E107" s="3483" t="s">
        <v>3453</v>
      </c>
      <c r="F107" s="3484" t="s">
        <v>3454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83" t="s">
        <v>3455</v>
      </c>
      <c r="D114" s="3483" t="s">
        <v>3456</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81" t="s">
        <v>3458</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83" t="s">
        <v>3451</v>
      </c>
      <c r="D122" s="3483" t="s">
        <v>3452</v>
      </c>
      <c r="E122" s="3483" t="s">
        <v>3453</v>
      </c>
      <c r="F122" s="3484" t="s">
        <v>3454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t="str">
        <f>B45</f>
        <v>建成年代</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16" zoomScale="90" zoomScaleNormal="70" zoomScaleSheetLayoutView="90" workbookViewId="0">
      <selection activeCell="L31" sqref="L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3459</v>
      </c>
      <c r="F1" s="1877" t="s">
        <v>3508</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0.13139999999999999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4.7</v>
      </c>
      <c r="C3" s="354" t="s">
        <v>1665</v>
      </c>
      <c r="D3" s="353">
        <f>IF(D1="",'数据-汇总表'!E3,SUMIF('数据-汇总表'!$C19:$C33,D1,'数据-汇总表'!$E19:$E33))</f>
        <v>279.52999999999997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712" t="s">
        <v>1667</v>
      </c>
      <c r="D4" s="3713"/>
      <c r="E4" s="3714" t="s">
        <v>1668</v>
      </c>
      <c r="F4" s="3715"/>
      <c r="G4" s="3712" t="s">
        <v>1669</v>
      </c>
      <c r="H4" s="3713"/>
      <c r="I4" s="3712" t="s">
        <v>1670</v>
      </c>
      <c r="J4" s="3713"/>
      <c r="K4" s="559" t="s">
        <v>1671</v>
      </c>
      <c r="L4" s="2713"/>
      <c r="M4" s="2714"/>
      <c r="N4" s="2714"/>
      <c r="O4" s="2714"/>
      <c r="P4" s="3716" t="s">
        <v>1672</v>
      </c>
      <c r="Q4" s="3717"/>
      <c r="R4" s="3722" t="s">
        <v>1668</v>
      </c>
      <c r="S4" s="3723"/>
      <c r="T4" s="3722" t="s">
        <v>1669</v>
      </c>
      <c r="U4" s="3723"/>
      <c r="V4" s="3728" t="s">
        <v>1670</v>
      </c>
      <c r="W4" s="3728"/>
      <c r="X4" s="3496"/>
      <c r="Y4" s="3722" t="s">
        <v>1672</v>
      </c>
      <c r="Z4" s="3723"/>
      <c r="AA4" s="3740" t="s">
        <v>1668</v>
      </c>
      <c r="AB4" s="3740" t="s">
        <v>1669</v>
      </c>
      <c r="AC4" s="3709" t="s">
        <v>1670</v>
      </c>
    </row>
    <row r="5" spans="1:29" ht="15">
      <c r="A5" s="358"/>
      <c r="B5" s="359"/>
      <c r="C5" s="3732" t="s">
        <v>3511</v>
      </c>
      <c r="D5" s="3733"/>
      <c r="E5" s="3743" t="s">
        <v>3511</v>
      </c>
      <c r="F5" s="3744"/>
      <c r="G5" s="3732" t="s">
        <v>3511</v>
      </c>
      <c r="H5" s="3733"/>
      <c r="I5" s="3732" t="s">
        <v>3511</v>
      </c>
      <c r="J5" s="3733"/>
      <c r="K5" s="559"/>
      <c r="L5" s="2713"/>
      <c r="M5" s="2714"/>
      <c r="N5" s="2714"/>
      <c r="O5" s="2714"/>
      <c r="P5" s="3718"/>
      <c r="Q5" s="3719"/>
      <c r="R5" s="3724"/>
      <c r="S5" s="3725"/>
      <c r="T5" s="3724"/>
      <c r="U5" s="3725"/>
      <c r="V5" s="3729"/>
      <c r="W5" s="3729"/>
      <c r="X5" s="3497"/>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20"/>
      <c r="Q6" s="3721"/>
      <c r="R6" s="3724"/>
      <c r="S6" s="3725"/>
      <c r="T6" s="3726"/>
      <c r="U6" s="3727"/>
      <c r="V6" s="3729"/>
      <c r="W6" s="3729"/>
      <c r="X6" s="3497"/>
      <c r="Y6" s="3726"/>
      <c r="Z6" s="3727"/>
      <c r="AA6" s="3742"/>
      <c r="AB6" s="3742"/>
      <c r="AC6" s="3711"/>
    </row>
    <row r="7" spans="1:29" s="108" customFormat="1" ht="15.75" thickBot="1">
      <c r="A7" s="362" t="s">
        <v>1679</v>
      </c>
      <c r="B7" s="363"/>
      <c r="C7" s="364">
        <f>'数据-取费表'!B2</f>
        <v>45965</v>
      </c>
      <c r="D7" s="365">
        <v>100</v>
      </c>
      <c r="E7" s="366">
        <f>C7</f>
        <v>45965</v>
      </c>
      <c r="F7" s="367">
        <f>SUMIF(59:59,YEAR(E7)&amp;"-"&amp;MONTH(E7),60:60)</f>
        <v>100</v>
      </c>
      <c r="G7" s="366">
        <f>C7</f>
        <v>45965</v>
      </c>
      <c r="H7" s="365">
        <f>SUMIF(59:59,YEAR(G7)&amp;"-"&amp;MONTH(G7),60:60)</f>
        <v>100</v>
      </c>
      <c r="I7" s="366">
        <f>C7</f>
        <v>45965</v>
      </c>
      <c r="J7" s="365">
        <f>SUMIF(59:59,YEAR(I7)&amp;"-"&amp;MONTH(I7),60:60)</f>
        <v>100</v>
      </c>
      <c r="K7" s="560"/>
      <c r="L7" s="2715"/>
      <c r="M7" s="2716"/>
      <c r="N7" s="2716"/>
      <c r="O7" s="2716"/>
      <c r="P7" s="3734"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102</v>
      </c>
      <c r="G8" s="368" t="s">
        <v>3428</v>
      </c>
      <c r="H8" s="365">
        <f>SUMIF(62:62,G8,63:63)-SUMIF(62:62,C8,63:63)+100</f>
        <v>102</v>
      </c>
      <c r="I8" s="368" t="s">
        <v>3428</v>
      </c>
      <c r="J8" s="365">
        <f>SUMIF(62:62,I8,63:63)-SUMIF(62:62,C8,63:63)+100</f>
        <v>102</v>
      </c>
      <c r="K8" s="560"/>
      <c r="L8" s="2715"/>
      <c r="M8" s="2716"/>
      <c r="N8" s="2716"/>
      <c r="O8" s="2716"/>
      <c r="P8" s="3734" t="s">
        <v>1683</v>
      </c>
      <c r="Q8" s="3735"/>
      <c r="R8" s="699" t="s">
        <v>14</v>
      </c>
      <c r="S8" s="700">
        <f t="shared" si="0"/>
        <v>102</v>
      </c>
      <c r="T8" s="699" t="s">
        <v>14</v>
      </c>
      <c r="U8" s="700">
        <f t="shared" si="1"/>
        <v>102</v>
      </c>
      <c r="V8" s="699" t="s">
        <v>14</v>
      </c>
      <c r="W8" s="700">
        <f t="shared" si="2"/>
        <v>102</v>
      </c>
      <c r="X8" s="701"/>
      <c r="Y8" s="3736" t="s">
        <v>1683</v>
      </c>
      <c r="Z8" s="373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85"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4" t="s">
        <v>1686</v>
      </c>
      <c r="Q9" s="3492" t="str">
        <f t="shared" ref="Q9:Q15" si="6">B9</f>
        <v>用途</v>
      </c>
      <c r="R9" s="699" t="s">
        <v>14</v>
      </c>
      <c r="S9" s="700">
        <f t="shared" si="0"/>
        <v>100</v>
      </c>
      <c r="T9" s="699" t="s">
        <v>14</v>
      </c>
      <c r="U9" s="700">
        <f t="shared" si="1"/>
        <v>100</v>
      </c>
      <c r="V9" s="699" t="s">
        <v>14</v>
      </c>
      <c r="W9" s="700">
        <f t="shared" si="2"/>
        <v>100</v>
      </c>
      <c r="X9" s="701"/>
      <c r="Y9" s="3593" t="s">
        <v>1687</v>
      </c>
      <c r="Z9" s="3491"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4"/>
      <c r="Q10" s="3492" t="str">
        <f t="shared" si="6"/>
        <v>土地使用年限（年）</v>
      </c>
      <c r="R10" s="699" t="s">
        <v>14</v>
      </c>
      <c r="S10" s="700">
        <f t="shared" si="0"/>
        <v>100</v>
      </c>
      <c r="T10" s="699" t="s">
        <v>14</v>
      </c>
      <c r="U10" s="700">
        <f t="shared" si="1"/>
        <v>100</v>
      </c>
      <c r="V10" s="699" t="s">
        <v>14</v>
      </c>
      <c r="W10" s="700">
        <f t="shared" si="2"/>
        <v>100</v>
      </c>
      <c r="X10" s="701"/>
      <c r="Y10" s="3593"/>
      <c r="Z10" s="3491"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4"/>
      <c r="Q11" s="3492" t="str">
        <f t="shared" si="6"/>
        <v>容积率</v>
      </c>
      <c r="R11" s="699" t="s">
        <v>14</v>
      </c>
      <c r="S11" s="700">
        <f t="shared" si="0"/>
        <v>100</v>
      </c>
      <c r="T11" s="699" t="s">
        <v>14</v>
      </c>
      <c r="U11" s="700">
        <f t="shared" si="1"/>
        <v>100</v>
      </c>
      <c r="V11" s="699" t="s">
        <v>14</v>
      </c>
      <c r="W11" s="700">
        <f t="shared" si="2"/>
        <v>100</v>
      </c>
      <c r="X11" s="701"/>
      <c r="Y11" s="3593"/>
      <c r="Z11" s="3491"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4"/>
      <c r="Q12" s="3492">
        <f t="shared" si="6"/>
        <v>111</v>
      </c>
      <c r="R12" s="699" t="s">
        <v>14</v>
      </c>
      <c r="S12" s="700">
        <f t="shared" si="0"/>
        <v>100</v>
      </c>
      <c r="T12" s="699" t="s">
        <v>14</v>
      </c>
      <c r="U12" s="700">
        <f t="shared" si="1"/>
        <v>100</v>
      </c>
      <c r="V12" s="699" t="s">
        <v>14</v>
      </c>
      <c r="W12" s="700">
        <f t="shared" si="2"/>
        <v>100</v>
      </c>
      <c r="X12" s="701"/>
      <c r="Y12" s="3593"/>
      <c r="Z12" s="3491">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4"/>
      <c r="Q13" s="3492">
        <f t="shared" si="6"/>
        <v>111</v>
      </c>
      <c r="R13" s="699" t="s">
        <v>14</v>
      </c>
      <c r="S13" s="700">
        <f t="shared" si="0"/>
        <v>100</v>
      </c>
      <c r="T13" s="699" t="s">
        <v>14</v>
      </c>
      <c r="U13" s="700">
        <f t="shared" si="1"/>
        <v>100</v>
      </c>
      <c r="V13" s="699" t="s">
        <v>14</v>
      </c>
      <c r="W13" s="700">
        <f t="shared" si="2"/>
        <v>100</v>
      </c>
      <c r="X13" s="701"/>
      <c r="Y13" s="3593"/>
      <c r="Z13" s="3491">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94"/>
      <c r="Q14" s="3492">
        <f t="shared" si="6"/>
        <v>111</v>
      </c>
      <c r="R14" s="699" t="s">
        <v>14</v>
      </c>
      <c r="S14" s="700">
        <f t="shared" si="0"/>
        <v>100</v>
      </c>
      <c r="T14" s="699" t="s">
        <v>14</v>
      </c>
      <c r="U14" s="700">
        <f t="shared" si="1"/>
        <v>100</v>
      </c>
      <c r="V14" s="699" t="s">
        <v>14</v>
      </c>
      <c r="W14" s="700">
        <f t="shared" si="2"/>
        <v>100</v>
      </c>
      <c r="X14" s="701"/>
      <c r="Y14" s="3593"/>
      <c r="Z14" s="3491">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0" t="s">
        <v>1691</v>
      </c>
      <c r="Q15" s="3493" t="str">
        <f t="shared" si="6"/>
        <v>办公集聚程度</v>
      </c>
      <c r="R15" s="703" t="s">
        <v>14</v>
      </c>
      <c r="S15" s="704">
        <f t="shared" si="0"/>
        <v>100</v>
      </c>
      <c r="T15" s="703" t="s">
        <v>14</v>
      </c>
      <c r="U15" s="704">
        <f t="shared" si="1"/>
        <v>100</v>
      </c>
      <c r="V15" s="703" t="s">
        <v>14</v>
      </c>
      <c r="W15" s="704">
        <f t="shared" si="2"/>
        <v>100</v>
      </c>
      <c r="X15" s="3497"/>
      <c r="Y15" s="3702" t="s">
        <v>1691</v>
      </c>
      <c r="Z15" s="3495" t="str">
        <f t="shared" si="7"/>
        <v>办公集聚程度</v>
      </c>
      <c r="AA15" s="3494">
        <f t="shared" si="3"/>
        <v>1</v>
      </c>
      <c r="AB15" s="3494">
        <f t="shared" si="4"/>
        <v>1</v>
      </c>
      <c r="AC15" s="1960">
        <f t="shared" si="5"/>
        <v>1</v>
      </c>
    </row>
    <row r="16" spans="1:29" ht="15">
      <c r="A16" s="379"/>
      <c r="B16" s="577"/>
      <c r="C16" s="1902" t="s">
        <v>3438</v>
      </c>
      <c r="D16" s="399"/>
      <c r="E16" s="1902" t="s">
        <v>3438</v>
      </c>
      <c r="F16" s="399"/>
      <c r="G16" s="1902" t="s">
        <v>3438</v>
      </c>
      <c r="H16" s="401"/>
      <c r="I16" s="1902" t="s">
        <v>3438</v>
      </c>
      <c r="J16" s="399"/>
      <c r="K16" s="564"/>
      <c r="L16" s="2720"/>
      <c r="M16" s="2714"/>
      <c r="N16" s="2714"/>
      <c r="O16" s="2714"/>
      <c r="P16" s="3701"/>
      <c r="Q16" s="3493"/>
      <c r="R16" s="703"/>
      <c r="S16" s="704"/>
      <c r="T16" s="703"/>
      <c r="U16" s="704"/>
      <c r="V16" s="703"/>
      <c r="W16" s="704"/>
      <c r="X16" s="3497"/>
      <c r="Y16" s="3703"/>
      <c r="Z16" s="3495"/>
      <c r="AA16" s="3494">
        <v>1</v>
      </c>
      <c r="AB16" s="3494">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1"/>
      <c r="Q17" s="3493" t="str">
        <f>B17</f>
        <v>交通便捷度</v>
      </c>
      <c r="R17" s="703" t="s">
        <v>14</v>
      </c>
      <c r="S17" s="704">
        <f>F17</f>
        <v>100</v>
      </c>
      <c r="T17" s="703" t="s">
        <v>14</v>
      </c>
      <c r="U17" s="704">
        <f>H17</f>
        <v>100</v>
      </c>
      <c r="V17" s="703" t="s">
        <v>14</v>
      </c>
      <c r="W17" s="704">
        <f>J17</f>
        <v>100</v>
      </c>
      <c r="X17" s="3497"/>
      <c r="Y17" s="3703"/>
      <c r="Z17" s="3495" t="str">
        <f>Q17</f>
        <v>交通便捷度</v>
      </c>
      <c r="AA17" s="3494">
        <f t="shared" si="3"/>
        <v>1</v>
      </c>
      <c r="AB17" s="3494">
        <f t="shared" si="4"/>
        <v>1</v>
      </c>
      <c r="AC17" s="1960">
        <f t="shared" si="5"/>
        <v>1</v>
      </c>
    </row>
    <row r="18" spans="1:29" ht="15">
      <c r="A18" s="379"/>
      <c r="B18" s="579"/>
      <c r="C18" s="1962" t="s">
        <v>3438</v>
      </c>
      <c r="D18" s="401"/>
      <c r="E18" s="1962" t="s">
        <v>3438</v>
      </c>
      <c r="F18" s="401"/>
      <c r="G18" s="1962" t="s">
        <v>3438</v>
      </c>
      <c r="H18" s="399"/>
      <c r="I18" s="1962" t="s">
        <v>3438</v>
      </c>
      <c r="J18" s="399"/>
      <c r="K18" s="564"/>
      <c r="L18" s="2720"/>
      <c r="M18" s="2714"/>
      <c r="N18" s="2714"/>
      <c r="O18" s="2714"/>
      <c r="P18" s="3701"/>
      <c r="Q18" s="3493"/>
      <c r="R18" s="703"/>
      <c r="S18" s="704"/>
      <c r="T18" s="703"/>
      <c r="U18" s="704"/>
      <c r="V18" s="703"/>
      <c r="W18" s="704"/>
      <c r="X18" s="3497"/>
      <c r="Y18" s="3703"/>
      <c r="Z18" s="3495"/>
      <c r="AA18" s="3494">
        <v>1</v>
      </c>
      <c r="AB18" s="3494">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1"/>
      <c r="Q19" s="3493" t="str">
        <f>B19</f>
        <v>公共配套设施</v>
      </c>
      <c r="R19" s="703" t="s">
        <v>14</v>
      </c>
      <c r="S19" s="704">
        <f>F19</f>
        <v>100</v>
      </c>
      <c r="T19" s="703" t="s">
        <v>14</v>
      </c>
      <c r="U19" s="704">
        <f>H19</f>
        <v>100</v>
      </c>
      <c r="V19" s="703" t="s">
        <v>14</v>
      </c>
      <c r="W19" s="704">
        <f>J19</f>
        <v>100</v>
      </c>
      <c r="X19" s="3497"/>
      <c r="Y19" s="3703"/>
      <c r="Z19" s="3495" t="str">
        <f>Q19</f>
        <v>公共配套设施</v>
      </c>
      <c r="AA19" s="3494">
        <f t="shared" si="3"/>
        <v>1</v>
      </c>
      <c r="AB19" s="3494">
        <f t="shared" si="4"/>
        <v>1</v>
      </c>
      <c r="AC19" s="1960">
        <f t="shared" si="5"/>
        <v>1</v>
      </c>
    </row>
    <row r="20" spans="1:29" ht="15">
      <c r="A20" s="379"/>
      <c r="B20" s="579"/>
      <c r="C20" s="1902" t="s">
        <v>3438</v>
      </c>
      <c r="D20" s="399"/>
      <c r="E20" s="1902" t="s">
        <v>3438</v>
      </c>
      <c r="F20" s="399"/>
      <c r="G20" s="1902" t="s">
        <v>3438</v>
      </c>
      <c r="H20" s="399"/>
      <c r="I20" s="1902" t="s">
        <v>3438</v>
      </c>
      <c r="J20" s="399"/>
      <c r="K20" s="564"/>
      <c r="L20" s="2720"/>
      <c r="M20" s="2714"/>
      <c r="N20" s="2714"/>
      <c r="O20" s="2714"/>
      <c r="P20" s="3701"/>
      <c r="Q20" s="3493"/>
      <c r="R20" s="703"/>
      <c r="S20" s="704"/>
      <c r="T20" s="703"/>
      <c r="U20" s="704"/>
      <c r="V20" s="703"/>
      <c r="W20" s="704"/>
      <c r="X20" s="3497"/>
      <c r="Y20" s="3703"/>
      <c r="Z20" s="3495"/>
      <c r="AA20" s="3494">
        <v>1</v>
      </c>
      <c r="AB20" s="3494">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1"/>
      <c r="Q21" s="3493" t="str">
        <f>B21</f>
        <v>基础设施水平</v>
      </c>
      <c r="R21" s="703" t="s">
        <v>14</v>
      </c>
      <c r="S21" s="704">
        <f>F21</f>
        <v>100</v>
      </c>
      <c r="T21" s="703" t="s">
        <v>14</v>
      </c>
      <c r="U21" s="704">
        <f>H21</f>
        <v>100</v>
      </c>
      <c r="V21" s="703" t="s">
        <v>14</v>
      </c>
      <c r="W21" s="704">
        <f>J21</f>
        <v>100</v>
      </c>
      <c r="X21" s="3497"/>
      <c r="Y21" s="3703"/>
      <c r="Z21" s="3495" t="str">
        <f>Q21</f>
        <v>基础设施水平</v>
      </c>
      <c r="AA21" s="3494">
        <f t="shared" ref="AA21" si="8">D21/F21</f>
        <v>1</v>
      </c>
      <c r="AB21" s="3494">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20"/>
      <c r="M22" s="2714"/>
      <c r="N22" s="2714"/>
      <c r="O22" s="2714"/>
      <c r="P22" s="3701"/>
      <c r="Q22" s="3493"/>
      <c r="R22" s="703"/>
      <c r="S22" s="704"/>
      <c r="T22" s="703"/>
      <c r="U22" s="704"/>
      <c r="V22" s="703"/>
      <c r="W22" s="704"/>
      <c r="X22" s="3497"/>
      <c r="Y22" s="3703"/>
      <c r="Z22" s="3495"/>
      <c r="AA22" s="3494">
        <v>1</v>
      </c>
      <c r="AB22" s="3494">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1"/>
      <c r="Q23" s="3493" t="str">
        <f>B23</f>
        <v>环境质量</v>
      </c>
      <c r="R23" s="703" t="s">
        <v>14</v>
      </c>
      <c r="S23" s="704">
        <f>F23</f>
        <v>100</v>
      </c>
      <c r="T23" s="703" t="s">
        <v>14</v>
      </c>
      <c r="U23" s="704">
        <f>H23</f>
        <v>100</v>
      </c>
      <c r="V23" s="703" t="s">
        <v>14</v>
      </c>
      <c r="W23" s="704">
        <f>J23</f>
        <v>100</v>
      </c>
      <c r="X23" s="3497"/>
      <c r="Y23" s="3703"/>
      <c r="Z23" s="3495" t="str">
        <f>Q23</f>
        <v>环境质量</v>
      </c>
      <c r="AA23" s="3494">
        <f t="shared" si="3"/>
        <v>1</v>
      </c>
      <c r="AB23" s="3494">
        <f t="shared" si="4"/>
        <v>1</v>
      </c>
      <c r="AC23" s="1960">
        <f t="shared" si="5"/>
        <v>1</v>
      </c>
    </row>
    <row r="24" spans="1:29" ht="15">
      <c r="A24" s="379"/>
      <c r="B24" s="580"/>
      <c r="C24" s="1902" t="s">
        <v>3438</v>
      </c>
      <c r="D24" s="399"/>
      <c r="E24" s="1902" t="s">
        <v>3438</v>
      </c>
      <c r="F24" s="399"/>
      <c r="G24" s="1902" t="s">
        <v>3438</v>
      </c>
      <c r="H24" s="399"/>
      <c r="I24" s="1902" t="s">
        <v>3438</v>
      </c>
      <c r="J24" s="399"/>
      <c r="K24" s="564"/>
      <c r="L24" s="2720"/>
      <c r="M24" s="2714"/>
      <c r="N24" s="2714"/>
      <c r="O24" s="2714"/>
      <c r="P24" s="3701"/>
      <c r="Q24" s="3493"/>
      <c r="R24" s="703"/>
      <c r="S24" s="704"/>
      <c r="T24" s="703"/>
      <c r="U24" s="704"/>
      <c r="V24" s="703"/>
      <c r="W24" s="704"/>
      <c r="X24" s="3497"/>
      <c r="Y24" s="3703"/>
      <c r="Z24" s="3495"/>
      <c r="AA24" s="3494">
        <v>1</v>
      </c>
      <c r="AB24" s="3494">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1"/>
      <c r="Q25" s="3493" t="str">
        <f>B25</f>
        <v>毗邻道路的类型与等级</v>
      </c>
      <c r="R25" s="703" t="s">
        <v>14</v>
      </c>
      <c r="S25" s="704">
        <f>F25</f>
        <v>100</v>
      </c>
      <c r="T25" s="703" t="s">
        <v>14</v>
      </c>
      <c r="U25" s="704">
        <f>H25</f>
        <v>100</v>
      </c>
      <c r="V25" s="703" t="s">
        <v>14</v>
      </c>
      <c r="W25" s="704">
        <f>J25</f>
        <v>100</v>
      </c>
      <c r="X25" s="3497"/>
      <c r="Y25" s="3703"/>
      <c r="Z25" s="3495" t="str">
        <f>Q25</f>
        <v>毗邻道路的类型与等级</v>
      </c>
      <c r="AA25" s="3494">
        <f t="shared" si="3"/>
        <v>1</v>
      </c>
      <c r="AB25" s="3494">
        <f t="shared" si="4"/>
        <v>1</v>
      </c>
      <c r="AC25" s="1960">
        <f t="shared" si="5"/>
        <v>1</v>
      </c>
    </row>
    <row r="26" spans="1:29" ht="15">
      <c r="A26" s="358"/>
      <c r="B26" s="579"/>
      <c r="C26" s="581"/>
      <c r="D26" s="386"/>
      <c r="E26" s="565"/>
      <c r="F26" s="386"/>
      <c r="G26" s="581"/>
      <c r="H26" s="386"/>
      <c r="I26" s="565"/>
      <c r="J26" s="386"/>
      <c r="K26" s="564"/>
      <c r="L26" s="2720"/>
      <c r="M26" s="2714"/>
      <c r="N26" s="2714"/>
      <c r="O26" s="2714"/>
      <c r="P26" s="3701"/>
      <c r="Q26" s="3493"/>
      <c r="R26" s="703"/>
      <c r="S26" s="704"/>
      <c r="T26" s="703"/>
      <c r="U26" s="704"/>
      <c r="V26" s="703"/>
      <c r="W26" s="704"/>
      <c r="X26" s="3497"/>
      <c r="Y26" s="3703"/>
      <c r="Z26" s="3495"/>
      <c r="AA26" s="3494">
        <v>1</v>
      </c>
      <c r="AB26" s="3494">
        <v>1</v>
      </c>
      <c r="AC26" s="1960">
        <v>1</v>
      </c>
    </row>
    <row r="27" spans="1:29" ht="15">
      <c r="A27" s="379"/>
      <c r="B27" s="579" t="s">
        <v>1783</v>
      </c>
      <c r="C27" s="581" t="s">
        <v>3481</v>
      </c>
      <c r="D27" s="386">
        <v>100</v>
      </c>
      <c r="E27" s="581" t="s">
        <v>3509</v>
      </c>
      <c r="F27" s="386">
        <f>SUMIF(89:89,E27,90:90)-SUMIF(89:89,C27,90:90)+100</f>
        <v>102</v>
      </c>
      <c r="G27" s="581" t="s">
        <v>3481</v>
      </c>
      <c r="H27" s="386">
        <f>SUMIF(89:89,G27,90:90)-SUMIF(89:89,C27,90:90)+100</f>
        <v>100</v>
      </c>
      <c r="I27" s="581" t="s">
        <v>3510</v>
      </c>
      <c r="J27" s="386">
        <f>SUMIF(89:89,I27,90:90)-SUMIF(89:89,C27,90:90)+100</f>
        <v>104</v>
      </c>
      <c r="K27" s="561">
        <v>2</v>
      </c>
      <c r="L27" s="2720"/>
      <c r="M27" s="2714"/>
      <c r="N27" s="2714"/>
      <c r="O27" s="2714"/>
      <c r="P27" s="3701"/>
      <c r="Q27" s="3493" t="str">
        <f t="shared" ref="Q27:Q47" si="11">B27</f>
        <v>楼层</v>
      </c>
      <c r="R27" s="703" t="s">
        <v>14</v>
      </c>
      <c r="S27" s="704">
        <f>F27</f>
        <v>102</v>
      </c>
      <c r="T27" s="703" t="s">
        <v>14</v>
      </c>
      <c r="U27" s="704">
        <f>H27</f>
        <v>100</v>
      </c>
      <c r="V27" s="703" t="s">
        <v>14</v>
      </c>
      <c r="W27" s="704">
        <f>J27</f>
        <v>104</v>
      </c>
      <c r="X27" s="3497"/>
      <c r="Y27" s="3703"/>
      <c r="Z27" s="3495" t="str">
        <f>Q27</f>
        <v>楼层</v>
      </c>
      <c r="AA27" s="3494">
        <f t="shared" si="3"/>
        <v>0.98039215686274506</v>
      </c>
      <c r="AB27" s="3494">
        <f t="shared" si="4"/>
        <v>1</v>
      </c>
      <c r="AC27" s="1960">
        <f t="shared" si="5"/>
        <v>0.96153846153846156</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1"/>
      <c r="Q28" s="3492" t="str">
        <f t="shared" si="11"/>
        <v>朝向</v>
      </c>
      <c r="R28" s="699" t="s">
        <v>14</v>
      </c>
      <c r="S28" s="700">
        <f>F28</f>
        <v>100</v>
      </c>
      <c r="T28" s="699" t="s">
        <v>14</v>
      </c>
      <c r="U28" s="700">
        <f>H28</f>
        <v>100</v>
      </c>
      <c r="V28" s="699" t="s">
        <v>14</v>
      </c>
      <c r="W28" s="700">
        <f>J28</f>
        <v>100</v>
      </c>
      <c r="X28" s="701"/>
      <c r="Y28" s="3703"/>
      <c r="Z28" s="3491" t="str">
        <f>Q28</f>
        <v>朝向</v>
      </c>
      <c r="AA28" s="3494">
        <f>D28/F28</f>
        <v>1</v>
      </c>
      <c r="AB28" s="3494">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1"/>
      <c r="Q29" s="3493">
        <f t="shared" si="11"/>
        <v>111</v>
      </c>
      <c r="R29" s="703" t="s">
        <v>14</v>
      </c>
      <c r="S29" s="704">
        <f t="shared" ref="S29:S47" si="12">F29</f>
        <v>100</v>
      </c>
      <c r="T29" s="703" t="s">
        <v>14</v>
      </c>
      <c r="U29" s="704">
        <f t="shared" ref="U29:U47" si="13">H29</f>
        <v>100</v>
      </c>
      <c r="V29" s="703" t="s">
        <v>14</v>
      </c>
      <c r="W29" s="704">
        <f t="shared" ref="W29:W47" si="14">J29</f>
        <v>100</v>
      </c>
      <c r="X29" s="3497"/>
      <c r="Y29" s="3703"/>
      <c r="Z29" s="3495">
        <f t="shared" ref="Z29:Z47" si="15">Q29</f>
        <v>111</v>
      </c>
      <c r="AA29" s="3494">
        <f t="shared" si="3"/>
        <v>1</v>
      </c>
      <c r="AB29" s="3494">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1"/>
      <c r="Q30" s="3493">
        <f t="shared" si="11"/>
        <v>111</v>
      </c>
      <c r="R30" s="703" t="s">
        <v>14</v>
      </c>
      <c r="S30" s="704">
        <f t="shared" si="12"/>
        <v>100</v>
      </c>
      <c r="T30" s="703" t="s">
        <v>14</v>
      </c>
      <c r="U30" s="704">
        <f t="shared" si="13"/>
        <v>100</v>
      </c>
      <c r="V30" s="703" t="s">
        <v>14</v>
      </c>
      <c r="W30" s="704">
        <f t="shared" si="14"/>
        <v>100</v>
      </c>
      <c r="X30" s="3497"/>
      <c r="Y30" s="3703"/>
      <c r="Z30" s="3495">
        <f t="shared" si="15"/>
        <v>111</v>
      </c>
      <c r="AA30" s="3494">
        <f t="shared" si="3"/>
        <v>1</v>
      </c>
      <c r="AB30" s="3494">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1"/>
      <c r="Q31" s="3493">
        <f t="shared" si="11"/>
        <v>111</v>
      </c>
      <c r="R31" s="703" t="s">
        <v>14</v>
      </c>
      <c r="S31" s="704">
        <f t="shared" si="12"/>
        <v>100</v>
      </c>
      <c r="T31" s="703" t="s">
        <v>14</v>
      </c>
      <c r="U31" s="704">
        <f t="shared" si="13"/>
        <v>100</v>
      </c>
      <c r="V31" s="703" t="s">
        <v>14</v>
      </c>
      <c r="W31" s="704">
        <f t="shared" si="14"/>
        <v>100</v>
      </c>
      <c r="X31" s="3497"/>
      <c r="Y31" s="3703"/>
      <c r="Z31" s="3495">
        <f t="shared" si="15"/>
        <v>111</v>
      </c>
      <c r="AA31" s="3494">
        <f t="shared" si="3"/>
        <v>1</v>
      </c>
      <c r="AB31" s="3494">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1"/>
      <c r="Q32" s="3493">
        <f t="shared" si="11"/>
        <v>111</v>
      </c>
      <c r="R32" s="703" t="s">
        <v>14</v>
      </c>
      <c r="S32" s="704">
        <f t="shared" si="12"/>
        <v>100</v>
      </c>
      <c r="T32" s="703" t="s">
        <v>14</v>
      </c>
      <c r="U32" s="704">
        <f t="shared" si="13"/>
        <v>100</v>
      </c>
      <c r="V32" s="703" t="s">
        <v>14</v>
      </c>
      <c r="W32" s="704">
        <f t="shared" si="14"/>
        <v>100</v>
      </c>
      <c r="X32" s="3497"/>
      <c r="Y32" s="3703"/>
      <c r="Z32" s="3495">
        <f t="shared" si="15"/>
        <v>111</v>
      </c>
      <c r="AA32" s="3494">
        <f t="shared" si="3"/>
        <v>1</v>
      </c>
      <c r="AB32" s="3494">
        <f t="shared" si="4"/>
        <v>1</v>
      </c>
      <c r="AC32" s="1960">
        <f t="shared" si="5"/>
        <v>1</v>
      </c>
    </row>
    <row r="33" spans="1:29" ht="15">
      <c r="A33" s="391" t="s">
        <v>1694</v>
      </c>
      <c r="B33" s="63" t="s">
        <v>1817</v>
      </c>
      <c r="C33" s="1965" t="s">
        <v>3483</v>
      </c>
      <c r="D33" s="418">
        <v>100</v>
      </c>
      <c r="E33" s="1965" t="s">
        <v>3483</v>
      </c>
      <c r="F33" s="412">
        <f>SUMIF(101:101,E33,102:102)-SUMIF(101:101,C33,102:102)+100</f>
        <v>100</v>
      </c>
      <c r="G33" s="1965" t="s">
        <v>3483</v>
      </c>
      <c r="H33" s="386">
        <f>SUMIF(101:101,G33,102:102)-SUMIF(101:101,C33,102:102)+100</f>
        <v>100</v>
      </c>
      <c r="I33" s="1965" t="s">
        <v>3483</v>
      </c>
      <c r="J33" s="418">
        <f>SUMIF(101:101,I33,102:102)-SUMIF(101:101,C33,102:102)+100</f>
        <v>100</v>
      </c>
      <c r="K33" s="561">
        <v>2</v>
      </c>
      <c r="L33" s="2720"/>
      <c r="M33" s="2714"/>
      <c r="N33" s="2714"/>
      <c r="O33" s="2714"/>
      <c r="P33" s="3704" t="s">
        <v>1696</v>
      </c>
      <c r="Q33" s="3493" t="str">
        <f t="shared" si="11"/>
        <v>建筑类型</v>
      </c>
      <c r="R33" s="703" t="s">
        <v>14</v>
      </c>
      <c r="S33" s="704">
        <f t="shared" si="12"/>
        <v>100</v>
      </c>
      <c r="T33" s="703" t="s">
        <v>14</v>
      </c>
      <c r="U33" s="704">
        <f t="shared" si="13"/>
        <v>100</v>
      </c>
      <c r="V33" s="703" t="s">
        <v>14</v>
      </c>
      <c r="W33" s="704">
        <f t="shared" si="14"/>
        <v>100</v>
      </c>
      <c r="X33" s="3497"/>
      <c r="Y33" s="3707" t="s">
        <v>1696</v>
      </c>
      <c r="Z33" s="3495" t="str">
        <f t="shared" si="15"/>
        <v>建筑类型</v>
      </c>
      <c r="AA33" s="3494">
        <f t="shared" si="3"/>
        <v>1</v>
      </c>
      <c r="AB33" s="3494">
        <f t="shared" si="4"/>
        <v>1</v>
      </c>
      <c r="AC33" s="1960">
        <f t="shared" si="5"/>
        <v>1</v>
      </c>
    </row>
    <row r="34" spans="1:29" s="422" customFormat="1" ht="15">
      <c r="A34" s="419"/>
      <c r="B34" s="375" t="s">
        <v>1697</v>
      </c>
      <c r="C34" s="420">
        <f>'数据-汇总表'!F19</f>
        <v>279.52999999999997</v>
      </c>
      <c r="D34" s="127">
        <v>100</v>
      </c>
      <c r="E34" s="381">
        <v>159.05000000000001</v>
      </c>
      <c r="F34" s="376">
        <f>LOOKUP(E34,104:104,105:105)-LOOKUP(C34,104:104,105:105)+100</f>
        <v>100</v>
      </c>
      <c r="G34" s="380">
        <v>157.97</v>
      </c>
      <c r="H34" s="127">
        <f>LOOKUP(G34,104:104,105:105)-LOOKUP(C34,104:104,105:105)+100</f>
        <v>100</v>
      </c>
      <c r="I34" s="380">
        <v>280.36</v>
      </c>
      <c r="J34" s="127">
        <f>LOOKUP(I34,104:104,105:105)-LOOKUP(C34,104:104,105:105)+100</f>
        <v>100</v>
      </c>
      <c r="K34" s="562"/>
      <c r="L34" s="2719"/>
      <c r="M34" s="2721"/>
      <c r="N34" s="2721"/>
      <c r="O34" s="2721"/>
      <c r="P34" s="3705"/>
      <c r="Q34" s="705" t="str">
        <f t="shared" si="11"/>
        <v>项目建筑规模</v>
      </c>
      <c r="R34" s="706" t="s">
        <v>14</v>
      </c>
      <c r="S34" s="707">
        <f t="shared" si="12"/>
        <v>100</v>
      </c>
      <c r="T34" s="706" t="s">
        <v>14</v>
      </c>
      <c r="U34" s="707">
        <f t="shared" si="13"/>
        <v>100</v>
      </c>
      <c r="V34" s="706" t="s">
        <v>14</v>
      </c>
      <c r="W34" s="707">
        <f t="shared" si="14"/>
        <v>100</v>
      </c>
      <c r="X34" s="708"/>
      <c r="Y34" s="3707"/>
      <c r="Z34" s="709" t="str">
        <f t="shared" si="15"/>
        <v>项目建筑规模</v>
      </c>
      <c r="AA34" s="3494">
        <f t="shared" si="3"/>
        <v>1</v>
      </c>
      <c r="AB34" s="3494">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5"/>
      <c r="Q35" s="3493" t="str">
        <f t="shared" si="11"/>
        <v>建筑结构</v>
      </c>
      <c r="R35" s="703" t="s">
        <v>14</v>
      </c>
      <c r="S35" s="704">
        <f t="shared" si="12"/>
        <v>100</v>
      </c>
      <c r="T35" s="703" t="s">
        <v>14</v>
      </c>
      <c r="U35" s="704">
        <f t="shared" si="13"/>
        <v>100</v>
      </c>
      <c r="V35" s="703" t="s">
        <v>14</v>
      </c>
      <c r="W35" s="704">
        <f t="shared" si="14"/>
        <v>100</v>
      </c>
      <c r="X35" s="3497"/>
      <c r="Y35" s="3707"/>
      <c r="Z35" s="3495" t="str">
        <f t="shared" si="15"/>
        <v>建筑结构</v>
      </c>
      <c r="AA35" s="3494">
        <f t="shared" si="3"/>
        <v>1</v>
      </c>
      <c r="AB35" s="3494">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20"/>
      <c r="M36" s="2714"/>
      <c r="N36" s="2714"/>
      <c r="O36" s="2714"/>
      <c r="P36" s="3705"/>
      <c r="Q36" s="3493" t="str">
        <f t="shared" si="11"/>
        <v>公共部分装修</v>
      </c>
      <c r="R36" s="703" t="s">
        <v>14</v>
      </c>
      <c r="S36" s="704">
        <f t="shared" si="12"/>
        <v>100</v>
      </c>
      <c r="T36" s="703" t="s">
        <v>14</v>
      </c>
      <c r="U36" s="704">
        <f t="shared" si="13"/>
        <v>100</v>
      </c>
      <c r="V36" s="703" t="s">
        <v>14</v>
      </c>
      <c r="W36" s="704">
        <f t="shared" si="14"/>
        <v>100</v>
      </c>
      <c r="X36" s="3497"/>
      <c r="Y36" s="3707"/>
      <c r="Z36" s="3495" t="str">
        <f t="shared" si="15"/>
        <v>公共部分装修</v>
      </c>
      <c r="AA36" s="3494">
        <f t="shared" si="3"/>
        <v>1</v>
      </c>
      <c r="AB36" s="3494">
        <f t="shared" si="4"/>
        <v>1</v>
      </c>
      <c r="AC36" s="1960">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f>C37</f>
        <v>0.73</v>
      </c>
      <c r="J37" s="386">
        <f>LOOKUP(I37,111:111,112:112)-LOOKUP(C37,111:111,112:112)+100</f>
        <v>100</v>
      </c>
      <c r="K37" s="561">
        <v>1</v>
      </c>
      <c r="L37" s="2720"/>
      <c r="M37" s="2714"/>
      <c r="N37" s="2714"/>
      <c r="O37" s="2714"/>
      <c r="P37" s="3705"/>
      <c r="Q37" s="3493" t="str">
        <f t="shared" si="11"/>
        <v>成新度</v>
      </c>
      <c r="R37" s="703" t="s">
        <v>14</v>
      </c>
      <c r="S37" s="704">
        <f t="shared" si="12"/>
        <v>100</v>
      </c>
      <c r="T37" s="703" t="s">
        <v>14</v>
      </c>
      <c r="U37" s="704">
        <f t="shared" si="13"/>
        <v>100</v>
      </c>
      <c r="V37" s="703" t="s">
        <v>14</v>
      </c>
      <c r="W37" s="704">
        <f t="shared" si="14"/>
        <v>100</v>
      </c>
      <c r="X37" s="3497"/>
      <c r="Y37" s="3707"/>
      <c r="Z37" s="3495" t="str">
        <f t="shared" si="15"/>
        <v>成新度</v>
      </c>
      <c r="AA37" s="3494">
        <f t="shared" si="3"/>
        <v>1</v>
      </c>
      <c r="AB37" s="3494">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3492" t="str">
        <f t="shared" si="11"/>
        <v>写字楼等级</v>
      </c>
      <c r="R38" s="699" t="s">
        <v>14</v>
      </c>
      <c r="S38" s="700">
        <f t="shared" si="12"/>
        <v>100</v>
      </c>
      <c r="T38" s="699" t="s">
        <v>14</v>
      </c>
      <c r="U38" s="700">
        <f t="shared" si="13"/>
        <v>100</v>
      </c>
      <c r="V38" s="699" t="s">
        <v>14</v>
      </c>
      <c r="W38" s="700">
        <f t="shared" si="14"/>
        <v>100</v>
      </c>
      <c r="X38" s="701"/>
      <c r="Y38" s="3707"/>
      <c r="Z38" s="3491" t="str">
        <f t="shared" si="15"/>
        <v>写字楼等级</v>
      </c>
      <c r="AA38" s="702">
        <f t="shared" si="3"/>
        <v>1</v>
      </c>
      <c r="AB38" s="702">
        <f t="shared" si="4"/>
        <v>1</v>
      </c>
      <c r="AC38" s="1957">
        <f t="shared" si="5"/>
        <v>1</v>
      </c>
    </row>
    <row r="39" spans="1:29" ht="15">
      <c r="A39" s="423"/>
      <c r="B39" s="375" t="s">
        <v>1819</v>
      </c>
      <c r="C39" s="411" t="s">
        <v>3494</v>
      </c>
      <c r="D39" s="386">
        <v>100</v>
      </c>
      <c r="E39" s="411" t="s">
        <v>3494</v>
      </c>
      <c r="F39" s="412">
        <f>SUMIF(115:115,E39,116:116)-SUMIF(115:115,C39,116:116)+100</f>
        <v>100</v>
      </c>
      <c r="G39" s="411" t="s">
        <v>3494</v>
      </c>
      <c r="H39" s="386">
        <f>SUMIF(115:115,G39,116:116)-SUMIF(115:115,C39,116:116)+100</f>
        <v>100</v>
      </c>
      <c r="I39" s="411" t="s">
        <v>3494</v>
      </c>
      <c r="J39" s="386">
        <f>SUMIF(115:115,I39,116:116)-SUMIF(115:115,C39,116:116)+100</f>
        <v>100</v>
      </c>
      <c r="K39" s="561">
        <v>1</v>
      </c>
      <c r="L39" s="2720"/>
      <c r="M39" s="2714"/>
      <c r="N39" s="2714"/>
      <c r="O39" s="2714"/>
      <c r="P39" s="3705" t="s">
        <v>1696</v>
      </c>
      <c r="Q39" s="3493" t="str">
        <f t="shared" si="11"/>
        <v>物业管理</v>
      </c>
      <c r="R39" s="703" t="s">
        <v>14</v>
      </c>
      <c r="S39" s="704">
        <f t="shared" si="12"/>
        <v>100</v>
      </c>
      <c r="T39" s="703" t="s">
        <v>14</v>
      </c>
      <c r="U39" s="704">
        <f t="shared" si="13"/>
        <v>100</v>
      </c>
      <c r="V39" s="703" t="s">
        <v>14</v>
      </c>
      <c r="W39" s="704">
        <f t="shared" si="14"/>
        <v>100</v>
      </c>
      <c r="X39" s="3497"/>
      <c r="Y39" s="3707" t="s">
        <v>1696</v>
      </c>
      <c r="Z39" s="3495" t="str">
        <f t="shared" si="15"/>
        <v>物业管理</v>
      </c>
      <c r="AA39" s="3494">
        <f t="shared" si="3"/>
        <v>1</v>
      </c>
      <c r="AB39" s="3494">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3493" t="str">
        <f t="shared" si="11"/>
        <v>市政基础设施</v>
      </c>
      <c r="R40" s="703" t="s">
        <v>14</v>
      </c>
      <c r="S40" s="704">
        <f t="shared" si="12"/>
        <v>100</v>
      </c>
      <c r="T40" s="703" t="s">
        <v>14</v>
      </c>
      <c r="U40" s="704">
        <f t="shared" si="13"/>
        <v>100</v>
      </c>
      <c r="V40" s="703" t="s">
        <v>14</v>
      </c>
      <c r="W40" s="704">
        <f t="shared" si="14"/>
        <v>100</v>
      </c>
      <c r="X40" s="3497"/>
      <c r="Y40" s="3707"/>
      <c r="Z40" s="3495" t="str">
        <f t="shared" si="15"/>
        <v>市政基础设施</v>
      </c>
      <c r="AA40" s="3494">
        <f t="shared" si="3"/>
        <v>1</v>
      </c>
      <c r="AB40" s="3494">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0"/>
      <c r="M41" s="2714"/>
      <c r="N41" s="2714"/>
      <c r="O41" s="2714"/>
      <c r="P41" s="3705"/>
      <c r="Q41" s="3493" t="str">
        <f t="shared" si="11"/>
        <v>层高</v>
      </c>
      <c r="R41" s="703" t="s">
        <v>14</v>
      </c>
      <c r="S41" s="704">
        <f t="shared" si="12"/>
        <v>100</v>
      </c>
      <c r="T41" s="703" t="s">
        <v>14</v>
      </c>
      <c r="U41" s="704">
        <f t="shared" si="13"/>
        <v>100</v>
      </c>
      <c r="V41" s="703" t="s">
        <v>14</v>
      </c>
      <c r="W41" s="704">
        <f t="shared" si="14"/>
        <v>100</v>
      </c>
      <c r="X41" s="3497"/>
      <c r="Y41" s="3707"/>
      <c r="Z41" s="3495" t="str">
        <f t="shared" si="15"/>
        <v>层高</v>
      </c>
      <c r="AA41" s="3494">
        <f t="shared" si="3"/>
        <v>1</v>
      </c>
      <c r="AB41" s="3494">
        <f t="shared" si="4"/>
        <v>1</v>
      </c>
      <c r="AC41" s="1960">
        <f t="shared" si="5"/>
        <v>1</v>
      </c>
    </row>
    <row r="42" spans="1:29" s="422" customFormat="1" ht="15" hidden="1">
      <c r="A42" s="419"/>
      <c r="B42" s="349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3494">
        <f t="shared" si="3"/>
        <v>1</v>
      </c>
      <c r="AB42" s="3494">
        <f t="shared" si="4"/>
        <v>1</v>
      </c>
      <c r="AC42" s="1960">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1</v>
      </c>
      <c r="L43" s="2720"/>
      <c r="M43" s="2714"/>
      <c r="N43" s="2714"/>
      <c r="O43" s="2714"/>
      <c r="P43" s="3705"/>
      <c r="Q43" s="3493" t="str">
        <f t="shared" si="11"/>
        <v>内部装修</v>
      </c>
      <c r="R43" s="703" t="s">
        <v>14</v>
      </c>
      <c r="S43" s="704">
        <f t="shared" si="12"/>
        <v>100</v>
      </c>
      <c r="T43" s="703" t="s">
        <v>14</v>
      </c>
      <c r="U43" s="704">
        <f t="shared" si="13"/>
        <v>100</v>
      </c>
      <c r="V43" s="703" t="s">
        <v>14</v>
      </c>
      <c r="W43" s="704">
        <f t="shared" si="14"/>
        <v>100</v>
      </c>
      <c r="X43" s="3497"/>
      <c r="Y43" s="3707"/>
      <c r="Z43" s="3495" t="str">
        <f t="shared" si="15"/>
        <v>内部装修</v>
      </c>
      <c r="AA43" s="3494">
        <f t="shared" si="3"/>
        <v>1</v>
      </c>
      <c r="AB43" s="3494">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20"/>
      <c r="M44" s="2714"/>
      <c r="N44" s="2714"/>
      <c r="O44" s="2714"/>
      <c r="P44" s="3705"/>
      <c r="Q44" s="3493" t="str">
        <f t="shared" si="11"/>
        <v>内部装修维护情况</v>
      </c>
      <c r="R44" s="703" t="s">
        <v>14</v>
      </c>
      <c r="S44" s="704">
        <f t="shared" si="12"/>
        <v>100</v>
      </c>
      <c r="T44" s="703" t="s">
        <v>14</v>
      </c>
      <c r="U44" s="704">
        <f t="shared" si="13"/>
        <v>100</v>
      </c>
      <c r="V44" s="703" t="s">
        <v>14</v>
      </c>
      <c r="W44" s="704">
        <f t="shared" si="14"/>
        <v>100</v>
      </c>
      <c r="X44" s="3497"/>
      <c r="Y44" s="3707"/>
      <c r="Z44" s="3495" t="str">
        <f t="shared" si="15"/>
        <v>内部装修维护情况</v>
      </c>
      <c r="AA44" s="3494">
        <f t="shared" si="3"/>
        <v>1</v>
      </c>
      <c r="AB44" s="3494">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3492">
        <f t="shared" si="11"/>
        <v>111</v>
      </c>
      <c r="R45" s="699" t="s">
        <v>14</v>
      </c>
      <c r="S45" s="700">
        <f t="shared" si="12"/>
        <v>100</v>
      </c>
      <c r="T45" s="699" t="s">
        <v>14</v>
      </c>
      <c r="U45" s="700">
        <f t="shared" si="13"/>
        <v>100</v>
      </c>
      <c r="V45" s="699" t="s">
        <v>14</v>
      </c>
      <c r="W45" s="700">
        <f t="shared" si="14"/>
        <v>100</v>
      </c>
      <c r="X45" s="701"/>
      <c r="Y45" s="3707"/>
      <c r="Z45" s="3491">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3493">
        <f t="shared" si="11"/>
        <v>111</v>
      </c>
      <c r="R46" s="703" t="s">
        <v>14</v>
      </c>
      <c r="S46" s="704">
        <f t="shared" si="12"/>
        <v>100</v>
      </c>
      <c r="T46" s="703" t="s">
        <v>14</v>
      </c>
      <c r="U46" s="704">
        <f t="shared" si="13"/>
        <v>100</v>
      </c>
      <c r="V46" s="703" t="s">
        <v>14</v>
      </c>
      <c r="W46" s="704">
        <f t="shared" si="14"/>
        <v>100</v>
      </c>
      <c r="X46" s="3497"/>
      <c r="Y46" s="3707"/>
      <c r="Z46" s="3495">
        <f t="shared" si="15"/>
        <v>111</v>
      </c>
      <c r="AA46" s="3494">
        <f t="shared" si="3"/>
        <v>1</v>
      </c>
      <c r="AB46" s="3494">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3493">
        <f t="shared" si="11"/>
        <v>111</v>
      </c>
      <c r="R47" s="703" t="s">
        <v>14</v>
      </c>
      <c r="S47" s="704">
        <f t="shared" si="12"/>
        <v>100</v>
      </c>
      <c r="T47" s="703" t="s">
        <v>14</v>
      </c>
      <c r="U47" s="704">
        <f t="shared" si="13"/>
        <v>100</v>
      </c>
      <c r="V47" s="703" t="s">
        <v>14</v>
      </c>
      <c r="W47" s="704">
        <f t="shared" si="14"/>
        <v>100</v>
      </c>
      <c r="X47" s="3497"/>
      <c r="Y47" s="3708"/>
      <c r="Z47" s="3495">
        <f t="shared" si="15"/>
        <v>111</v>
      </c>
      <c r="AA47" s="3494">
        <f t="shared" si="3"/>
        <v>1</v>
      </c>
      <c r="AB47" s="3494">
        <f t="shared" si="4"/>
        <v>1</v>
      </c>
      <c r="AC47" s="1960">
        <f t="shared" si="5"/>
        <v>1</v>
      </c>
    </row>
    <row r="48" spans="1:29" ht="15">
      <c r="A48" s="430" t="s">
        <v>1708</v>
      </c>
      <c r="B48" s="431"/>
      <c r="C48" s="1152" t="s">
        <v>0</v>
      </c>
      <c r="D48" s="1153"/>
      <c r="E48" s="1154">
        <v>4.75</v>
      </c>
      <c r="F48" s="1155"/>
      <c r="G48" s="1156">
        <v>4.95</v>
      </c>
      <c r="H48" s="1157"/>
      <c r="I48" s="1154">
        <f>ROUND(4.5*(1+5%),2)</f>
        <v>4.7300000000000004</v>
      </c>
      <c r="J48" s="436"/>
      <c r="K48" s="712"/>
      <c r="L48" s="2722"/>
      <c r="M48" s="2714"/>
      <c r="N48" s="2714"/>
      <c r="O48" s="2714"/>
      <c r="P48" s="3694" t="str">
        <f>A48</f>
        <v>成交单价（元/平方米）</v>
      </c>
      <c r="Q48" s="3695"/>
      <c r="R48" s="3696">
        <f>E48</f>
        <v>4.75</v>
      </c>
      <c r="S48" s="3696"/>
      <c r="T48" s="3696">
        <f>G48</f>
        <v>4.95</v>
      </c>
      <c r="U48" s="3696"/>
      <c r="V48" s="3696">
        <f>I48</f>
        <v>4.7300000000000004</v>
      </c>
      <c r="W48" s="3696"/>
      <c r="X48" s="397"/>
      <c r="Y48" s="710"/>
      <c r="Z48" s="397"/>
      <c r="AA48" s="397"/>
      <c r="AB48" s="397"/>
      <c r="AC48" s="577"/>
    </row>
    <row r="49" spans="1:29" ht="15.75" thickBot="1">
      <c r="A49" s="437" t="s">
        <v>1709</v>
      </c>
      <c r="B49" s="438"/>
      <c r="C49" s="1158">
        <f>R50</f>
        <v>4.7</v>
      </c>
      <c r="D49" s="2315" t="s">
        <v>2135</v>
      </c>
      <c r="E49" s="1159">
        <f>R49</f>
        <v>4.5999999999999996</v>
      </c>
      <c r="F49" s="2316"/>
      <c r="G49" s="1158">
        <f>T49</f>
        <v>4.9000000000000004</v>
      </c>
      <c r="H49" s="2316"/>
      <c r="I49" s="1159">
        <f>V49</f>
        <v>4.5</v>
      </c>
      <c r="J49" s="2316"/>
      <c r="K49" s="2318">
        <f>F49+H49+J49</f>
        <v>0</v>
      </c>
      <c r="L49" s="2722"/>
      <c r="M49" s="2714"/>
      <c r="N49" s="2714"/>
      <c r="O49" s="2714"/>
      <c r="P49" s="3694" t="str">
        <f>A49</f>
        <v>比较价值（元/平方米）</v>
      </c>
      <c r="Q49" s="3695"/>
      <c r="R49" s="3696">
        <f>IF(F1="售价",ROUND(PRODUCT(R48,AA7:AA47),0),ROUND(PRODUCT(R48,AA7:AA47),1))</f>
        <v>4.5999999999999996</v>
      </c>
      <c r="S49" s="3696"/>
      <c r="T49" s="3696">
        <f>IF(F1="售价",ROUND(PRODUCT(T48,AB7:AB47),0),ROUND(PRODUCT(T48,AB7:AB47),1))</f>
        <v>4.9000000000000004</v>
      </c>
      <c r="U49" s="3696"/>
      <c r="V49" s="3696">
        <f>IF(F1="售价",ROUND(PRODUCT(V48,AC7:AC47),0),ROUND(PRODUCT(V48,AC7:AC47),1))</f>
        <v>4.5</v>
      </c>
      <c r="W49" s="3696"/>
      <c r="X49" s="397"/>
      <c r="Y49" s="397"/>
      <c r="Z49" s="397"/>
      <c r="AA49" s="397"/>
      <c r="AB49" s="397"/>
      <c r="AC49" s="577"/>
    </row>
    <row r="50" spans="1:29" ht="15.75" thickBot="1">
      <c r="A50" s="441" t="s">
        <v>1710</v>
      </c>
      <c r="B50" s="442"/>
      <c r="C50" s="1161">
        <f>R50</f>
        <v>4.7</v>
      </c>
      <c r="D50" s="1161"/>
      <c r="E50" s="1161"/>
      <c r="F50" s="1161"/>
      <c r="G50" s="1161"/>
      <c r="H50" s="1161"/>
      <c r="I50" s="1161"/>
      <c r="J50" s="443"/>
      <c r="K50" s="713"/>
      <c r="L50" s="2722"/>
      <c r="M50" s="2714"/>
      <c r="N50" s="2714"/>
      <c r="O50" s="2714"/>
      <c r="P50" s="3697" t="str">
        <f>A50</f>
        <v>估价对象XX用房的比较价值（楼面单价，元/平方米）</v>
      </c>
      <c r="Q50" s="3698"/>
      <c r="R50" s="3699">
        <f>IF(F1="售价",ROUND(IF(D49="简单平均",AVERAGE(R49:V49),R49*F49+T49*H49+V49*J49),0),ROUND(IF(D49="简单平均",AVERAGE(R49:V49),R49*F49+T49*H49+V49*J49),1))</f>
        <v>4.7</v>
      </c>
      <c r="S50" s="3699"/>
      <c r="T50" s="3699"/>
      <c r="U50" s="3699"/>
      <c r="V50" s="3699"/>
      <c r="W50" s="369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3.2608695652174058E-2</v>
      </c>
      <c r="F53" s="449" t="str">
        <f>IF(OR(E53&gt;=0.3,E53&lt;=-0.3),"超过30%","")</f>
        <v/>
      </c>
      <c r="G53" s="448">
        <f>IF(G48&lt;G49,G49/G48-1,G48/G49-1)</f>
        <v>1.0204081632652962E-2</v>
      </c>
      <c r="H53" s="449" t="str">
        <f>IF(OR(G53&gt;=0.3,G53&lt;=-0.3),"超过30%","")</f>
        <v/>
      </c>
      <c r="I53" s="448">
        <f>IF(I48&lt;I49,I49/I48-1,I48/I49-1)</f>
        <v>5.1111111111111107E-2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6.5217391304347894E-2</v>
      </c>
      <c r="F54" s="449" t="str">
        <f>IF(OR(E54&gt;=0.2,E54&lt;=-0.2),"超过20%","")</f>
        <v/>
      </c>
      <c r="G54" s="448">
        <f>IF(G49&lt;I49,I49/G49-1,G49/I49-1)</f>
        <v>8.8888888888889017E-2</v>
      </c>
      <c r="H54" s="449" t="str">
        <f>IF(OR(G54&gt;=0.2,G54&lt;=-0.2),"超过20%","")</f>
        <v/>
      </c>
      <c r="I54" s="448">
        <f>IF(I49&lt;E49,E49/I49-1,I49/E49-1)</f>
        <v>2.2222222222222143E-2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4.2105263157894868E-2</v>
      </c>
      <c r="F55" s="449" t="str">
        <f>IF(OR(E55&gt;=0.3,E55&lt;=-0.3),"超过30%","")</f>
        <v/>
      </c>
      <c r="G55" s="448">
        <f>IF(G48&lt;I48,I48/G48-1,G48/I48-1)</f>
        <v>4.6511627906976605E-2</v>
      </c>
      <c r="H55" s="449" t="str">
        <f>IF(OR(G55&gt;=0.3,G55&lt;=-0.3),"超过30%","")</f>
        <v/>
      </c>
      <c r="I55" s="448">
        <f>IF(I48&lt;E48,E48/I48-1,I48/E48-1)</f>
        <v>4.2283298097249844E-3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80" t="s">
        <v>3478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7">D69&amp;"（含）"&amp;"-"&amp;E69</f>
        <v>1（含）-2</v>
      </c>
      <c r="E68" s="496" t="str">
        <f t="shared" si="17"/>
        <v>2（含）-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81" t="s">
        <v>3479</v>
      </c>
      <c r="D89" s="3481" t="s">
        <v>3480</v>
      </c>
      <c r="E89" s="3481" t="s">
        <v>3482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3484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3485</v>
      </c>
      <c r="D106" s="3481" t="s">
        <v>3486</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3" t="s">
        <v>3451</v>
      </c>
      <c r="D108" s="3483" t="s">
        <v>3452</v>
      </c>
      <c r="E108" s="3483" t="s">
        <v>3453</v>
      </c>
      <c r="F108" s="3484"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3488</v>
      </c>
      <c r="D115" s="3481" t="s">
        <v>3489</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3490" t="s">
        <v>3487</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3" t="s">
        <v>3451</v>
      </c>
      <c r="D123" s="3483" t="s">
        <v>3452</v>
      </c>
      <c r="E123" s="3483" t="s">
        <v>3453</v>
      </c>
      <c r="F123" s="3484"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26.76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676.54070000000002</v>
      </c>
      <c r="C2" s="1385" t="s">
        <v>879</v>
      </c>
      <c r="D2" s="1469">
        <f ca="1">C40+J29+L46</f>
        <v>6765407</v>
      </c>
      <c r="E2" s="1386" t="s">
        <v>880</v>
      </c>
      <c r="F2" s="1387"/>
      <c r="G2" s="2704"/>
      <c r="H2" s="2693"/>
      <c r="I2" s="2693"/>
      <c r="J2" s="2693"/>
      <c r="K2" s="2694"/>
      <c r="L2" s="2693"/>
      <c r="M2" s="2693"/>
    </row>
    <row r="3" spans="1:37" ht="18" customHeight="1" thickBot="1">
      <c r="A3" s="1388" t="s">
        <v>881</v>
      </c>
      <c r="B3" s="1389">
        <f ca="1">IF(ISERROR(D2/F43),0,ROUND(D2/F43,0))</f>
        <v>24203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432119</v>
      </c>
      <c r="D5" s="1362" t="s">
        <v>889</v>
      </c>
      <c r="E5" s="1069"/>
      <c r="F5" s="1070"/>
      <c r="G5" s="1382"/>
      <c r="H5" s="299">
        <v>1</v>
      </c>
      <c r="I5" s="300" t="s">
        <v>888</v>
      </c>
      <c r="J5" s="1068">
        <f ca="1">J6+J10+J12</f>
        <v>0</v>
      </c>
      <c r="K5" s="1362" t="s">
        <v>889</v>
      </c>
      <c r="L5" s="1069"/>
      <c r="M5" s="1070"/>
    </row>
    <row r="6" spans="1:37" ht="18" customHeight="1">
      <c r="A6" s="1067" t="s">
        <v>398</v>
      </c>
      <c r="B6" s="3691" t="s">
        <v>694</v>
      </c>
      <c r="C6" s="1072">
        <f ca="1">ROUND(F6*F8*F7*(1-F9),0)</f>
        <v>431580</v>
      </c>
      <c r="D6" s="155" t="s">
        <v>2103</v>
      </c>
      <c r="E6" s="302" t="s">
        <v>696</v>
      </c>
      <c r="F6" s="303">
        <f ca="1">INDIRECT("'数据-取费表'!u"&amp;$G$1)</f>
        <v>4.7</v>
      </c>
      <c r="G6" s="1382"/>
      <c r="H6" s="1067" t="s">
        <v>398</v>
      </c>
      <c r="I6" s="3691" t="s">
        <v>694</v>
      </c>
      <c r="J6" s="301">
        <f ca="1">ROUND(M6*M8*M7*(1-M9),0)</f>
        <v>0</v>
      </c>
      <c r="K6" s="1374" t="s">
        <v>2104</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279.52999999999997</v>
      </c>
      <c r="G7" s="1382"/>
      <c r="H7" s="304"/>
      <c r="I7" s="3692"/>
      <c r="J7" s="306"/>
      <c r="K7" s="307"/>
      <c r="L7" s="302" t="s">
        <v>697</v>
      </c>
      <c r="M7" s="303">
        <f ca="1">F7</f>
        <v>279.52999999999997</v>
      </c>
    </row>
    <row r="8" spans="1:37" ht="18" customHeight="1">
      <c r="A8" s="304"/>
      <c r="B8" s="3692"/>
      <c r="C8" s="306"/>
      <c r="D8" s="307"/>
      <c r="E8" s="302" t="s">
        <v>698</v>
      </c>
      <c r="F8" s="303">
        <f ca="1">INDIRECT("'数据-取费表'!ai"&amp;$G$1)</f>
        <v>365</v>
      </c>
      <c r="G8" s="1382"/>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539</v>
      </c>
      <c r="D10" s="1364" t="s">
        <v>2113</v>
      </c>
      <c r="E10" s="313" t="s">
        <v>701</v>
      </c>
      <c r="F10" s="1114" t="s">
        <v>3423</v>
      </c>
      <c r="G10" s="1382"/>
      <c r="H10" s="1067" t="s">
        <v>402</v>
      </c>
      <c r="I10" s="1363" t="s">
        <v>700</v>
      </c>
      <c r="J10" s="301">
        <f ca="1">ROUND(IF(M10="押一",J6/12*M11,IF(M10="押二",J6/12*2*M11,IF(M10="押三",J6/12*3*M11,J11*M11))),0)</f>
        <v>0</v>
      </c>
      <c r="K10" s="1375" t="s">
        <v>2115</v>
      </c>
      <c r="L10" s="313" t="s">
        <v>701</v>
      </c>
      <c r="M10" s="1114" t="s">
        <v>3423</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1723006</v>
      </c>
      <c r="D13" s="1079" t="s">
        <v>705</v>
      </c>
      <c r="E13" s="1079" t="s">
        <v>706</v>
      </c>
      <c r="F13" s="1080">
        <f ca="1">INDIRECT("'数据-取费表'!y"&amp;$G$1)</f>
        <v>0.73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1621274</v>
      </c>
      <c r="D14" s="1343" t="s">
        <v>708</v>
      </c>
      <c r="E14" s="1340"/>
      <c r="F14" s="319"/>
      <c r="G14" s="1382"/>
      <c r="H14" s="980" t="s">
        <v>398</v>
      </c>
      <c r="I14" s="302" t="s">
        <v>709</v>
      </c>
      <c r="J14" s="21">
        <f ca="1">C29</f>
        <v>2360282</v>
      </c>
      <c r="K14" s="12"/>
      <c r="L14" s="805"/>
      <c r="M14" s="806"/>
    </row>
    <row r="15" spans="1:37" s="1395" customFormat="1" ht="18" customHeight="1" thickBot="1">
      <c r="A15" s="980" t="s">
        <v>399</v>
      </c>
      <c r="B15" s="302" t="s">
        <v>710</v>
      </c>
      <c r="C15" s="21">
        <f ca="1">ROUND(C14*F15,0)</f>
        <v>81064</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7081</v>
      </c>
      <c r="K16" s="1085" t="s">
        <v>715</v>
      </c>
      <c r="L16" s="1086"/>
      <c r="M16" s="1070"/>
    </row>
    <row r="17" spans="1:37" s="1395" customFormat="1" ht="18" customHeight="1">
      <c r="A17" s="980" t="s">
        <v>681</v>
      </c>
      <c r="B17" s="302" t="s">
        <v>716</v>
      </c>
      <c r="C17" s="21">
        <f ca="1">ROUND(F17*(F43+INDIRECT("'数据-取费表'!S"&amp;$G$1)),0)</f>
        <v>55906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32425</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1790669</v>
      </c>
      <c r="D19" s="131" t="s">
        <v>726</v>
      </c>
      <c r="E19" s="1358"/>
      <c r="F19" s="23"/>
      <c r="G19" s="1382"/>
      <c r="H19" s="980" t="s">
        <v>399</v>
      </c>
      <c r="I19" s="302" t="s">
        <v>727</v>
      </c>
      <c r="J19" s="21">
        <f ca="1">IF(K19="按租金收入计税",ROUND(J6*M19/(1+'数据-取费表'!C42),0),ROUND(C29*M19*0.7,0))</f>
        <v>0</v>
      </c>
      <c r="K19" s="1368" t="s">
        <v>3331</v>
      </c>
      <c r="L19" s="302" t="s">
        <v>712</v>
      </c>
      <c r="M19" s="322">
        <f>IF(K19="按租金收入计税",'数据-取费表'!B51,'数据-取费表'!B50)</f>
        <v>0.12</v>
      </c>
    </row>
    <row r="20" spans="1:37" s="1395" customFormat="1" ht="18" customHeight="1">
      <c r="A20" s="980" t="s">
        <v>402</v>
      </c>
      <c r="B20" s="302" t="s">
        <v>728</v>
      </c>
      <c r="C20" s="21">
        <f ca="1">ROUND(C19*F20,0)</f>
        <v>53720</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7081</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57729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-7081</v>
      </c>
      <c r="K25" s="1093" t="s">
        <v>753</v>
      </c>
      <c r="L25" s="1094"/>
      <c r="M25" s="1095"/>
    </row>
    <row r="26" spans="1:37" ht="18" customHeight="1">
      <c r="A26" s="980" t="s">
        <v>397</v>
      </c>
      <c r="B26" s="302" t="s">
        <v>754</v>
      </c>
      <c r="C26" s="21">
        <f ca="1">ROUND((C19+C20)*F26,0)</f>
        <v>276658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2360282</v>
      </c>
      <c r="D29" s="1090"/>
      <c r="E29" s="1088"/>
      <c r="F29" s="1091"/>
      <c r="G29" s="1394"/>
      <c r="H29" s="334" t="s">
        <v>396</v>
      </c>
      <c r="I29" s="335" t="s">
        <v>768</v>
      </c>
      <c r="J29" s="336">
        <f ca="1">ROUND(J26/(1+F40)^F41,0)</f>
        <v>0</v>
      </c>
      <c r="K29" s="337" t="s">
        <v>769</v>
      </c>
      <c r="L29" s="338"/>
      <c r="M29" s="339">
        <f ca="1">INDIRECT("'数据-取费表'!k"&amp;$G$1)</f>
        <v>279.52999999999997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41897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28772</v>
      </c>
      <c r="D31" s="1343" t="s">
        <v>720</v>
      </c>
      <c r="E31" s="1342" t="s">
        <v>770</v>
      </c>
      <c r="F31" s="2313">
        <f ca="1">IF(项目基本情况!B11="企业","——",IF(M47="住宅",IF(F6*F7*F8/12/(1+'数据-取费表'!F30)&gt;100000,4%,2.5%),IF(F6*F7*F8/12/(1+'数据-取费表'!F30)&gt;100000,12%,7%)))</f>
        <v>7.0000000000000007E-2</v>
      </c>
      <c r="G31" s="1382"/>
      <c r="H31" s="2806" t="s">
        <v>2303</v>
      </c>
      <c r="I31" s="1396"/>
      <c r="J31" s="1397"/>
      <c r="K31" s="2473"/>
      <c r="L31" s="2696"/>
      <c r="M31" s="2697"/>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IF(项目基本情况!B11="自然人","——",ROUND(F34*F35,0))</f>
        <v>——</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7081</v>
      </c>
      <c r="D36" s="1342" t="s">
        <v>771</v>
      </c>
      <c r="E36" s="302" t="s">
        <v>712</v>
      </c>
      <c r="F36" s="328">
        <f ca="1">INDIRECT("'数据-取费表'!Ak"&amp;$G$1)</f>
        <v>3.0000000000000001E-3</v>
      </c>
      <c r="G36" s="1382"/>
      <c r="H36" s="2698"/>
      <c r="I36" s="1396"/>
      <c r="J36" s="1397"/>
      <c r="K36" s="2542"/>
      <c r="L36" s="2698"/>
      <c r="M36" s="2698"/>
    </row>
    <row r="37" spans="1:18" ht="18" customHeight="1">
      <c r="A37" s="980" t="s">
        <v>437</v>
      </c>
      <c r="B37" s="302" t="s">
        <v>742</v>
      </c>
      <c r="C37" s="21">
        <f ca="1">ROUND(C13*F37,0)</f>
        <v>1723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4321</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390222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6629095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26.76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23715</v>
      </c>
      <c r="D43" s="337" t="s">
        <v>777</v>
      </c>
      <c r="E43" s="338" t="s">
        <v>778</v>
      </c>
      <c r="F43" s="339">
        <f ca="1">INDIRECT("'数据-取费表'!k"&amp;$G$1)</f>
        <v>279.52999999999997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3347</v>
      </c>
      <c r="B45" s="1398"/>
      <c r="C45" s="1470">
        <f ca="1">ROUND((C68-C40)/10000,4)</f>
        <v>-675.09659999999997</v>
      </c>
      <c r="D45" s="3430" t="s">
        <v>3348</v>
      </c>
      <c r="E45" s="1398"/>
      <c r="F45" s="1398"/>
      <c r="O45" s="1401" t="s">
        <v>808</v>
      </c>
      <c r="P45" s="1459"/>
      <c r="Q45" s="1459"/>
      <c r="R45" s="1459"/>
    </row>
    <row r="46" spans="1:18" s="1382" customFormat="1" ht="13.5" thickBot="1">
      <c r="A46" s="1402" t="s">
        <v>809</v>
      </c>
      <c r="C46" s="1403">
        <f ca="1">ROUND(C45,0)</f>
        <v>-675</v>
      </c>
      <c r="D46" s="1404" t="str">
        <f>C2</f>
        <v>万元</v>
      </c>
      <c r="I46" s="1405" t="s">
        <v>810</v>
      </c>
      <c r="J46" s="1406"/>
      <c r="K46" s="1407"/>
      <c r="L46" s="1408">
        <f ca="1">IF(M47="住宅",0,IF(L48&gt;J51,L60,J60))</f>
        <v>136312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6629095</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26.76</v>
      </c>
      <c r="O48" s="1416" t="s">
        <v>404</v>
      </c>
      <c r="P48" s="1417" t="s">
        <v>821</v>
      </c>
      <c r="Q48" s="1418">
        <f ca="1">J60</f>
        <v>136312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2360282</v>
      </c>
      <c r="R49" s="1418" t="s">
        <v>818</v>
      </c>
    </row>
    <row r="50" spans="1:18" s="1382" customFormat="1" ht="13.5" thickBot="1">
      <c r="A50" s="974"/>
      <c r="B50" s="977"/>
      <c r="C50" s="978"/>
      <c r="D50" s="951"/>
      <c r="E50" s="1054" t="s">
        <v>697</v>
      </c>
      <c r="F50" s="1055">
        <f ca="1">F7</f>
        <v>279.52999999999997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39</v>
      </c>
      <c r="K51" s="1432" t="s">
        <v>830</v>
      </c>
      <c r="L51" s="1433">
        <f ca="1">ROUND(-PV(INDIRECT("'数据-取费表'!h"&amp;$G$1),J51,(C39-C13*C76),0),0)</f>
        <v>4587991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26.76</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26.76</v>
      </c>
      <c r="K53" s="3689" t="s">
        <v>837</v>
      </c>
      <c r="L53" s="3690"/>
      <c r="O53" s="1416" t="s">
        <v>409</v>
      </c>
      <c r="P53" s="1417" t="s">
        <v>838</v>
      </c>
      <c r="Q53" s="1418">
        <f ca="1">Q47+Q48</f>
        <v>6765407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1723006</v>
      </c>
      <c r="D56" s="1445"/>
      <c r="E56" s="1446"/>
      <c r="F56" s="1438"/>
      <c r="I56" s="1447" t="s">
        <v>842</v>
      </c>
      <c r="J56" s="1448" t="s">
        <v>3426</v>
      </c>
      <c r="K56" s="1419" t="s">
        <v>843</v>
      </c>
      <c r="L56" s="1422" t="str">
        <f ca="1">IF(L48&lt;J51,"——",L48-J51)</f>
        <v>——</v>
      </c>
      <c r="O56" s="1416" t="s">
        <v>403</v>
      </c>
      <c r="P56" s="1417" t="s">
        <v>817</v>
      </c>
      <c r="Q56" s="1418">
        <f ca="1">C40+J29</f>
        <v>6629095</v>
      </c>
      <c r="R56" s="1418" t="s">
        <v>818</v>
      </c>
    </row>
    <row r="57" spans="1:18" s="1382" customFormat="1" ht="24.75" thickBot="1">
      <c r="A57" s="1449"/>
      <c r="B57" s="948" t="s">
        <v>767</v>
      </c>
      <c r="C57" s="238">
        <f ca="1">C29</f>
        <v>2360282</v>
      </c>
      <c r="D57" s="1450"/>
      <c r="E57" s="1451"/>
      <c r="F57" s="1452"/>
      <c r="I57" s="1453" t="s">
        <v>844</v>
      </c>
      <c r="J57" s="1454">
        <f ca="1">IF(OR(M47="住宅",J51&lt;L48,J56="是"),"——",J51-L48)</f>
        <v>12.239999999999998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8804</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944113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136312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6629095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7081</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1723</v>
      </c>
      <c r="D65" s="962" t="s">
        <v>743</v>
      </c>
      <c r="E65" s="948" t="s">
        <v>744</v>
      </c>
      <c r="F65" s="330">
        <f t="shared" ca="1" si="0"/>
        <v>1E-3</v>
      </c>
      <c r="I65" s="1460" t="s">
        <v>867</v>
      </c>
      <c r="J65" s="1461">
        <v>40</v>
      </c>
      <c r="K65" s="1461">
        <v>30</v>
      </c>
      <c r="L65" s="1461">
        <v>50</v>
      </c>
      <c r="M65" s="1463">
        <v>0.02</v>
      </c>
      <c r="O65" s="1416" t="s">
        <v>403</v>
      </c>
      <c r="P65" s="1417" t="s">
        <v>868</v>
      </c>
      <c r="Q65" s="1418">
        <f ca="1">C40+J29</f>
        <v>6629095</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-8804</v>
      </c>
      <c r="D67" s="961" t="s">
        <v>753</v>
      </c>
      <c r="E67" s="966"/>
      <c r="F67" s="967"/>
      <c r="O67" s="1426" t="s">
        <v>405</v>
      </c>
      <c r="P67" s="1417" t="s">
        <v>850</v>
      </c>
      <c r="Q67" s="1464">
        <f ca="1">L51</f>
        <v>4587991</v>
      </c>
      <c r="R67" s="1418" t="s">
        <v>870</v>
      </c>
    </row>
    <row r="68" spans="1:18" s="1382" customFormat="1" ht="16.5" thickBot="1">
      <c r="A68" s="945" t="s">
        <v>395</v>
      </c>
      <c r="B68" s="946" t="s">
        <v>774</v>
      </c>
      <c r="C68" s="301">
        <f ca="1">ROUND(C67*(1-((1+F70)/(1+F68))^F69)/(F68-F70),0)</f>
        <v>-121871</v>
      </c>
      <c r="D68" s="963" t="s">
        <v>758</v>
      </c>
      <c r="E68" s="948" t="s">
        <v>759</v>
      </c>
      <c r="F68" s="312">
        <f ca="1">F40</f>
        <v>5.5E-2</v>
      </c>
      <c r="O68" s="1426" t="s">
        <v>406</v>
      </c>
      <c r="P68" s="1465" t="s">
        <v>871</v>
      </c>
      <c r="Q68" s="1418">
        <f ca="1">ROUND(Q69-Q70*Q71,0)</f>
        <v>269612</v>
      </c>
      <c r="R68" s="1418" t="s">
        <v>414</v>
      </c>
    </row>
    <row r="69" spans="1:18" s="1382" customFormat="1" ht="13.5" thickBot="1">
      <c r="A69" s="949"/>
      <c r="B69" s="950"/>
      <c r="C69" s="306"/>
      <c r="D69" s="968" t="s">
        <v>762</v>
      </c>
      <c r="E69" s="948" t="s">
        <v>763</v>
      </c>
      <c r="F69" s="333">
        <f ca="1">F41</f>
        <v>26.76</v>
      </c>
      <c r="O69" s="1426" t="s">
        <v>411</v>
      </c>
      <c r="P69" s="1465" t="s">
        <v>872</v>
      </c>
      <c r="Q69" s="1418">
        <f ca="1">C39</f>
        <v>390222</v>
      </c>
      <c r="R69" s="1418" t="s">
        <v>818</v>
      </c>
    </row>
    <row r="70" spans="1:18" s="1382" customFormat="1" ht="13.5" thickBot="1">
      <c r="A70" s="952"/>
      <c r="B70" s="953"/>
      <c r="C70" s="310"/>
      <c r="D70" s="964"/>
      <c r="E70" s="948" t="s">
        <v>766</v>
      </c>
      <c r="F70" s="1052"/>
      <c r="O70" s="1426" t="s">
        <v>412</v>
      </c>
      <c r="P70" s="1465" t="s">
        <v>873</v>
      </c>
      <c r="Q70" s="1418">
        <f ca="1">C13</f>
        <v>1723006</v>
      </c>
      <c r="R70" s="1418" t="s">
        <v>818</v>
      </c>
    </row>
    <row r="71" spans="1:18" s="1382" customFormat="1" ht="13.5" thickBot="1">
      <c r="A71" s="969" t="s">
        <v>396</v>
      </c>
      <c r="B71" s="970" t="s">
        <v>776</v>
      </c>
      <c r="C71" s="336">
        <f ca="1">ROUND(C68/F71,0)</f>
        <v>-436</v>
      </c>
      <c r="D71" s="971" t="s">
        <v>777</v>
      </c>
      <c r="E71" s="972" t="s">
        <v>778</v>
      </c>
      <c r="F71" s="339">
        <f ca="1">F43</f>
        <v>279.52999999999997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120610</v>
      </c>
      <c r="D75" s="1382"/>
      <c r="E75" s="1382"/>
      <c r="F75" s="1382"/>
      <c r="K75" s="1400"/>
      <c r="L75" s="1382"/>
      <c r="O75" s="1416" t="s">
        <v>409</v>
      </c>
      <c r="P75" s="1417" t="s">
        <v>838</v>
      </c>
      <c r="Q75" s="1418">
        <f ca="1">Q65+Q66</f>
        <v>6629095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0.69100000000000006</v>
      </c>
    </row>
    <row r="80" spans="1:18">
      <c r="B80" s="340" t="s">
        <v>800</v>
      </c>
      <c r="C80" s="274">
        <f ca="1">ROUND(C75/C39,3)</f>
        <v>0.309</v>
      </c>
    </row>
    <row r="81" spans="2:3">
      <c r="B81" s="270" t="s">
        <v>801</v>
      </c>
      <c r="C81" s="238"/>
    </row>
    <row r="82" spans="2:3">
      <c r="B82" s="273" t="s">
        <v>802</v>
      </c>
      <c r="C82" s="275">
        <f ca="1">1-C83</f>
        <v>0.74</v>
      </c>
    </row>
    <row r="83" spans="2:3">
      <c r="B83" s="273" t="s">
        <v>803</v>
      </c>
      <c r="C83" s="274">
        <f ca="1">ROUND(C13/C40,3)</f>
        <v>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2432</v>
      </c>
      <c r="B1" s="2830"/>
      <c r="C1" s="2842"/>
      <c r="D1" s="2842"/>
      <c r="E1" s="2831"/>
      <c r="F1" s="2832"/>
      <c r="G1" s="2833"/>
      <c r="J1" s="2836" t="s">
        <v>2311</v>
      </c>
      <c r="K1" s="2837"/>
      <c r="L1" s="2837"/>
      <c r="M1" s="2837"/>
      <c r="N1" s="2837"/>
      <c r="O1" s="2837"/>
      <c r="P1" s="2837"/>
      <c r="Q1" s="2837"/>
      <c r="R1" s="2838"/>
      <c r="S1" s="2839"/>
      <c r="T1" s="2839"/>
      <c r="U1" s="2839"/>
    </row>
    <row r="2" spans="1:22" s="2851" customFormat="1" ht="13.15" customHeight="1">
      <c r="A2" s="1383" t="s">
        <v>2312</v>
      </c>
      <c r="B2" s="2841" t="e">
        <f>IF(D2="——",C40,C40+E2)</f>
        <v>#DIV/0!</v>
      </c>
      <c r="C2" s="2842" t="s">
        <v>2313</v>
      </c>
      <c r="D2" s="3441" t="s">
        <v>3354</v>
      </c>
      <c r="E2" s="3442"/>
      <c r="F2" s="2844"/>
      <c r="G2" s="2845"/>
      <c r="H2" s="2846"/>
      <c r="I2" s="2847"/>
      <c r="J2" s="3762" t="s">
        <v>2314</v>
      </c>
      <c r="K2" s="3763"/>
      <c r="L2" s="2848" t="s">
        <v>2315</v>
      </c>
      <c r="M2" s="2848" t="s">
        <v>2316</v>
      </c>
      <c r="N2" s="2848" t="s">
        <v>2317</v>
      </c>
      <c r="O2" s="2848" t="s">
        <v>2318</v>
      </c>
      <c r="P2" s="2848" t="s">
        <v>2319</v>
      </c>
      <c r="Q2" s="2849" t="s">
        <v>2320</v>
      </c>
      <c r="R2" s="2850" t="s">
        <v>2321</v>
      </c>
      <c r="S2" s="2839"/>
      <c r="T2" s="2839"/>
      <c r="U2" s="2839"/>
      <c r="V2" s="2847"/>
    </row>
    <row r="3" spans="1:22" s="2851" customFormat="1" ht="13.15" customHeight="1">
      <c r="A3" s="2852" t="s">
        <v>2322</v>
      </c>
      <c r="B3" s="2853" t="e">
        <f>ROUND(B2*10000/B4,0)</f>
        <v>#DIV/0!</v>
      </c>
      <c r="C3" s="2842" t="s">
        <v>2323</v>
      </c>
      <c r="D3" s="2842"/>
      <c r="E3" s="2843"/>
      <c r="F3" s="2844"/>
      <c r="G3" s="2845"/>
      <c r="H3" s="2846"/>
      <c r="I3" s="2847"/>
      <c r="J3" s="3764" t="s">
        <v>2324</v>
      </c>
      <c r="K3" s="3765"/>
      <c r="L3" s="2854"/>
      <c r="M3" s="2854"/>
      <c r="N3" s="2854"/>
      <c r="O3" s="2854"/>
      <c r="P3" s="2854"/>
      <c r="Q3" s="2855"/>
      <c r="R3" s="2856">
        <f>SUM(L3:Q3)</f>
        <v>0</v>
      </c>
      <c r="S3" s="2839"/>
      <c r="T3" s="2839"/>
      <c r="U3" s="2839"/>
      <c r="V3" s="2847"/>
    </row>
    <row r="4" spans="1:22" s="2851" customFormat="1" ht="13.15" customHeight="1">
      <c r="A4" s="2857" t="s">
        <v>2325</v>
      </c>
      <c r="B4" s="2858"/>
      <c r="C4" s="2842"/>
      <c r="D4" s="2842"/>
      <c r="E4" s="2843"/>
      <c r="F4" s="2844"/>
      <c r="G4" s="2845"/>
      <c r="H4" s="2846"/>
      <c r="I4" s="2847"/>
      <c r="J4" s="3764" t="s">
        <v>2326</v>
      </c>
      <c r="K4" s="3765"/>
      <c r="L4" s="2859"/>
      <c r="M4" s="2859"/>
      <c r="N4" s="2859"/>
      <c r="O4" s="2859"/>
      <c r="P4" s="2859"/>
      <c r="Q4" s="2860"/>
      <c r="R4" s="2861">
        <f>SUM(L4:Q4)</f>
        <v>0</v>
      </c>
      <c r="S4" s="2839"/>
      <c r="T4" s="2839"/>
      <c r="U4" s="2839"/>
      <c r="V4" s="2847"/>
    </row>
    <row r="5" spans="1:22" s="2851" customFormat="1" ht="13.15" customHeight="1" thickBot="1">
      <c r="A5" s="2862" t="s">
        <v>2327</v>
      </c>
      <c r="B5" s="2863"/>
      <c r="C5" s="2842"/>
      <c r="D5" s="2864"/>
      <c r="E5" s="2844"/>
      <c r="F5" s="2844"/>
      <c r="G5" s="2845"/>
      <c r="H5" s="2846"/>
      <c r="I5" s="2847"/>
      <c r="J5" s="2865" t="s">
        <v>2328</v>
      </c>
      <c r="K5" s="2866"/>
      <c r="L5" s="2866"/>
      <c r="M5" s="2867"/>
      <c r="N5" s="2867"/>
      <c r="O5" s="2867"/>
      <c r="P5" s="2867"/>
      <c r="Q5" s="2867"/>
      <c r="R5" s="2850">
        <f>SUM(R14,R19,R24,R25,R27,R28)</f>
        <v>0</v>
      </c>
      <c r="S5" s="2839"/>
      <c r="T5" s="2839" t="s">
        <v>2329</v>
      </c>
      <c r="U5" s="2839" t="e">
        <f>ROUND(R5*10000/365/R3,1)</f>
        <v>#DIV/0!</v>
      </c>
      <c r="V5" s="2847"/>
    </row>
    <row r="6" spans="1:22" s="2851" customFormat="1" ht="13.15" customHeight="1" thickBot="1">
      <c r="A6" s="3770" t="s">
        <v>2330</v>
      </c>
      <c r="B6" s="3771"/>
      <c r="C6" s="3772"/>
      <c r="D6" s="2868"/>
      <c r="E6" s="2869"/>
      <c r="F6" s="2870"/>
      <c r="G6" s="2871"/>
      <c r="H6" s="2846"/>
      <c r="I6" s="2847"/>
      <c r="J6" s="3756">
        <v>1</v>
      </c>
      <c r="K6" s="3757" t="s">
        <v>2331</v>
      </c>
      <c r="L6" s="2872" t="s">
        <v>2332</v>
      </c>
      <c r="M6" s="2873" t="s">
        <v>2333</v>
      </c>
      <c r="N6" s="2873" t="s">
        <v>2334</v>
      </c>
      <c r="O6" s="2873" t="s">
        <v>2335</v>
      </c>
      <c r="P6" s="2873" t="s">
        <v>2336</v>
      </c>
      <c r="Q6" s="2873" t="s">
        <v>2337</v>
      </c>
      <c r="R6" s="2856" t="s">
        <v>2338</v>
      </c>
      <c r="S6" s="2839"/>
      <c r="T6" s="2839" t="s">
        <v>2339</v>
      </c>
      <c r="U6" s="2839"/>
      <c r="V6" s="2847"/>
    </row>
    <row r="7" spans="1:22" s="2851" customFormat="1" ht="13.15" customHeight="1">
      <c r="A7" s="2874" t="s">
        <v>2340</v>
      </c>
      <c r="B7" s="2875"/>
      <c r="C7" s="2876"/>
      <c r="D7" s="2877">
        <f>SUM(D9,D10,D11,D17,0)</f>
        <v>0</v>
      </c>
      <c r="E7" s="2878" t="e">
        <f>E9+E10+E11+E17</f>
        <v>#DIV/0!</v>
      </c>
      <c r="F7" s="2879"/>
      <c r="G7" s="2880"/>
      <c r="H7" s="2846"/>
      <c r="I7" s="2847"/>
      <c r="J7" s="3756"/>
      <c r="K7" s="3758"/>
      <c r="L7" s="2881" t="s">
        <v>2341</v>
      </c>
      <c r="M7" s="2882"/>
      <c r="N7" s="2858"/>
      <c r="O7" s="2883"/>
      <c r="P7" s="2883"/>
      <c r="Q7" s="2884">
        <v>365</v>
      </c>
      <c r="R7" s="2885">
        <f>ROUND(M7*N7*O7*P7*Q7/10000,0)</f>
        <v>0</v>
      </c>
      <c r="S7" s="2839"/>
      <c r="T7" s="2839" t="s">
        <v>2342</v>
      </c>
      <c r="U7" s="2839"/>
      <c r="V7" s="2847"/>
    </row>
    <row r="8" spans="1:22" s="2851" customFormat="1" ht="13.15" customHeight="1">
      <c r="A8" s="2886" t="s">
        <v>2343</v>
      </c>
      <c r="B8" s="3773" t="s">
        <v>2344</v>
      </c>
      <c r="C8" s="3774"/>
      <c r="D8" s="2887" t="s">
        <v>2345</v>
      </c>
      <c r="E8" s="2888" t="s">
        <v>2346</v>
      </c>
      <c r="F8" s="2889" t="s">
        <v>2347</v>
      </c>
      <c r="G8" s="2890"/>
      <c r="H8" s="2846"/>
      <c r="I8" s="2847"/>
      <c r="J8" s="3756"/>
      <c r="K8" s="3758"/>
      <c r="L8" s="2881" t="s">
        <v>2348</v>
      </c>
      <c r="M8" s="2882"/>
      <c r="N8" s="2858"/>
      <c r="O8" s="2883"/>
      <c r="P8" s="2883"/>
      <c r="Q8" s="2884">
        <v>365</v>
      </c>
      <c r="R8" s="2885">
        <f t="shared" ref="R8:R13" si="0">ROUND(M8*N8*O8*P8*Q8/10000,0)</f>
        <v>0</v>
      </c>
      <c r="S8" s="2839"/>
      <c r="T8" s="2839" t="s">
        <v>2349</v>
      </c>
      <c r="U8" s="2839"/>
      <c r="V8" s="2847"/>
    </row>
    <row r="9" spans="1:22" s="2851" customFormat="1" ht="13.15" customHeight="1">
      <c r="A9" s="2886">
        <v>1</v>
      </c>
      <c r="B9" s="3773" t="s">
        <v>2350</v>
      </c>
      <c r="C9" s="3774"/>
      <c r="D9" s="2887">
        <f>ROUND(D6*E9,0)</f>
        <v>0</v>
      </c>
      <c r="E9" s="2891"/>
      <c r="F9" s="2892" t="s">
        <v>2351</v>
      </c>
      <c r="G9" s="2871"/>
      <c r="H9" s="2846"/>
      <c r="I9" s="2847"/>
      <c r="J9" s="3756"/>
      <c r="K9" s="3758"/>
      <c r="L9" s="2881" t="s">
        <v>2352</v>
      </c>
      <c r="M9" s="2882"/>
      <c r="N9" s="2858"/>
      <c r="O9" s="2883"/>
      <c r="P9" s="2883"/>
      <c r="Q9" s="2884">
        <v>365</v>
      </c>
      <c r="R9" s="2885">
        <f t="shared" si="0"/>
        <v>0</v>
      </c>
      <c r="S9" s="2839"/>
      <c r="T9" s="2839"/>
      <c r="U9" s="2839"/>
      <c r="V9" s="2847"/>
    </row>
    <row r="10" spans="1:22" s="2851" customFormat="1" ht="13.15" customHeight="1">
      <c r="A10" s="2886">
        <v>2</v>
      </c>
      <c r="B10" s="3773" t="s">
        <v>2353</v>
      </c>
      <c r="C10" s="3774"/>
      <c r="D10" s="2887">
        <f>ROUND(D6*E10,0)</f>
        <v>0</v>
      </c>
      <c r="E10" s="2891"/>
      <c r="F10" s="2892" t="s">
        <v>2354</v>
      </c>
      <c r="G10" s="2871"/>
      <c r="H10" s="2846"/>
      <c r="I10" s="2847"/>
      <c r="J10" s="3756"/>
      <c r="K10" s="3758"/>
      <c r="L10" s="2881" t="s">
        <v>2355</v>
      </c>
      <c r="M10" s="2882"/>
      <c r="N10" s="2858"/>
      <c r="O10" s="2883"/>
      <c r="P10" s="2883"/>
      <c r="Q10" s="2884">
        <v>365</v>
      </c>
      <c r="R10" s="2885">
        <f t="shared" si="0"/>
        <v>0</v>
      </c>
      <c r="S10" s="2839"/>
      <c r="T10" s="2839"/>
      <c r="U10" s="2839"/>
      <c r="V10" s="2847"/>
    </row>
    <row r="11" spans="1:22" s="2851" customFormat="1" ht="13.15" customHeight="1">
      <c r="A11" s="2886">
        <v>3</v>
      </c>
      <c r="B11" s="3773" t="s">
        <v>2356</v>
      </c>
      <c r="C11" s="3774"/>
      <c r="D11" s="2887">
        <f>D12+D14+D15+D16</f>
        <v>0</v>
      </c>
      <c r="E11" s="2893" t="e">
        <f>D11/D6</f>
        <v>#DIV/0!</v>
      </c>
      <c r="F11" s="2889"/>
      <c r="G11" s="2890"/>
      <c r="H11" s="2846"/>
      <c r="I11" s="2847"/>
      <c r="J11" s="3756"/>
      <c r="K11" s="3758"/>
      <c r="L11" s="2881" t="s">
        <v>2357</v>
      </c>
      <c r="M11" s="2882"/>
      <c r="N11" s="2858"/>
      <c r="O11" s="2883"/>
      <c r="P11" s="2883"/>
      <c r="Q11" s="2884">
        <v>365</v>
      </c>
      <c r="R11" s="2885">
        <f t="shared" si="0"/>
        <v>0</v>
      </c>
      <c r="S11" s="2839"/>
      <c r="T11" s="2839"/>
      <c r="U11" s="2839"/>
      <c r="V11" s="2847"/>
    </row>
    <row r="12" spans="1:22" s="2851" customFormat="1" ht="13.15" customHeight="1">
      <c r="A12" s="2894" t="s">
        <v>2358</v>
      </c>
      <c r="B12" s="3766" t="s">
        <v>2359</v>
      </c>
      <c r="C12" s="3767"/>
      <c r="D12" s="2895">
        <f>ROUND(D13*1.2%*(1-30%),0)</f>
        <v>0</v>
      </c>
      <c r="E12" s="2896">
        <v>1.2E-2</v>
      </c>
      <c r="F12" s="2889" t="s">
        <v>2360</v>
      </c>
      <c r="G12" s="2890"/>
      <c r="H12" s="2846"/>
      <c r="I12" s="2847"/>
      <c r="J12" s="3756"/>
      <c r="K12" s="3758"/>
      <c r="L12" s="2881" t="s">
        <v>2361</v>
      </c>
      <c r="M12" s="2882"/>
      <c r="N12" s="2858"/>
      <c r="O12" s="2883"/>
      <c r="P12" s="2883"/>
      <c r="Q12" s="2884">
        <v>365</v>
      </c>
      <c r="R12" s="2885">
        <f t="shared" si="0"/>
        <v>0</v>
      </c>
      <c r="S12" s="2839"/>
      <c r="T12" s="2839"/>
      <c r="U12" s="2839"/>
      <c r="V12" s="2847"/>
    </row>
    <row r="13" spans="1:22" s="2851" customFormat="1" ht="13.15" customHeight="1">
      <c r="A13" s="2894"/>
      <c r="B13" s="2897"/>
      <c r="C13" s="2898" t="s">
        <v>2362</v>
      </c>
      <c r="D13" s="2899"/>
      <c r="E13" s="2900"/>
      <c r="F13" s="2889"/>
      <c r="G13" s="2890"/>
      <c r="H13" s="2846"/>
      <c r="I13" s="2847"/>
      <c r="J13" s="3756"/>
      <c r="K13" s="3758"/>
      <c r="L13" s="2881" t="s">
        <v>2363</v>
      </c>
      <c r="M13" s="2882"/>
      <c r="N13" s="2858"/>
      <c r="O13" s="2883"/>
      <c r="P13" s="2883"/>
      <c r="Q13" s="2884">
        <v>365</v>
      </c>
      <c r="R13" s="2885">
        <f t="shared" si="0"/>
        <v>0</v>
      </c>
      <c r="S13" s="2839"/>
      <c r="T13" s="2839"/>
      <c r="U13" s="2839"/>
      <c r="V13" s="2847"/>
    </row>
    <row r="14" spans="1:22" s="2851" customFormat="1" ht="13.15" customHeight="1">
      <c r="A14" s="2894" t="s">
        <v>2364</v>
      </c>
      <c r="B14" s="3766" t="s">
        <v>2365</v>
      </c>
      <c r="C14" s="3767"/>
      <c r="D14" s="2895">
        <f>ROUND(E14*B5/10000,0)</f>
        <v>0</v>
      </c>
      <c r="E14" s="2884"/>
      <c r="F14" s="2889" t="s">
        <v>2366</v>
      </c>
      <c r="G14" s="2890"/>
      <c r="H14" s="2846"/>
      <c r="I14" s="2847"/>
      <c r="J14" s="3756"/>
      <c r="K14" s="3759"/>
      <c r="L14" s="2901" t="s">
        <v>2367</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2368</v>
      </c>
      <c r="B15" s="3766" t="s">
        <v>2369</v>
      </c>
      <c r="C15" s="3767"/>
      <c r="D15" s="2895">
        <f>ROUND(D6*E15,0)</f>
        <v>0</v>
      </c>
      <c r="E15" s="2896">
        <v>5.5E-2</v>
      </c>
      <c r="F15" s="2889" t="s">
        <v>2370</v>
      </c>
      <c r="G15" s="2871"/>
      <c r="H15" s="2846"/>
      <c r="I15" s="2847"/>
      <c r="J15" s="3756">
        <v>2</v>
      </c>
      <c r="K15" s="3757" t="s">
        <v>2371</v>
      </c>
      <c r="L15" s="2881" t="s">
        <v>2372</v>
      </c>
      <c r="M15" s="2882" t="s">
        <v>2373</v>
      </c>
      <c r="N15" s="2882" t="s">
        <v>2374</v>
      </c>
      <c r="O15" s="2883" t="s">
        <v>2375</v>
      </c>
      <c r="P15" s="2883" t="s">
        <v>2337</v>
      </c>
      <c r="Q15" s="2858" t="s">
        <v>2376</v>
      </c>
      <c r="R15" s="2905" t="s">
        <v>2338</v>
      </c>
      <c r="S15" s="2839"/>
      <c r="T15" s="2839"/>
      <c r="U15" s="2839"/>
      <c r="V15" s="2847"/>
    </row>
    <row r="16" spans="1:22" s="2851" customFormat="1" ht="13.15" customHeight="1">
      <c r="A16" s="2894" t="s">
        <v>2377</v>
      </c>
      <c r="B16" s="3766" t="s">
        <v>2378</v>
      </c>
      <c r="C16" s="3767"/>
      <c r="D16" s="2906">
        <f>D6*E16</f>
        <v>0</v>
      </c>
      <c r="E16" s="2907"/>
      <c r="F16" s="2892" t="s">
        <v>2379</v>
      </c>
      <c r="G16" s="2871"/>
      <c r="H16" s="2846"/>
      <c r="I16" s="2847"/>
      <c r="J16" s="3756"/>
      <c r="K16" s="3758"/>
      <c r="L16" s="2881" t="s">
        <v>2380</v>
      </c>
      <c r="M16" s="2882"/>
      <c r="N16" s="2882"/>
      <c r="O16" s="2883"/>
      <c r="P16" s="2884">
        <v>365</v>
      </c>
      <c r="Q16" s="2858"/>
      <c r="R16" s="2905">
        <f>ROUND(M16*N16*O16*P16/10000,0)</f>
        <v>0</v>
      </c>
      <c r="S16" s="2839"/>
      <c r="T16" s="2839"/>
      <c r="U16" s="2839"/>
      <c r="V16" s="2847"/>
    </row>
    <row r="17" spans="1:22" s="2851" customFormat="1" ht="13.15" customHeight="1" thickBot="1">
      <c r="A17" s="2908">
        <v>4</v>
      </c>
      <c r="B17" s="3768" t="s">
        <v>2381</v>
      </c>
      <c r="C17" s="3769"/>
      <c r="D17" s="2909">
        <f>ROUND(D6*E17,0)</f>
        <v>0</v>
      </c>
      <c r="E17" s="2910"/>
      <c r="F17" s="2911" t="s">
        <v>2382</v>
      </c>
      <c r="G17" s="2871"/>
      <c r="H17" s="2846"/>
      <c r="I17" s="2847"/>
      <c r="J17" s="3756"/>
      <c r="K17" s="3758"/>
      <c r="L17" s="2881" t="s">
        <v>2383</v>
      </c>
      <c r="M17" s="2882"/>
      <c r="N17" s="2882"/>
      <c r="O17" s="2883"/>
      <c r="P17" s="2884">
        <v>365</v>
      </c>
      <c r="Q17" s="2858"/>
      <c r="R17" s="2905">
        <f>ROUND(M17*N17*O17*P17/10000,0)</f>
        <v>0</v>
      </c>
      <c r="S17" s="2839"/>
      <c r="T17" s="2839"/>
      <c r="U17" s="2839"/>
      <c r="V17" s="2847"/>
    </row>
    <row r="18" spans="1:22" s="2851" customFormat="1" ht="13.15" customHeight="1" thickBot="1">
      <c r="A18" s="2874" t="s">
        <v>2384</v>
      </c>
      <c r="B18" s="2875"/>
      <c r="C18" s="2875"/>
      <c r="D18" s="2912">
        <f>ROUND(D6*E18,0)</f>
        <v>0</v>
      </c>
      <c r="E18" s="2913"/>
      <c r="F18" s="2914" t="s">
        <v>2385</v>
      </c>
      <c r="G18" s="2871"/>
      <c r="H18" s="2846"/>
      <c r="I18" s="2847"/>
      <c r="J18" s="3756"/>
      <c r="K18" s="3758"/>
      <c r="L18" s="2881" t="s">
        <v>2386</v>
      </c>
      <c r="M18" s="2882"/>
      <c r="N18" s="2882"/>
      <c r="O18" s="2883"/>
      <c r="P18" s="2884">
        <v>365</v>
      </c>
      <c r="Q18" s="2858"/>
      <c r="R18" s="2905">
        <f>ROUND(M18*N18*O18*P18/10000,0)</f>
        <v>0</v>
      </c>
      <c r="S18" s="2839"/>
      <c r="T18" s="2839"/>
      <c r="U18" s="2839"/>
      <c r="V18" s="2847"/>
    </row>
    <row r="19" spans="1:22" s="2851" customFormat="1" ht="13.15" customHeight="1" thickBot="1">
      <c r="A19" s="2915" t="s">
        <v>2387</v>
      </c>
      <c r="B19" s="2869"/>
      <c r="C19" s="2869"/>
      <c r="D19" s="2869"/>
      <c r="E19" s="2869"/>
      <c r="F19" s="2870"/>
      <c r="G19" s="2890"/>
      <c r="H19" s="2846"/>
      <c r="I19" s="2847"/>
      <c r="J19" s="3756"/>
      <c r="K19" s="3759"/>
      <c r="L19" s="2901" t="s">
        <v>2367</v>
      </c>
      <c r="M19" s="2902"/>
      <c r="N19" s="2902">
        <f>SUM(N16:N18)</f>
        <v>0</v>
      </c>
      <c r="O19" s="2903"/>
      <c r="P19" s="2916" t="s">
        <v>2431</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6">
        <v>3</v>
      </c>
      <c r="K20" s="3757" t="s">
        <v>2388</v>
      </c>
      <c r="L20" s="2881" t="s">
        <v>2389</v>
      </c>
      <c r="M20" s="2882" t="s">
        <v>2390</v>
      </c>
      <c r="N20" s="2919" t="s">
        <v>2391</v>
      </c>
      <c r="O20" s="2883" t="s">
        <v>2392</v>
      </c>
      <c r="P20" s="2884" t="s">
        <v>2393</v>
      </c>
      <c r="Q20" s="2858" t="s">
        <v>2394</v>
      </c>
      <c r="R20" s="2905" t="s">
        <v>2395</v>
      </c>
      <c r="S20" s="2920"/>
      <c r="T20" s="2920"/>
      <c r="U20" s="2920"/>
      <c r="V20" s="2847"/>
    </row>
    <row r="21" spans="1:22" s="2851" customFormat="1" ht="13.15" customHeight="1">
      <c r="A21" s="2874"/>
      <c r="B21" s="2875"/>
      <c r="C21" s="2921" t="s">
        <v>2396</v>
      </c>
      <c r="D21" s="2922" t="s">
        <v>2397</v>
      </c>
      <c r="E21" s="2923" t="s">
        <v>2398</v>
      </c>
      <c r="F21" s="2918"/>
      <c r="G21" s="2890"/>
      <c r="H21" s="2846"/>
      <c r="I21" s="2847"/>
      <c r="J21" s="3756"/>
      <c r="K21" s="3758"/>
      <c r="L21" s="2881" t="s">
        <v>2399</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2400</v>
      </c>
      <c r="D22" s="2926" t="s">
        <v>2401</v>
      </c>
      <c r="E22" s="2927" t="s">
        <v>2402</v>
      </c>
      <c r="F22" s="2918"/>
      <c r="G22" s="2928"/>
      <c r="H22" s="2846"/>
      <c r="I22" s="2847"/>
      <c r="J22" s="3756"/>
      <c r="K22" s="3758"/>
      <c r="L22" s="2881" t="s">
        <v>2403</v>
      </c>
      <c r="M22" s="2882"/>
      <c r="N22" s="2882"/>
      <c r="O22" s="2883"/>
      <c r="P22" s="2884">
        <v>365</v>
      </c>
      <c r="Q22" s="2858"/>
      <c r="R22" s="2924">
        <f>ROUND(M22*N22*O22*P22/10000,0)</f>
        <v>0</v>
      </c>
      <c r="S22" s="2920"/>
      <c r="T22" s="2920"/>
      <c r="U22" s="2920"/>
      <c r="V22" s="2847"/>
    </row>
    <row r="23" spans="1:22" s="2851" customFormat="1" ht="13.15" customHeight="1">
      <c r="A23" s="2929">
        <v>1</v>
      </c>
      <c r="B23" s="2930" t="s">
        <v>2404</v>
      </c>
      <c r="C23" s="2931">
        <f>D6</f>
        <v>0</v>
      </c>
      <c r="D23" s="2932">
        <f>C23*(1+D24)</f>
        <v>0</v>
      </c>
      <c r="E23" s="2933">
        <f>D23*(1+E24)</f>
        <v>0</v>
      </c>
      <c r="F23" s="2934"/>
      <c r="G23" s="2935"/>
      <c r="H23" s="2846"/>
      <c r="I23" s="2847"/>
      <c r="J23" s="3756"/>
      <c r="K23" s="3758"/>
      <c r="L23" s="2881" t="s">
        <v>2405</v>
      </c>
      <c r="M23" s="2882"/>
      <c r="N23" s="2882"/>
      <c r="O23" s="2883"/>
      <c r="P23" s="2884">
        <v>365</v>
      </c>
      <c r="Q23" s="2858"/>
      <c r="R23" s="2924">
        <f>ROUND(M23*N23*O23*P23/10000,0)</f>
        <v>0</v>
      </c>
      <c r="S23" s="2839"/>
      <c r="T23" s="2839"/>
      <c r="U23" s="2839"/>
      <c r="V23" s="2847"/>
    </row>
    <row r="24" spans="1:22" s="2851" customFormat="1" ht="13.15" customHeight="1">
      <c r="A24" s="2936"/>
      <c r="B24" s="2937" t="s">
        <v>2406</v>
      </c>
      <c r="C24" s="2938"/>
      <c r="D24" s="2939"/>
      <c r="E24" s="2940"/>
      <c r="F24" s="2941"/>
      <c r="G24" s="2935"/>
      <c r="H24" s="2846"/>
      <c r="I24" s="2847"/>
      <c r="J24" s="3756"/>
      <c r="K24" s="3759"/>
      <c r="L24" s="2901" t="s">
        <v>2367</v>
      </c>
      <c r="M24" s="2902">
        <f>SUM(M21:M23)</f>
        <v>0</v>
      </c>
      <c r="N24" s="2902"/>
      <c r="O24" s="2903"/>
      <c r="P24" s="2916" t="s">
        <v>2431</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2407</v>
      </c>
      <c r="L25" s="2944"/>
      <c r="M25" s="2944"/>
      <c r="N25" s="2944"/>
      <c r="O25" s="2944"/>
      <c r="P25" s="2945"/>
      <c r="Q25" s="2946">
        <v>0</v>
      </c>
      <c r="R25" s="2917">
        <f>ROUND(R14*Q25,0)</f>
        <v>0</v>
      </c>
      <c r="S25" s="2839"/>
      <c r="T25" s="2839"/>
      <c r="U25" s="2839"/>
      <c r="V25" s="2947"/>
    </row>
    <row r="26" spans="1:22" s="2948" customFormat="1" ht="13.15" customHeight="1">
      <c r="A26" s="2929">
        <v>2</v>
      </c>
      <c r="B26" s="2930" t="s">
        <v>2408</v>
      </c>
      <c r="C26" s="2931">
        <f>D7</f>
        <v>0</v>
      </c>
      <c r="D26" s="2932">
        <f>D23*D27</f>
        <v>0</v>
      </c>
      <c r="E26" s="2933">
        <f>E23*E27</f>
        <v>0</v>
      </c>
      <c r="F26" s="2934"/>
      <c r="G26" s="2935"/>
      <c r="H26" s="2846"/>
      <c r="I26" s="2847"/>
      <c r="J26" s="3760">
        <v>5</v>
      </c>
      <c r="K26" s="2949" t="s">
        <v>2409</v>
      </c>
      <c r="L26" s="2950"/>
      <c r="M26" s="2951"/>
      <c r="N26" s="2952" t="s">
        <v>2410</v>
      </c>
      <c r="O26" s="2952" t="s">
        <v>2411</v>
      </c>
      <c r="P26" s="2953" t="s">
        <v>2412</v>
      </c>
      <c r="Q26" s="2953" t="s">
        <v>2413</v>
      </c>
      <c r="R26" s="2856" t="s">
        <v>2338</v>
      </c>
      <c r="S26" s="2954"/>
      <c r="T26" s="2954"/>
      <c r="U26" s="2954"/>
      <c r="V26" s="2947"/>
    </row>
    <row r="27" spans="1:22" s="2851" customFormat="1" ht="13.15" customHeight="1">
      <c r="A27" s="2936"/>
      <c r="B27" s="2937" t="s">
        <v>2414</v>
      </c>
      <c r="C27" s="2955" t="e">
        <f>E7</f>
        <v>#DIV/0!</v>
      </c>
      <c r="D27" s="2939"/>
      <c r="E27" s="2940"/>
      <c r="F27" s="2941"/>
      <c r="G27" s="2935"/>
      <c r="H27" s="2956"/>
      <c r="I27" s="2947"/>
      <c r="J27" s="37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2415</v>
      </c>
      <c r="F28" s="2941"/>
      <c r="G28" s="2928"/>
      <c r="H28" s="2956"/>
      <c r="I28" s="2947"/>
      <c r="J28" s="2962">
        <v>6</v>
      </c>
      <c r="K28" s="2963" t="s">
        <v>2416</v>
      </c>
      <c r="L28" s="2964" t="s">
        <v>2417</v>
      </c>
      <c r="M28" s="2965"/>
      <c r="N28" s="2964" t="s">
        <v>2418</v>
      </c>
      <c r="O28" s="2966"/>
      <c r="P28" s="2964" t="s">
        <v>2419</v>
      </c>
      <c r="Q28" s="2967">
        <v>1.4999999999999999E-2</v>
      </c>
      <c r="R28" s="2968"/>
      <c r="S28" s="2920"/>
      <c r="T28" s="2920"/>
      <c r="U28" s="2920"/>
      <c r="V28" s="2947"/>
    </row>
    <row r="29" spans="1:22" s="2948" customFormat="1" ht="13.15" customHeight="1">
      <c r="A29" s="2929">
        <v>3</v>
      </c>
      <c r="B29" s="2930" t="s">
        <v>2420</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2414</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2421</v>
      </c>
      <c r="K31" s="2837"/>
      <c r="L31" s="2837"/>
      <c r="M31" s="2837"/>
      <c r="N31" s="2837"/>
      <c r="O31" s="2837"/>
      <c r="P31" s="2837"/>
      <c r="Q31" s="2837"/>
      <c r="R31" s="2838"/>
      <c r="S31" s="2920"/>
      <c r="T31" s="2839"/>
      <c r="U31" s="2839"/>
      <c r="V31" s="2947"/>
    </row>
    <row r="32" spans="1:22" s="2948" customFormat="1" ht="13.15" customHeight="1">
      <c r="A32" s="2929">
        <v>4</v>
      </c>
      <c r="B32" s="2930" t="s">
        <v>2422</v>
      </c>
      <c r="C32" s="2931">
        <f>C23-C26-C29</f>
        <v>0</v>
      </c>
      <c r="D32" s="2932">
        <f>D23-D26-D29</f>
        <v>0</v>
      </c>
      <c r="E32" s="2933">
        <f>E23-E26-E29</f>
        <v>0</v>
      </c>
      <c r="F32" s="2934"/>
      <c r="G32" s="2928"/>
      <c r="H32" s="2846"/>
      <c r="I32" s="2847"/>
      <c r="J32" s="3762" t="s">
        <v>2314</v>
      </c>
      <c r="K32" s="3763"/>
      <c r="L32" s="2848" t="s">
        <v>2315</v>
      </c>
      <c r="M32" s="2848" t="s">
        <v>2316</v>
      </c>
      <c r="N32" s="2848" t="s">
        <v>2317</v>
      </c>
      <c r="O32" s="2848" t="s">
        <v>2318</v>
      </c>
      <c r="P32" s="2848" t="s">
        <v>2319</v>
      </c>
      <c r="Q32" s="2849" t="s">
        <v>2320</v>
      </c>
      <c r="R32" s="2971" t="s">
        <v>2321</v>
      </c>
      <c r="S32" s="2920"/>
      <c r="T32" s="2839"/>
      <c r="U32" s="2839"/>
      <c r="V32" s="2947"/>
    </row>
    <row r="33" spans="1:23" s="2851" customFormat="1" ht="13.15" customHeight="1">
      <c r="A33" s="2929"/>
      <c r="B33" s="2930"/>
      <c r="C33" s="2931"/>
      <c r="D33" s="2972"/>
      <c r="E33" s="2973"/>
      <c r="F33" s="2934"/>
      <c r="G33" s="2928"/>
      <c r="H33" s="2956"/>
      <c r="I33" s="2947"/>
      <c r="J33" s="3764" t="s">
        <v>2324</v>
      </c>
      <c r="K33" s="3765"/>
      <c r="L33" s="2854"/>
      <c r="M33" s="2854"/>
      <c r="N33" s="2854"/>
      <c r="O33" s="2854"/>
      <c r="P33" s="2854"/>
      <c r="Q33" s="2855"/>
      <c r="R33" s="2974">
        <f>SUM(L33:Q33)</f>
        <v>0</v>
      </c>
      <c r="S33" s="2920"/>
      <c r="T33" s="2839"/>
      <c r="U33" s="2839"/>
      <c r="V33" s="2847"/>
    </row>
    <row r="34" spans="1:23" s="2851" customFormat="1" ht="13.15" customHeight="1">
      <c r="A34" s="2929">
        <v>5</v>
      </c>
      <c r="B34" s="2930" t="s">
        <v>2423</v>
      </c>
      <c r="C34" s="2975"/>
      <c r="D34" s="2976"/>
      <c r="E34" s="2977"/>
      <c r="F34" s="2934"/>
      <c r="G34" s="2928"/>
      <c r="H34" s="2956"/>
      <c r="I34" s="2947"/>
      <c r="J34" s="3764" t="s">
        <v>2326</v>
      </c>
      <c r="K34" s="376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2424</v>
      </c>
      <c r="C35" s="2979"/>
      <c r="D35" s="2980"/>
      <c r="E35" s="2981"/>
      <c r="F35" s="2934"/>
      <c r="G35" s="2982"/>
      <c r="H35" s="2846"/>
      <c r="I35" s="2947"/>
      <c r="J35" s="2865" t="s">
        <v>2328</v>
      </c>
      <c r="K35" s="2866"/>
      <c r="L35" s="2866"/>
      <c r="M35" s="2867"/>
      <c r="N35" s="2867"/>
      <c r="O35" s="2867"/>
      <c r="P35" s="2867"/>
      <c r="Q35" s="2867"/>
      <c r="R35" s="2983">
        <f>R40+R41+R43</f>
        <v>0</v>
      </c>
      <c r="S35" s="2920"/>
      <c r="T35" s="2839" t="s">
        <v>2329</v>
      </c>
      <c r="U35" s="2839"/>
      <c r="V35" s="2847"/>
    </row>
    <row r="36" spans="1:23" s="2851" customFormat="1" ht="13.15" customHeight="1" thickBot="1">
      <c r="A36" s="2929">
        <v>7</v>
      </c>
      <c r="B36" s="2984" t="s">
        <v>2425</v>
      </c>
      <c r="C36" s="2985"/>
      <c r="D36" s="2986"/>
      <c r="E36" s="2987"/>
      <c r="F36" s="2988">
        <f>C36+D36+E36</f>
        <v>0</v>
      </c>
      <c r="G36" s="2928"/>
      <c r="H36" s="2846"/>
      <c r="I36" s="2847"/>
      <c r="J36" s="3756">
        <v>1</v>
      </c>
      <c r="K36" s="3757" t="s">
        <v>2426</v>
      </c>
      <c r="L36" s="2872"/>
      <c r="M36" s="2873"/>
      <c r="N36" s="2873"/>
      <c r="O36" s="2873"/>
      <c r="P36" s="2873"/>
      <c r="Q36" s="2873"/>
      <c r="R36" s="2856" t="s">
        <v>2338</v>
      </c>
      <c r="S36" s="2920"/>
      <c r="T36" s="2839" t="s">
        <v>2339</v>
      </c>
      <c r="U36" s="2839"/>
      <c r="V36" s="2847"/>
    </row>
    <row r="37" spans="1:23" s="2851" customFormat="1" ht="13.15" customHeight="1">
      <c r="A37" s="2929"/>
      <c r="B37" s="2930"/>
      <c r="C37" s="2930"/>
      <c r="D37" s="2930"/>
      <c r="E37" s="2930"/>
      <c r="F37" s="2934"/>
      <c r="G37" s="2928"/>
      <c r="H37" s="2846"/>
      <c r="I37" s="2847"/>
      <c r="J37" s="3756"/>
      <c r="K37" s="3758"/>
      <c r="L37" s="2881"/>
      <c r="M37" s="2882"/>
      <c r="N37" s="2858"/>
      <c r="O37" s="2883"/>
      <c r="P37" s="2883"/>
      <c r="Q37" s="2884"/>
      <c r="R37" s="2885"/>
      <c r="S37" s="2920"/>
      <c r="T37" s="2839" t="s">
        <v>2342</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6"/>
      <c r="K38" s="3758"/>
      <c r="L38" s="2881"/>
      <c r="M38" s="2882"/>
      <c r="N38" s="2858"/>
      <c r="O38" s="2883"/>
      <c r="P38" s="2883"/>
      <c r="Q38" s="2884"/>
      <c r="R38" s="2885"/>
      <c r="S38" s="2920"/>
      <c r="T38" s="2839" t="s">
        <v>2349</v>
      </c>
      <c r="U38" s="2839"/>
      <c r="V38" s="2847"/>
    </row>
    <row r="39" spans="1:23" s="2851" customFormat="1" ht="13.15" customHeight="1">
      <c r="A39" s="2929">
        <v>9</v>
      </c>
      <c r="B39" s="2930" t="s">
        <v>2427</v>
      </c>
      <c r="C39" s="2895" t="e">
        <f>C38</f>
        <v>#DIV/0!</v>
      </c>
      <c r="D39" s="2930">
        <f>D38/(1+D34)^C36</f>
        <v>0</v>
      </c>
      <c r="E39" s="2930">
        <f>E38/(1+E34)^(C36+D36)</f>
        <v>0</v>
      </c>
      <c r="F39" s="2934"/>
      <c r="G39" s="2989"/>
      <c r="H39" s="2846"/>
      <c r="I39" s="2847"/>
      <c r="J39" s="3756"/>
      <c r="K39" s="3758"/>
      <c r="L39" s="2881"/>
      <c r="M39" s="2882"/>
      <c r="N39" s="2858"/>
      <c r="O39" s="2883"/>
      <c r="P39" s="2883"/>
      <c r="Q39" s="2884"/>
      <c r="R39" s="2885"/>
      <c r="S39" s="2920"/>
      <c r="T39" s="2839"/>
      <c r="U39" s="2839"/>
      <c r="V39" s="2847"/>
    </row>
    <row r="40" spans="1:23" s="2851" customFormat="1" ht="13.15" customHeight="1">
      <c r="A40" s="2990">
        <v>10</v>
      </c>
      <c r="B40" s="2930" t="s">
        <v>2428</v>
      </c>
      <c r="C40" s="2991" t="e">
        <f>C39+D39+E39</f>
        <v>#DIV/0!</v>
      </c>
      <c r="D40" s="2992"/>
      <c r="E40" s="2992"/>
      <c r="F40" s="2993"/>
      <c r="G40" s="2928"/>
      <c r="H40" s="2846"/>
      <c r="I40" s="2847"/>
      <c r="J40" s="3756"/>
      <c r="K40" s="3759"/>
      <c r="L40" s="2901" t="s">
        <v>2367</v>
      </c>
      <c r="M40" s="2902"/>
      <c r="N40" s="2902"/>
      <c r="O40" s="2903"/>
      <c r="P40" s="2903"/>
      <c r="Q40" s="2904"/>
      <c r="R40" s="2850">
        <f>SUM(R37:R39)</f>
        <v>0</v>
      </c>
      <c r="S40" s="2920"/>
      <c r="T40" s="2839"/>
      <c r="U40" s="2839"/>
      <c r="V40" s="2847"/>
    </row>
    <row r="41" spans="1:23" s="2851" customFormat="1" ht="13.15" customHeight="1" thickBot="1">
      <c r="A41" s="2994">
        <v>11</v>
      </c>
      <c r="B41" s="2995" t="s">
        <v>2429</v>
      </c>
      <c r="C41" s="2995" t="e">
        <f>ROUND(C40*10000/B4,0)</f>
        <v>#DIV/0!</v>
      </c>
      <c r="D41" s="2996"/>
      <c r="E41" s="2996"/>
      <c r="F41" s="2997"/>
      <c r="G41" s="2998"/>
      <c r="H41" s="2846"/>
      <c r="I41" s="2847"/>
      <c r="J41" s="2942">
        <v>2</v>
      </c>
      <c r="K41" s="2943" t="s">
        <v>2407</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0">
        <v>3</v>
      </c>
      <c r="K42" s="2949" t="s">
        <v>2409</v>
      </c>
      <c r="L42" s="2950"/>
      <c r="M42" s="2951"/>
      <c r="N42" s="2952" t="s">
        <v>2410</v>
      </c>
      <c r="O42" s="2952" t="s">
        <v>2411</v>
      </c>
      <c r="P42" s="2953" t="s">
        <v>2412</v>
      </c>
      <c r="Q42" s="2953" t="s">
        <v>2413</v>
      </c>
      <c r="R42" s="2856" t="s">
        <v>2338</v>
      </c>
      <c r="S42" s="2954"/>
      <c r="T42" s="2954"/>
      <c r="U42" s="2839"/>
      <c r="V42" s="2847"/>
    </row>
    <row r="43" spans="1:23" ht="13.15" customHeight="1">
      <c r="A43" s="2851"/>
      <c r="B43" s="2851"/>
      <c r="C43" s="2851"/>
      <c r="D43" s="2851"/>
      <c r="E43" s="2851"/>
      <c r="F43" s="2851"/>
      <c r="I43" s="2834"/>
      <c r="J43" s="37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2416</v>
      </c>
      <c r="L44" s="3002" t="s">
        <v>2417</v>
      </c>
      <c r="M44" s="2965"/>
      <c r="N44" s="3002" t="s">
        <v>2418</v>
      </c>
      <c r="O44" s="2965"/>
      <c r="P44" s="3002" t="s">
        <v>2419</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676.54070000000002</v>
      </c>
      <c r="C2" s="1870" t="s">
        <v>1651</v>
      </c>
      <c r="D2" s="1871" t="s">
        <v>1652</v>
      </c>
      <c r="E2" s="2605">
        <f>SUM(E6:E13)</f>
        <v>279.52999999999997</v>
      </c>
      <c r="F2" s="2705"/>
      <c r="G2" s="1487"/>
      <c r="H2" s="1487"/>
      <c r="I2" s="1487"/>
      <c r="J2" s="1487"/>
      <c r="K2" s="1487"/>
      <c r="L2" s="1487"/>
      <c r="M2" s="1487"/>
      <c r="N2" s="1487"/>
      <c r="O2" s="1487"/>
      <c r="P2" s="1487"/>
      <c r="Q2" s="1487"/>
      <c r="R2" s="1487"/>
      <c r="S2" s="1487"/>
    </row>
    <row r="3" spans="1:22" ht="15.75">
      <c r="A3" s="1868" t="s">
        <v>686</v>
      </c>
      <c r="B3" s="2599">
        <f ca="1">ROUND(B2*10000/E2,0)</f>
        <v>24203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75" t="s">
        <v>1654</v>
      </c>
      <c r="C5" s="377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676.54070000000002</v>
      </c>
      <c r="C6" s="1870" t="s">
        <v>1651</v>
      </c>
      <c r="D6" s="2707"/>
      <c r="E6" s="2604">
        <f>IF(OR(A6=0,F6="否"),0,'数据-取费表'!K6+'数据-取费表'!S6)</f>
        <v>279.52999999999997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受贵公司委托，我公司对北京市朝阳区东三环中路39号院23号楼3层0302办公用房房地产抵押价值进行了预评估。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估价对象为北京市朝阳区东三环中路39号院23号楼3层0302办公用房房地产，为所有。根据《国有土地使用证》[]，估价对象（分摊）出让国有建设用地使用权面积为0平方米，建筑面积为279.53平方米。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39号院23号楼3层0302办公用房房地产,属开发建设的办公项目，该项目尚在开发建设中。根据《国有土地使用证》[]，估价对象（分摊）出让国有建设用地使用权面积为0平方米，规划建筑面积为279.53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279.52999999999997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2" t="s">
        <v>1667</v>
      </c>
      <c r="D4" s="3713"/>
      <c r="E4" s="3714" t="s">
        <v>1668</v>
      </c>
      <c r="F4" s="3715"/>
      <c r="G4" s="3712" t="s">
        <v>1669</v>
      </c>
      <c r="H4" s="3713"/>
      <c r="I4" s="3712" t="s">
        <v>1670</v>
      </c>
      <c r="J4" s="3713"/>
      <c r="K4" s="1887" t="s">
        <v>1671</v>
      </c>
      <c r="L4" s="2713"/>
      <c r="M4" s="2714"/>
      <c r="N4" s="2714"/>
      <c r="O4" s="2714"/>
      <c r="P4" s="3749" t="s">
        <v>1672</v>
      </c>
      <c r="Q4" s="3750"/>
      <c r="R4" s="3753" t="s">
        <v>1668</v>
      </c>
      <c r="S4" s="3754"/>
      <c r="T4" s="3753" t="s">
        <v>1669</v>
      </c>
      <c r="U4" s="3754"/>
      <c r="V4" s="3729" t="s">
        <v>1670</v>
      </c>
      <c r="W4" s="3729"/>
      <c r="X4" s="1353"/>
      <c r="Y4" s="3753" t="s">
        <v>1672</v>
      </c>
      <c r="Z4" s="3754"/>
      <c r="AA4" s="3748" t="s">
        <v>1668</v>
      </c>
      <c r="AB4" s="3748" t="s">
        <v>1669</v>
      </c>
      <c r="AC4" s="3748" t="s">
        <v>1670</v>
      </c>
    </row>
    <row r="5" spans="1:29" ht="15">
      <c r="A5" s="358"/>
      <c r="B5" s="359"/>
      <c r="C5" s="3755" t="s">
        <v>1673</v>
      </c>
      <c r="D5" s="3733"/>
      <c r="E5" s="3777" t="s">
        <v>1674</v>
      </c>
      <c r="F5" s="3744"/>
      <c r="G5" s="3755" t="s">
        <v>1675</v>
      </c>
      <c r="H5" s="3733"/>
      <c r="I5" s="3755" t="s">
        <v>1676</v>
      </c>
      <c r="J5" s="3733"/>
      <c r="K5" s="1888"/>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1888"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36" t="s">
        <v>1680</v>
      </c>
      <c r="Q7" s="3737"/>
      <c r="R7" s="699" t="s">
        <v>20</v>
      </c>
      <c r="S7" s="700">
        <f t="shared" ref="S7:S15" si="0">F7</f>
        <v>0</v>
      </c>
      <c r="T7" s="699" t="s">
        <v>20</v>
      </c>
      <c r="U7" s="700">
        <f t="shared" ref="U7:U15" si="1">H7</f>
        <v>0</v>
      </c>
      <c r="V7" s="699" t="s">
        <v>20</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36" t="s">
        <v>1683</v>
      </c>
      <c r="Q8" s="3735"/>
      <c r="R8" s="699" t="s">
        <v>20</v>
      </c>
      <c r="S8" s="700">
        <f t="shared" si="0"/>
        <v>100</v>
      </c>
      <c r="T8" s="699" t="s">
        <v>20</v>
      </c>
      <c r="U8" s="700">
        <f t="shared" si="1"/>
        <v>100</v>
      </c>
      <c r="V8" s="699" t="s">
        <v>20</v>
      </c>
      <c r="W8" s="700">
        <f t="shared" si="2"/>
        <v>100</v>
      </c>
      <c r="X8" s="701"/>
      <c r="Y8" s="3736" t="s">
        <v>1683</v>
      </c>
      <c r="Z8" s="373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94"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94"/>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4"/>
      <c r="Q11" s="1341" t="str">
        <f t="shared" si="6"/>
        <v>容积率</v>
      </c>
      <c r="R11" s="699" t="s">
        <v>18</v>
      </c>
      <c r="S11" s="700" t="e">
        <f t="shared" si="0"/>
        <v>#N/A</v>
      </c>
      <c r="T11" s="699" t="s">
        <v>18</v>
      </c>
      <c r="U11" s="700" t="e">
        <f t="shared" si="1"/>
        <v>#N/A</v>
      </c>
      <c r="V11" s="699" t="s">
        <v>18</v>
      </c>
      <c r="W11" s="700" t="e">
        <f t="shared" si="2"/>
        <v>#N/A</v>
      </c>
      <c r="X11" s="701"/>
      <c r="Y11" s="359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4"/>
      <c r="Q12" s="1341">
        <f t="shared" si="6"/>
        <v>111</v>
      </c>
      <c r="R12" s="699" t="s">
        <v>18</v>
      </c>
      <c r="S12" s="700">
        <f t="shared" si="0"/>
        <v>100</v>
      </c>
      <c r="T12" s="699" t="s">
        <v>18</v>
      </c>
      <c r="U12" s="700">
        <f t="shared" si="1"/>
        <v>100</v>
      </c>
      <c r="V12" s="699" t="s">
        <v>18</v>
      </c>
      <c r="W12" s="700">
        <f t="shared" si="2"/>
        <v>100</v>
      </c>
      <c r="X12" s="701"/>
      <c r="Y12" s="359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4"/>
      <c r="Q13" s="1341">
        <f t="shared" si="6"/>
        <v>111</v>
      </c>
      <c r="R13" s="699" t="s">
        <v>18</v>
      </c>
      <c r="S13" s="700">
        <f t="shared" si="0"/>
        <v>100</v>
      </c>
      <c r="T13" s="699" t="s">
        <v>18</v>
      </c>
      <c r="U13" s="700">
        <f t="shared" si="1"/>
        <v>100</v>
      </c>
      <c r="V13" s="699" t="s">
        <v>18</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4"/>
      <c r="Q14" s="1341">
        <f t="shared" si="6"/>
        <v>111</v>
      </c>
      <c r="R14" s="699" t="s">
        <v>18</v>
      </c>
      <c r="S14" s="700">
        <f t="shared" si="0"/>
        <v>100</v>
      </c>
      <c r="T14" s="699" t="s">
        <v>18</v>
      </c>
      <c r="U14" s="700">
        <f t="shared" si="1"/>
        <v>100</v>
      </c>
      <c r="V14" s="699" t="s">
        <v>18</v>
      </c>
      <c r="W14" s="700">
        <f t="shared" si="2"/>
        <v>100</v>
      </c>
      <c r="X14" s="701"/>
      <c r="Y14" s="359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0" t="s">
        <v>1691</v>
      </c>
      <c r="Q15" s="1350" t="str">
        <f t="shared" si="6"/>
        <v>居住社区成熟度</v>
      </c>
      <c r="R15" s="703" t="s">
        <v>18</v>
      </c>
      <c r="S15" s="704">
        <f t="shared" si="0"/>
        <v>100</v>
      </c>
      <c r="T15" s="703" t="s">
        <v>18</v>
      </c>
      <c r="U15" s="704">
        <f t="shared" si="1"/>
        <v>100</v>
      </c>
      <c r="V15" s="703" t="s">
        <v>18</v>
      </c>
      <c r="W15" s="704">
        <f t="shared" si="2"/>
        <v>100</v>
      </c>
      <c r="X15" s="1353"/>
      <c r="Y15" s="370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1"/>
      <c r="Q16" s="1350"/>
      <c r="R16" s="703"/>
      <c r="S16" s="704"/>
      <c r="T16" s="703"/>
      <c r="U16" s="704"/>
      <c r="V16" s="703"/>
      <c r="W16" s="704"/>
      <c r="X16" s="1353"/>
      <c r="Y16" s="3703"/>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1"/>
      <c r="Q17" s="1350" t="str">
        <f>B17</f>
        <v>交通便捷度</v>
      </c>
      <c r="R17" s="703" t="s">
        <v>18</v>
      </c>
      <c r="S17" s="704">
        <f>F17</f>
        <v>100</v>
      </c>
      <c r="T17" s="703" t="s">
        <v>18</v>
      </c>
      <c r="U17" s="704">
        <f>H17</f>
        <v>100</v>
      </c>
      <c r="V17" s="703" t="s">
        <v>18</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1"/>
      <c r="Q18" s="1350"/>
      <c r="R18" s="703"/>
      <c r="S18" s="704"/>
      <c r="T18" s="703"/>
      <c r="U18" s="704"/>
      <c r="V18" s="703"/>
      <c r="W18" s="704"/>
      <c r="X18" s="1353"/>
      <c r="Y18" s="3703"/>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1"/>
      <c r="Q19" s="1350" t="str">
        <f>B19</f>
        <v>公共配套设施</v>
      </c>
      <c r="R19" s="703" t="s">
        <v>18</v>
      </c>
      <c r="S19" s="704">
        <f>F19</f>
        <v>100</v>
      </c>
      <c r="T19" s="703" t="s">
        <v>18</v>
      </c>
      <c r="U19" s="704">
        <f>H19</f>
        <v>100</v>
      </c>
      <c r="V19" s="703" t="s">
        <v>18</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1"/>
      <c r="Q20" s="1350"/>
      <c r="R20" s="703"/>
      <c r="S20" s="704"/>
      <c r="T20" s="703"/>
      <c r="U20" s="704"/>
      <c r="V20" s="703"/>
      <c r="W20" s="704"/>
      <c r="X20" s="1353"/>
      <c r="Y20" s="3703"/>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1"/>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1"/>
      <c r="Q22" s="1350"/>
      <c r="R22" s="703"/>
      <c r="S22" s="704"/>
      <c r="T22" s="703"/>
      <c r="U22" s="704"/>
      <c r="V22" s="703"/>
      <c r="W22" s="704"/>
      <c r="X22" s="1353"/>
      <c r="Y22" s="3703"/>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1"/>
      <c r="Q23" s="1350" t="str">
        <f>B23</f>
        <v>自然及人文环境</v>
      </c>
      <c r="R23" s="703" t="s">
        <v>18</v>
      </c>
      <c r="S23" s="704">
        <f>F23</f>
        <v>100</v>
      </c>
      <c r="T23" s="703" t="s">
        <v>18</v>
      </c>
      <c r="U23" s="704">
        <f>H23</f>
        <v>100</v>
      </c>
      <c r="V23" s="703" t="s">
        <v>18</v>
      </c>
      <c r="W23" s="704">
        <f>J23</f>
        <v>100</v>
      </c>
      <c r="X23" s="1353"/>
      <c r="Y23" s="370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1"/>
      <c r="Q24" s="1350"/>
      <c r="R24" s="703"/>
      <c r="S24" s="704"/>
      <c r="T24" s="703"/>
      <c r="U24" s="704"/>
      <c r="V24" s="703"/>
      <c r="W24" s="704"/>
      <c r="X24" s="1353"/>
      <c r="Y24" s="370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1"/>
      <c r="Q26" s="1350" t="str">
        <f t="shared" si="11"/>
        <v>朝向</v>
      </c>
      <c r="R26" s="703" t="s">
        <v>18</v>
      </c>
      <c r="S26" s="704">
        <f t="shared" si="12"/>
        <v>100</v>
      </c>
      <c r="T26" s="703" t="s">
        <v>18</v>
      </c>
      <c r="U26" s="704">
        <f t="shared" si="13"/>
        <v>100</v>
      </c>
      <c r="V26" s="703" t="s">
        <v>18</v>
      </c>
      <c r="W26" s="704">
        <f t="shared" si="14"/>
        <v>100</v>
      </c>
      <c r="X26" s="1353"/>
      <c r="Y26" s="3703"/>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1"/>
      <c r="Q27" s="1341">
        <f t="shared" si="11"/>
        <v>111</v>
      </c>
      <c r="R27" s="699" t="s">
        <v>18</v>
      </c>
      <c r="S27" s="700">
        <f t="shared" si="12"/>
        <v>100</v>
      </c>
      <c r="T27" s="699" t="s">
        <v>18</v>
      </c>
      <c r="U27" s="700">
        <f t="shared" si="13"/>
        <v>100</v>
      </c>
      <c r="V27" s="699" t="s">
        <v>18</v>
      </c>
      <c r="W27" s="700">
        <f t="shared" si="14"/>
        <v>100</v>
      </c>
      <c r="X27" s="701"/>
      <c r="Y27" s="3703"/>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1"/>
      <c r="Q28" s="1350">
        <f t="shared" si="11"/>
        <v>111</v>
      </c>
      <c r="R28" s="703" t="s">
        <v>18</v>
      </c>
      <c r="S28" s="704">
        <f t="shared" si="12"/>
        <v>100</v>
      </c>
      <c r="T28" s="703" t="s">
        <v>18</v>
      </c>
      <c r="U28" s="704">
        <f t="shared" si="13"/>
        <v>100</v>
      </c>
      <c r="V28" s="703" t="s">
        <v>18</v>
      </c>
      <c r="W28" s="704">
        <f t="shared" si="14"/>
        <v>100</v>
      </c>
      <c r="X28" s="1353"/>
      <c r="Y28" s="3703"/>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1"/>
      <c r="Q29" s="1350">
        <f t="shared" si="11"/>
        <v>111</v>
      </c>
      <c r="R29" s="703" t="s">
        <v>18</v>
      </c>
      <c r="S29" s="704">
        <f t="shared" si="12"/>
        <v>100</v>
      </c>
      <c r="T29" s="703" t="s">
        <v>18</v>
      </c>
      <c r="U29" s="704">
        <f t="shared" si="13"/>
        <v>100</v>
      </c>
      <c r="V29" s="703" t="s">
        <v>18</v>
      </c>
      <c r="W29" s="704">
        <f t="shared" si="14"/>
        <v>100</v>
      </c>
      <c r="X29" s="1353"/>
      <c r="Y29" s="3703"/>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1"/>
      <c r="Q30" s="1350">
        <f t="shared" si="11"/>
        <v>111</v>
      </c>
      <c r="R30" s="703" t="s">
        <v>18</v>
      </c>
      <c r="S30" s="704">
        <f t="shared" si="12"/>
        <v>100</v>
      </c>
      <c r="T30" s="703" t="s">
        <v>18</v>
      </c>
      <c r="U30" s="704">
        <f t="shared" si="13"/>
        <v>100</v>
      </c>
      <c r="V30" s="703" t="s">
        <v>18</v>
      </c>
      <c r="W30" s="704">
        <f t="shared" si="14"/>
        <v>100</v>
      </c>
      <c r="X30" s="1353"/>
      <c r="Y30" s="3703"/>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1"/>
      <c r="Q31" s="1350">
        <f t="shared" si="11"/>
        <v>111</v>
      </c>
      <c r="R31" s="703" t="s">
        <v>18</v>
      </c>
      <c r="S31" s="704">
        <f t="shared" si="12"/>
        <v>100</v>
      </c>
      <c r="T31" s="703" t="s">
        <v>18</v>
      </c>
      <c r="U31" s="704">
        <f t="shared" si="13"/>
        <v>100</v>
      </c>
      <c r="V31" s="703" t="s">
        <v>18</v>
      </c>
      <c r="W31" s="704">
        <f t="shared" si="14"/>
        <v>100</v>
      </c>
      <c r="X31" s="1353"/>
      <c r="Y31" s="370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4" t="s">
        <v>1696</v>
      </c>
      <c r="Q32" s="1350" t="str">
        <f t="shared" si="11"/>
        <v>建筑类型</v>
      </c>
      <c r="R32" s="703" t="s">
        <v>18</v>
      </c>
      <c r="S32" s="704">
        <f t="shared" si="12"/>
        <v>100</v>
      </c>
      <c r="T32" s="703" t="s">
        <v>18</v>
      </c>
      <c r="U32" s="704">
        <f t="shared" si="13"/>
        <v>100</v>
      </c>
      <c r="V32" s="703" t="s">
        <v>18</v>
      </c>
      <c r="W32" s="704">
        <f t="shared" si="14"/>
        <v>100</v>
      </c>
      <c r="X32" s="1353"/>
      <c r="Y32" s="370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5"/>
      <c r="Q33" s="705" t="str">
        <f t="shared" si="11"/>
        <v>项目建筑规模</v>
      </c>
      <c r="R33" s="706" t="s">
        <v>18</v>
      </c>
      <c r="S33" s="707" t="e">
        <f t="shared" si="12"/>
        <v>#N/A</v>
      </c>
      <c r="T33" s="706" t="s">
        <v>18</v>
      </c>
      <c r="U33" s="707" t="e">
        <f t="shared" si="13"/>
        <v>#N/A</v>
      </c>
      <c r="V33" s="706" t="s">
        <v>18</v>
      </c>
      <c r="W33" s="707" t="e">
        <f t="shared" si="14"/>
        <v>#N/A</v>
      </c>
      <c r="X33" s="708"/>
      <c r="Y33" s="3707"/>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5"/>
      <c r="Q34" s="1350" t="str">
        <f t="shared" si="11"/>
        <v>建筑结构</v>
      </c>
      <c r="R34" s="703" t="s">
        <v>18</v>
      </c>
      <c r="S34" s="704">
        <f t="shared" si="12"/>
        <v>100</v>
      </c>
      <c r="T34" s="703" t="s">
        <v>18</v>
      </c>
      <c r="U34" s="704">
        <f t="shared" si="13"/>
        <v>100</v>
      </c>
      <c r="V34" s="703" t="s">
        <v>18</v>
      </c>
      <c r="W34" s="704">
        <f t="shared" si="14"/>
        <v>100</v>
      </c>
      <c r="X34" s="1353"/>
      <c r="Y34" s="370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5"/>
      <c r="Q35" s="1350" t="str">
        <f t="shared" si="11"/>
        <v>建筑品质</v>
      </c>
      <c r="R35" s="703" t="s">
        <v>18</v>
      </c>
      <c r="S35" s="704">
        <f t="shared" si="12"/>
        <v>100</v>
      </c>
      <c r="T35" s="703" t="s">
        <v>18</v>
      </c>
      <c r="U35" s="704">
        <f t="shared" si="13"/>
        <v>100</v>
      </c>
      <c r="V35" s="703" t="s">
        <v>18</v>
      </c>
      <c r="W35" s="704">
        <f t="shared" si="14"/>
        <v>100</v>
      </c>
      <c r="X35" s="1353"/>
      <c r="Y35" s="370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5"/>
      <c r="Q36" s="1350" t="str">
        <f t="shared" si="11"/>
        <v>公共部分装修</v>
      </c>
      <c r="R36" s="703" t="s">
        <v>18</v>
      </c>
      <c r="S36" s="704">
        <f t="shared" si="12"/>
        <v>100</v>
      </c>
      <c r="T36" s="703" t="s">
        <v>18</v>
      </c>
      <c r="U36" s="704">
        <f t="shared" si="13"/>
        <v>100</v>
      </c>
      <c r="V36" s="703" t="s">
        <v>18</v>
      </c>
      <c r="W36" s="704">
        <f t="shared" si="14"/>
        <v>100</v>
      </c>
      <c r="X36" s="1353"/>
      <c r="Y36" s="370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1" t="str">
        <f t="shared" si="11"/>
        <v>成新度</v>
      </c>
      <c r="R37" s="699" t="s">
        <v>18</v>
      </c>
      <c r="S37" s="700" t="e">
        <f t="shared" si="12"/>
        <v>#N/A</v>
      </c>
      <c r="T37" s="699" t="s">
        <v>18</v>
      </c>
      <c r="U37" s="700" t="e">
        <f t="shared" si="13"/>
        <v>#N/A</v>
      </c>
      <c r="V37" s="699" t="s">
        <v>18</v>
      </c>
      <c r="W37" s="700" t="e">
        <f t="shared" si="14"/>
        <v>#N/A</v>
      </c>
      <c r="X37" s="701"/>
      <c r="Y37" s="3707"/>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5" t="s">
        <v>1696</v>
      </c>
      <c r="Q38" s="1350" t="str">
        <f t="shared" si="11"/>
        <v>物业管理</v>
      </c>
      <c r="R38" s="703" t="s">
        <v>18</v>
      </c>
      <c r="S38" s="704">
        <f t="shared" si="12"/>
        <v>100</v>
      </c>
      <c r="T38" s="703" t="s">
        <v>18</v>
      </c>
      <c r="U38" s="704">
        <f t="shared" si="13"/>
        <v>100</v>
      </c>
      <c r="V38" s="703" t="s">
        <v>18</v>
      </c>
      <c r="W38" s="704">
        <f t="shared" si="14"/>
        <v>100</v>
      </c>
      <c r="X38" s="1353"/>
      <c r="Y38" s="370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5"/>
      <c r="Q39" s="1350" t="str">
        <f t="shared" si="11"/>
        <v>市政基础设施</v>
      </c>
      <c r="R39" s="703" t="s">
        <v>18</v>
      </c>
      <c r="S39" s="704">
        <f t="shared" si="12"/>
        <v>100</v>
      </c>
      <c r="T39" s="703" t="s">
        <v>18</v>
      </c>
      <c r="U39" s="704">
        <f t="shared" si="13"/>
        <v>100</v>
      </c>
      <c r="V39" s="703" t="s">
        <v>18</v>
      </c>
      <c r="W39" s="704">
        <f t="shared" si="14"/>
        <v>100</v>
      </c>
      <c r="X39" s="1353"/>
      <c r="Y39" s="370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5"/>
      <c r="Q40" s="1350" t="str">
        <f t="shared" si="11"/>
        <v>房型</v>
      </c>
      <c r="R40" s="703" t="s">
        <v>18</v>
      </c>
      <c r="S40" s="704">
        <f t="shared" si="12"/>
        <v>100</v>
      </c>
      <c r="T40" s="703" t="s">
        <v>18</v>
      </c>
      <c r="U40" s="704">
        <f t="shared" si="13"/>
        <v>100</v>
      </c>
      <c r="V40" s="703" t="s">
        <v>18</v>
      </c>
      <c r="W40" s="704">
        <f t="shared" si="14"/>
        <v>100</v>
      </c>
      <c r="X40" s="1353"/>
      <c r="Y40" s="370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5"/>
      <c r="Q41" s="705" t="str">
        <f t="shared" si="11"/>
        <v>单套/主力户型建筑面积</v>
      </c>
      <c r="R41" s="706" t="s">
        <v>18</v>
      </c>
      <c r="S41" s="707">
        <f t="shared" si="12"/>
        <v>100</v>
      </c>
      <c r="T41" s="706" t="s">
        <v>18</v>
      </c>
      <c r="U41" s="707">
        <f t="shared" si="13"/>
        <v>100</v>
      </c>
      <c r="V41" s="706" t="s">
        <v>18</v>
      </c>
      <c r="W41" s="707">
        <f t="shared" si="14"/>
        <v>100</v>
      </c>
      <c r="X41" s="708"/>
      <c r="Y41" s="3707"/>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5"/>
      <c r="Q42" s="1350" t="str">
        <f t="shared" si="11"/>
        <v>内部装修</v>
      </c>
      <c r="R42" s="703" t="s">
        <v>18</v>
      </c>
      <c r="S42" s="704">
        <f t="shared" si="12"/>
        <v>100</v>
      </c>
      <c r="T42" s="703" t="s">
        <v>18</v>
      </c>
      <c r="U42" s="704">
        <f t="shared" si="13"/>
        <v>100</v>
      </c>
      <c r="V42" s="703" t="s">
        <v>18</v>
      </c>
      <c r="W42" s="704">
        <f t="shared" si="14"/>
        <v>100</v>
      </c>
      <c r="X42" s="1353"/>
      <c r="Y42" s="370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5"/>
      <c r="Q43" s="1350" t="str">
        <f t="shared" si="11"/>
        <v>内部装修维护情况</v>
      </c>
      <c r="R43" s="703" t="s">
        <v>18</v>
      </c>
      <c r="S43" s="704">
        <f t="shared" si="12"/>
        <v>100</v>
      </c>
      <c r="T43" s="703" t="s">
        <v>18</v>
      </c>
      <c r="U43" s="704">
        <f t="shared" si="13"/>
        <v>100</v>
      </c>
      <c r="V43" s="703" t="s">
        <v>18</v>
      </c>
      <c r="W43" s="704">
        <f t="shared" si="14"/>
        <v>100</v>
      </c>
      <c r="X43" s="1353"/>
      <c r="Y43" s="3707"/>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5"/>
      <c r="Q44" s="1341">
        <f t="shared" si="11"/>
        <v>111</v>
      </c>
      <c r="R44" s="699" t="s">
        <v>18</v>
      </c>
      <c r="S44" s="700">
        <f t="shared" si="12"/>
        <v>100</v>
      </c>
      <c r="T44" s="699" t="s">
        <v>18</v>
      </c>
      <c r="U44" s="700">
        <f t="shared" si="13"/>
        <v>100</v>
      </c>
      <c r="V44" s="699" t="s">
        <v>18</v>
      </c>
      <c r="W44" s="700">
        <f t="shared" si="14"/>
        <v>100</v>
      </c>
      <c r="X44" s="701"/>
      <c r="Y44" s="3707"/>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5"/>
      <c r="Q45" s="1350">
        <f t="shared" si="11"/>
        <v>111</v>
      </c>
      <c r="R45" s="703" t="s">
        <v>18</v>
      </c>
      <c r="S45" s="704">
        <f t="shared" si="12"/>
        <v>100</v>
      </c>
      <c r="T45" s="703" t="s">
        <v>18</v>
      </c>
      <c r="U45" s="704">
        <f t="shared" si="13"/>
        <v>100</v>
      </c>
      <c r="V45" s="703" t="s">
        <v>18</v>
      </c>
      <c r="W45" s="704">
        <f t="shared" si="14"/>
        <v>100</v>
      </c>
      <c r="X45" s="1353"/>
      <c r="Y45" s="370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6"/>
      <c r="Q46" s="1350">
        <f t="shared" si="11"/>
        <v>111</v>
      </c>
      <c r="R46" s="703" t="s">
        <v>17</v>
      </c>
      <c r="S46" s="704">
        <f t="shared" si="12"/>
        <v>100</v>
      </c>
      <c r="T46" s="703" t="s">
        <v>17</v>
      </c>
      <c r="U46" s="704">
        <f t="shared" si="13"/>
        <v>100</v>
      </c>
      <c r="V46" s="703" t="s">
        <v>17</v>
      </c>
      <c r="W46" s="704">
        <f t="shared" si="14"/>
        <v>100</v>
      </c>
      <c r="X46" s="1353"/>
      <c r="Y46" s="3708"/>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5" t="str">
        <f>A47</f>
        <v>成交单价（元/平方米）</v>
      </c>
      <c r="Q47" s="3695"/>
      <c r="R47" s="3696">
        <f>E47</f>
        <v>0</v>
      </c>
      <c r="S47" s="3696"/>
      <c r="T47" s="3696">
        <f>G47</f>
        <v>0</v>
      </c>
      <c r="U47" s="3696"/>
      <c r="V47" s="3696">
        <f>I47</f>
        <v>0</v>
      </c>
      <c r="W47" s="3696"/>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2"/>
      <c r="M48" s="2723"/>
      <c r="N48" s="2723"/>
      <c r="O48" s="272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279.52999999999997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911"/>
      <c r="M4" s="912"/>
      <c r="N4" s="912"/>
      <c r="O4" s="912"/>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911"/>
      <c r="M5" s="912"/>
      <c r="N5" s="912"/>
      <c r="O5" s="912"/>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911"/>
      <c r="M6" s="912"/>
      <c r="N6" s="912"/>
      <c r="O6" s="912"/>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SUMIF(52:52,YEAR(E7)&amp;"-"&amp;MONTH(E7),53:53)</f>
        <v>0</v>
      </c>
      <c r="G7" s="366"/>
      <c r="H7" s="365">
        <f>SUMIF(52:52,YEAR(G7)&amp;"-"&amp;MONTH(G7),53:53)</f>
        <v>0</v>
      </c>
      <c r="I7" s="366"/>
      <c r="J7" s="365">
        <f>SUMIF(52:52,YEAR(I7)&amp;"-"&amp;MONTH(I7),53:53)</f>
        <v>0</v>
      </c>
      <c r="K7" s="560"/>
      <c r="L7" s="913"/>
      <c r="M7" s="914"/>
      <c r="N7" s="914"/>
      <c r="O7" s="9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6" t="s">
        <v>1683</v>
      </c>
      <c r="Q8" s="3735"/>
      <c r="R8" s="699" t="s">
        <v>14</v>
      </c>
      <c r="S8" s="700">
        <f t="shared" si="0"/>
        <v>100</v>
      </c>
      <c r="T8" s="699" t="s">
        <v>14</v>
      </c>
      <c r="U8" s="700">
        <f t="shared" si="1"/>
        <v>100</v>
      </c>
      <c r="V8" s="699" t="s">
        <v>14</v>
      </c>
      <c r="W8" s="700">
        <f t="shared" si="2"/>
        <v>100</v>
      </c>
      <c r="X8" s="701"/>
      <c r="Y8" s="3736" t="s">
        <v>1683</v>
      </c>
      <c r="Z8" s="373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5"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5"/>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5"/>
      <c r="Q11" s="1341" t="str">
        <f t="shared" si="6"/>
        <v>容积率</v>
      </c>
      <c r="R11" s="699" t="s">
        <v>14</v>
      </c>
      <c r="S11" s="700">
        <f t="shared" si="0"/>
        <v>100</v>
      </c>
      <c r="T11" s="699" t="s">
        <v>14</v>
      </c>
      <c r="U11" s="700">
        <f t="shared" si="1"/>
        <v>100</v>
      </c>
      <c r="V11" s="699" t="s">
        <v>14</v>
      </c>
      <c r="W11" s="700">
        <f t="shared" si="2"/>
        <v>100</v>
      </c>
      <c r="X11" s="701"/>
      <c r="Y11" s="359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5"/>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3"/>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3"/>
      <c r="Q18" s="1350"/>
      <c r="R18" s="703"/>
      <c r="S18" s="704"/>
      <c r="T18" s="703"/>
      <c r="U18" s="704"/>
      <c r="V18" s="703"/>
      <c r="W18" s="704"/>
      <c r="X18" s="1353"/>
      <c r="Y18" s="3703"/>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3"/>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3"/>
      <c r="Q20" s="1350"/>
      <c r="R20" s="703"/>
      <c r="S20" s="704"/>
      <c r="T20" s="703"/>
      <c r="U20" s="704"/>
      <c r="V20" s="703"/>
      <c r="W20" s="704"/>
      <c r="X20" s="1353"/>
      <c r="Y20" s="3703"/>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3"/>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3"/>
      <c r="Q22" s="1350"/>
      <c r="R22" s="703"/>
      <c r="S22" s="704"/>
      <c r="T22" s="703"/>
      <c r="U22" s="704"/>
      <c r="V22" s="703"/>
      <c r="W22" s="704"/>
      <c r="X22" s="1353"/>
      <c r="Y22" s="3703"/>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3"/>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3"/>
      <c r="Q24" s="1350"/>
      <c r="R24" s="703"/>
      <c r="S24" s="704"/>
      <c r="T24" s="703"/>
      <c r="U24" s="704"/>
      <c r="V24" s="703"/>
      <c r="W24" s="704"/>
      <c r="X24" s="1353"/>
      <c r="Y24" s="3703"/>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3"/>
      <c r="Q25" s="1350">
        <f>B25</f>
        <v>111</v>
      </c>
      <c r="R25" s="703" t="s">
        <v>14</v>
      </c>
      <c r="S25" s="704">
        <f>F25</f>
        <v>100</v>
      </c>
      <c r="T25" s="703" t="s">
        <v>14</v>
      </c>
      <c r="U25" s="704">
        <f>H25</f>
        <v>100</v>
      </c>
      <c r="V25" s="703" t="s">
        <v>14</v>
      </c>
      <c r="W25" s="704">
        <f>J25</f>
        <v>100</v>
      </c>
      <c r="X25" s="1353"/>
      <c r="Y25" s="3703"/>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3"/>
      <c r="Q26" s="1350">
        <f t="shared" ref="Q26:Q40" si="11">B26</f>
        <v>111</v>
      </c>
      <c r="R26" s="703" t="s">
        <v>14</v>
      </c>
      <c r="S26" s="704">
        <f>F26</f>
        <v>100</v>
      </c>
      <c r="T26" s="703" t="s">
        <v>14</v>
      </c>
      <c r="U26" s="704">
        <f>H26</f>
        <v>100</v>
      </c>
      <c r="V26" s="703" t="s">
        <v>14</v>
      </c>
      <c r="W26" s="704">
        <f>J26</f>
        <v>100</v>
      </c>
      <c r="X26" s="1353"/>
      <c r="Y26" s="3703"/>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3"/>
      <c r="Q27" s="1341">
        <f t="shared" si="11"/>
        <v>111</v>
      </c>
      <c r="R27" s="699" t="s">
        <v>14</v>
      </c>
      <c r="S27" s="700">
        <f>F27</f>
        <v>100</v>
      </c>
      <c r="T27" s="699" t="s">
        <v>14</v>
      </c>
      <c r="U27" s="700">
        <f>H27</f>
        <v>100</v>
      </c>
      <c r="V27" s="699" t="s">
        <v>14</v>
      </c>
      <c r="W27" s="700">
        <f>J27</f>
        <v>100</v>
      </c>
      <c r="X27" s="701"/>
      <c r="Y27" s="3703"/>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3"/>
      <c r="Q28" s="1350">
        <f t="shared" si="11"/>
        <v>111</v>
      </c>
      <c r="R28" s="703" t="s">
        <v>14</v>
      </c>
      <c r="S28" s="704">
        <f t="shared" ref="S28:S40" si="12">F28</f>
        <v>100</v>
      </c>
      <c r="T28" s="703" t="s">
        <v>14</v>
      </c>
      <c r="U28" s="704">
        <f t="shared" ref="U28:U40" si="13">H28</f>
        <v>100</v>
      </c>
      <c r="V28" s="703" t="s">
        <v>14</v>
      </c>
      <c r="W28" s="704">
        <f t="shared" ref="W28:W40" si="14">J28</f>
        <v>100</v>
      </c>
      <c r="X28" s="1353"/>
      <c r="Y28" s="3703"/>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8" t="s">
        <v>1696</v>
      </c>
      <c r="Q29" s="1350" t="str">
        <f t="shared" si="11"/>
        <v>建筑类型</v>
      </c>
      <c r="R29" s="703" t="s">
        <v>14</v>
      </c>
      <c r="S29" s="704">
        <f t="shared" si="12"/>
        <v>100</v>
      </c>
      <c r="T29" s="703" t="s">
        <v>14</v>
      </c>
      <c r="U29" s="704">
        <f t="shared" si="13"/>
        <v>100</v>
      </c>
      <c r="V29" s="703" t="s">
        <v>14</v>
      </c>
      <c r="W29" s="704">
        <f t="shared" si="14"/>
        <v>100</v>
      </c>
      <c r="X29" s="1353"/>
      <c r="Y29" s="370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7"/>
      <c r="Q30" s="705" t="str">
        <f t="shared" si="11"/>
        <v>项目建筑规模</v>
      </c>
      <c r="R30" s="706" t="s">
        <v>14</v>
      </c>
      <c r="S30" s="707" t="e">
        <f t="shared" si="12"/>
        <v>#N/A</v>
      </c>
      <c r="T30" s="706" t="s">
        <v>14</v>
      </c>
      <c r="U30" s="707" t="e">
        <f t="shared" si="13"/>
        <v>#N/A</v>
      </c>
      <c r="V30" s="706" t="s">
        <v>14</v>
      </c>
      <c r="W30" s="707" t="e">
        <f t="shared" si="14"/>
        <v>#N/A</v>
      </c>
      <c r="X30" s="708"/>
      <c r="Y30" s="3707"/>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7"/>
      <c r="Q31" s="1350" t="str">
        <f t="shared" si="11"/>
        <v>建筑结构</v>
      </c>
      <c r="R31" s="703" t="s">
        <v>14</v>
      </c>
      <c r="S31" s="704">
        <f t="shared" si="12"/>
        <v>100</v>
      </c>
      <c r="T31" s="703" t="s">
        <v>14</v>
      </c>
      <c r="U31" s="704">
        <f t="shared" si="13"/>
        <v>100</v>
      </c>
      <c r="V31" s="703" t="s">
        <v>14</v>
      </c>
      <c r="W31" s="704">
        <f t="shared" si="14"/>
        <v>100</v>
      </c>
      <c r="X31" s="1353"/>
      <c r="Y31" s="370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7"/>
      <c r="Q32" s="1350" t="str">
        <f t="shared" si="11"/>
        <v>公共部分装修</v>
      </c>
      <c r="R32" s="703" t="s">
        <v>14</v>
      </c>
      <c r="S32" s="704">
        <f t="shared" si="12"/>
        <v>100</v>
      </c>
      <c r="T32" s="703" t="s">
        <v>14</v>
      </c>
      <c r="U32" s="704">
        <f t="shared" si="13"/>
        <v>100</v>
      </c>
      <c r="V32" s="703" t="s">
        <v>14</v>
      </c>
      <c r="W32" s="704">
        <f t="shared" si="14"/>
        <v>100</v>
      </c>
      <c r="X32" s="1353"/>
      <c r="Y32" s="370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7"/>
      <c r="Q33" s="1350" t="str">
        <f t="shared" si="11"/>
        <v>成新度</v>
      </c>
      <c r="R33" s="703" t="s">
        <v>14</v>
      </c>
      <c r="S33" s="704" t="e">
        <f t="shared" si="12"/>
        <v>#N/A</v>
      </c>
      <c r="T33" s="703" t="s">
        <v>14</v>
      </c>
      <c r="U33" s="704" t="e">
        <f t="shared" si="13"/>
        <v>#N/A</v>
      </c>
      <c r="V33" s="703" t="s">
        <v>14</v>
      </c>
      <c r="W33" s="704" t="e">
        <f t="shared" si="14"/>
        <v>#N/A</v>
      </c>
      <c r="X33" s="1353"/>
      <c r="Y33" s="370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7"/>
      <c r="Q34" s="1341" t="str">
        <f t="shared" si="11"/>
        <v>物业管理</v>
      </c>
      <c r="R34" s="699" t="s">
        <v>14</v>
      </c>
      <c r="S34" s="700">
        <f t="shared" si="12"/>
        <v>100</v>
      </c>
      <c r="T34" s="699" t="s">
        <v>14</v>
      </c>
      <c r="U34" s="700">
        <f t="shared" si="13"/>
        <v>100</v>
      </c>
      <c r="V34" s="699" t="s">
        <v>14</v>
      </c>
      <c r="W34" s="700">
        <f t="shared" si="14"/>
        <v>100</v>
      </c>
      <c r="X34" s="701"/>
      <c r="Y34" s="370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7" t="s">
        <v>1696</v>
      </c>
      <c r="Q35" s="1350" t="str">
        <f t="shared" si="11"/>
        <v>市政基础设施</v>
      </c>
      <c r="R35" s="703" t="s">
        <v>14</v>
      </c>
      <c r="S35" s="704">
        <f t="shared" si="12"/>
        <v>100</v>
      </c>
      <c r="T35" s="703" t="s">
        <v>14</v>
      </c>
      <c r="U35" s="704">
        <f t="shared" si="13"/>
        <v>100</v>
      </c>
      <c r="V35" s="703" t="s">
        <v>14</v>
      </c>
      <c r="W35" s="704">
        <f t="shared" si="14"/>
        <v>100</v>
      </c>
      <c r="X35" s="1353"/>
      <c r="Y35" s="370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7"/>
      <c r="Q36" s="1350" t="str">
        <f t="shared" si="11"/>
        <v>内部装修</v>
      </c>
      <c r="R36" s="703" t="s">
        <v>14</v>
      </c>
      <c r="S36" s="704">
        <f t="shared" si="12"/>
        <v>100</v>
      </c>
      <c r="T36" s="703" t="s">
        <v>14</v>
      </c>
      <c r="U36" s="704">
        <f t="shared" si="13"/>
        <v>100</v>
      </c>
      <c r="V36" s="703" t="s">
        <v>14</v>
      </c>
      <c r="W36" s="704">
        <f t="shared" si="14"/>
        <v>100</v>
      </c>
      <c r="X36" s="1353"/>
      <c r="Y36" s="370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7"/>
      <c r="Q37" s="1350" t="str">
        <f t="shared" si="11"/>
        <v>内部装修状况</v>
      </c>
      <c r="R37" s="703" t="s">
        <v>14</v>
      </c>
      <c r="S37" s="704">
        <f t="shared" si="12"/>
        <v>100</v>
      </c>
      <c r="T37" s="703" t="s">
        <v>14</v>
      </c>
      <c r="U37" s="704">
        <f t="shared" si="13"/>
        <v>100</v>
      </c>
      <c r="V37" s="703" t="s">
        <v>14</v>
      </c>
      <c r="W37" s="704">
        <f t="shared" si="14"/>
        <v>100</v>
      </c>
      <c r="X37" s="1353"/>
      <c r="Y37" s="3707"/>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7"/>
      <c r="Q38" s="705">
        <f t="shared" si="11"/>
        <v>111</v>
      </c>
      <c r="R38" s="706" t="s">
        <v>14</v>
      </c>
      <c r="S38" s="707">
        <f t="shared" si="12"/>
        <v>100</v>
      </c>
      <c r="T38" s="706" t="s">
        <v>14</v>
      </c>
      <c r="U38" s="707">
        <f t="shared" si="13"/>
        <v>100</v>
      </c>
      <c r="V38" s="706" t="s">
        <v>14</v>
      </c>
      <c r="W38" s="707">
        <f t="shared" si="14"/>
        <v>100</v>
      </c>
      <c r="X38" s="708"/>
      <c r="Y38" s="3707"/>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7"/>
      <c r="Q39" s="1350">
        <f t="shared" si="11"/>
        <v>111</v>
      </c>
      <c r="R39" s="703" t="s">
        <v>14</v>
      </c>
      <c r="S39" s="704">
        <f t="shared" si="12"/>
        <v>100</v>
      </c>
      <c r="T39" s="703" t="s">
        <v>14</v>
      </c>
      <c r="U39" s="704">
        <f t="shared" si="13"/>
        <v>100</v>
      </c>
      <c r="V39" s="703" t="s">
        <v>14</v>
      </c>
      <c r="W39" s="704">
        <f t="shared" si="14"/>
        <v>100</v>
      </c>
      <c r="X39" s="1353"/>
      <c r="Y39" s="370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8"/>
      <c r="Q40" s="1350">
        <f t="shared" si="11"/>
        <v>111</v>
      </c>
      <c r="R40" s="703" t="s">
        <v>14</v>
      </c>
      <c r="S40" s="704">
        <f t="shared" si="12"/>
        <v>100</v>
      </c>
      <c r="T40" s="703" t="s">
        <v>14</v>
      </c>
      <c r="U40" s="704">
        <f t="shared" si="13"/>
        <v>100</v>
      </c>
      <c r="V40" s="703" t="s">
        <v>14</v>
      </c>
      <c r="W40" s="704">
        <f t="shared" si="14"/>
        <v>100</v>
      </c>
      <c r="X40" s="1353"/>
      <c r="Y40" s="3708"/>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5" t="str">
        <f>A41</f>
        <v>成交单价（元/平方米）</v>
      </c>
      <c r="Q41" s="3695"/>
      <c r="R41" s="3696">
        <f>E41</f>
        <v>0</v>
      </c>
      <c r="S41" s="3696"/>
      <c r="T41" s="3696">
        <f>G41</f>
        <v>0</v>
      </c>
      <c r="U41" s="3696"/>
      <c r="V41" s="3696">
        <f>I41</f>
        <v>0</v>
      </c>
      <c r="W41" s="3696"/>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6" t="s">
        <v>1683</v>
      </c>
      <c r="Q8" s="3735"/>
      <c r="R8" s="699" t="s">
        <v>14</v>
      </c>
      <c r="S8" s="700">
        <f t="shared" si="0"/>
        <v>100</v>
      </c>
      <c r="T8" s="699" t="s">
        <v>14</v>
      </c>
      <c r="U8" s="700">
        <f t="shared" si="1"/>
        <v>100</v>
      </c>
      <c r="V8" s="699" t="s">
        <v>14</v>
      </c>
      <c r="W8" s="700">
        <f t="shared" si="2"/>
        <v>100</v>
      </c>
      <c r="X8" s="701"/>
      <c r="Y8" s="3736" t="s">
        <v>1683</v>
      </c>
      <c r="Z8" s="3735"/>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5" t="s">
        <v>1686</v>
      </c>
      <c r="Q9" s="1341" t="str">
        <f t="shared" ref="Q9:Q14" si="6">B9</f>
        <v>用途</v>
      </c>
      <c r="R9" s="699" t="s">
        <v>14</v>
      </c>
      <c r="S9" s="700">
        <f t="shared" si="0"/>
        <v>100</v>
      </c>
      <c r="T9" s="699" t="s">
        <v>14</v>
      </c>
      <c r="U9" s="700">
        <f t="shared" si="1"/>
        <v>100</v>
      </c>
      <c r="V9" s="699" t="s">
        <v>14</v>
      </c>
      <c r="W9" s="700">
        <f t="shared" si="2"/>
        <v>100</v>
      </c>
      <c r="X9" s="701"/>
      <c r="Y9" s="3593" t="s">
        <v>1687</v>
      </c>
      <c r="Z9" s="52" t="str">
        <f t="shared" ref="Z9:Z14" si="7">Q9</f>
        <v>用途</v>
      </c>
      <c r="AA9" s="702">
        <f t="shared" si="3"/>
        <v>1</v>
      </c>
      <c r="AB9" s="702">
        <f t="shared" si="4"/>
        <v>1</v>
      </c>
      <c r="AC9" s="702">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5"/>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5"/>
      <c r="Q11" s="1341">
        <f t="shared" si="6"/>
        <v>111</v>
      </c>
      <c r="R11" s="699" t="s">
        <v>14</v>
      </c>
      <c r="S11" s="700">
        <f t="shared" si="0"/>
        <v>100</v>
      </c>
      <c r="T11" s="699" t="s">
        <v>14</v>
      </c>
      <c r="U11" s="700">
        <f t="shared" si="1"/>
        <v>100</v>
      </c>
      <c r="V11" s="699" t="s">
        <v>14</v>
      </c>
      <c r="W11" s="700">
        <f t="shared" si="2"/>
        <v>100</v>
      </c>
      <c r="X11" s="701"/>
      <c r="Y11" s="3593"/>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703"/>
      <c r="Q15" s="1350"/>
      <c r="R15" s="703"/>
      <c r="S15" s="704"/>
      <c r="T15" s="703"/>
      <c r="U15" s="704"/>
      <c r="V15" s="703"/>
      <c r="W15" s="704"/>
      <c r="X15" s="1353"/>
      <c r="Y15" s="3703"/>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703"/>
      <c r="Q17" s="1350"/>
      <c r="R17" s="703"/>
      <c r="S17" s="704"/>
      <c r="T17" s="703"/>
      <c r="U17" s="704"/>
      <c r="V17" s="703"/>
      <c r="W17" s="704"/>
      <c r="X17" s="1353"/>
      <c r="Y17" s="3703"/>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703"/>
      <c r="Q19" s="1350"/>
      <c r="R19" s="703"/>
      <c r="S19" s="704"/>
      <c r="T19" s="703"/>
      <c r="U19" s="704"/>
      <c r="V19" s="703"/>
      <c r="W19" s="704"/>
      <c r="X19" s="1353"/>
      <c r="Y19" s="3703"/>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703"/>
      <c r="Q21" s="1350"/>
      <c r="R21" s="703"/>
      <c r="S21" s="704"/>
      <c r="T21" s="703"/>
      <c r="U21" s="704"/>
      <c r="V21" s="703"/>
      <c r="W21" s="704"/>
      <c r="X21" s="1353"/>
      <c r="Y21" s="3703"/>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0">
        <f t="shared" ref="Q24:Q36"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7"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07"/>
      <c r="Q27" s="705" t="str">
        <f t="shared" si="11"/>
        <v>项目停车位配比</v>
      </c>
      <c r="R27" s="706" t="s">
        <v>14</v>
      </c>
      <c r="S27" s="707">
        <f t="shared" si="12"/>
        <v>100</v>
      </c>
      <c r="T27" s="706" t="s">
        <v>14</v>
      </c>
      <c r="U27" s="707">
        <f t="shared" si="13"/>
        <v>100</v>
      </c>
      <c r="V27" s="706" t="s">
        <v>14</v>
      </c>
      <c r="W27" s="707">
        <f t="shared" si="14"/>
        <v>100</v>
      </c>
      <c r="X27" s="708"/>
      <c r="Y27" s="3707"/>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0" t="str">
        <f t="shared" si="11"/>
        <v>公共部分装修</v>
      </c>
      <c r="R28" s="703" t="s">
        <v>14</v>
      </c>
      <c r="S28" s="704">
        <f t="shared" si="12"/>
        <v>100</v>
      </c>
      <c r="T28" s="703" t="s">
        <v>14</v>
      </c>
      <c r="U28" s="704">
        <f t="shared" si="13"/>
        <v>100</v>
      </c>
      <c r="V28" s="703" t="s">
        <v>14</v>
      </c>
      <c r="W28" s="704">
        <f t="shared" si="14"/>
        <v>100</v>
      </c>
      <c r="X28" s="1353"/>
      <c r="Y28" s="3707"/>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0" t="str">
        <f t="shared" si="11"/>
        <v>成新率</v>
      </c>
      <c r="R29" s="703" t="s">
        <v>14</v>
      </c>
      <c r="S29" s="704" t="e">
        <f t="shared" si="12"/>
        <v>#N/A</v>
      </c>
      <c r="T29" s="703" t="s">
        <v>14</v>
      </c>
      <c r="U29" s="704" t="e">
        <f t="shared" si="13"/>
        <v>#N/A</v>
      </c>
      <c r="V29" s="703" t="s">
        <v>14</v>
      </c>
      <c r="W29" s="704" t="e">
        <f t="shared" si="14"/>
        <v>#N/A</v>
      </c>
      <c r="X29" s="1353"/>
      <c r="Y29" s="3707"/>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07"/>
      <c r="Q30" s="1350" t="str">
        <f t="shared" si="11"/>
        <v>物业等级</v>
      </c>
      <c r="R30" s="703" t="s">
        <v>14</v>
      </c>
      <c r="S30" s="704">
        <f t="shared" si="12"/>
        <v>100</v>
      </c>
      <c r="T30" s="703" t="s">
        <v>14</v>
      </c>
      <c r="U30" s="704">
        <f t="shared" si="13"/>
        <v>100</v>
      </c>
      <c r="V30" s="703" t="s">
        <v>14</v>
      </c>
      <c r="W30" s="704">
        <f t="shared" si="14"/>
        <v>100</v>
      </c>
      <c r="X30" s="1353"/>
      <c r="Y30" s="3707"/>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1" t="str">
        <f t="shared" si="11"/>
        <v>停车位面积</v>
      </c>
      <c r="R31" s="699" t="s">
        <v>14</v>
      </c>
      <c r="S31" s="700" t="e">
        <f t="shared" si="12"/>
        <v>#N/A</v>
      </c>
      <c r="T31" s="699" t="s">
        <v>14</v>
      </c>
      <c r="U31" s="700" t="e">
        <f t="shared" si="13"/>
        <v>#N/A</v>
      </c>
      <c r="V31" s="699" t="s">
        <v>14</v>
      </c>
      <c r="W31" s="700" t="e">
        <f t="shared" si="14"/>
        <v>#N/A</v>
      </c>
      <c r="X31" s="701"/>
      <c r="Y31" s="3707"/>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1696</v>
      </c>
      <c r="Q32" s="1350" t="str">
        <f t="shared" si="11"/>
        <v>车位类型</v>
      </c>
      <c r="R32" s="703" t="s">
        <v>14</v>
      </c>
      <c r="S32" s="704">
        <f t="shared" si="12"/>
        <v>100</v>
      </c>
      <c r="T32" s="703" t="s">
        <v>14</v>
      </c>
      <c r="U32" s="704">
        <f t="shared" si="13"/>
        <v>100</v>
      </c>
      <c r="V32" s="703" t="s">
        <v>14</v>
      </c>
      <c r="W32" s="704">
        <f t="shared" si="14"/>
        <v>100</v>
      </c>
      <c r="X32" s="1353"/>
      <c r="Y32" s="3707"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0" t="str">
        <f t="shared" si="11"/>
        <v>是否直接入户</v>
      </c>
      <c r="R33" s="703" t="s">
        <v>14</v>
      </c>
      <c r="S33" s="704">
        <f t="shared" si="12"/>
        <v>100</v>
      </c>
      <c r="T33" s="703" t="s">
        <v>14</v>
      </c>
      <c r="U33" s="704">
        <f t="shared" si="13"/>
        <v>100</v>
      </c>
      <c r="V33" s="703" t="s">
        <v>14</v>
      </c>
      <c r="W33" s="704">
        <f t="shared" si="14"/>
        <v>100</v>
      </c>
      <c r="X33" s="1353"/>
      <c r="Y33" s="3707"/>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5">
        <f t="shared" si="11"/>
        <v>111</v>
      </c>
      <c r="R35" s="706" t="s">
        <v>14</v>
      </c>
      <c r="S35" s="707">
        <f t="shared" si="12"/>
        <v>100</v>
      </c>
      <c r="T35" s="706" t="s">
        <v>14</v>
      </c>
      <c r="U35" s="707">
        <f t="shared" si="13"/>
        <v>100</v>
      </c>
      <c r="V35" s="706" t="s">
        <v>14</v>
      </c>
      <c r="W35" s="707">
        <f t="shared" si="14"/>
        <v>100</v>
      </c>
      <c r="X35" s="708"/>
      <c r="Y35" s="3707"/>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0">
        <f t="shared" si="11"/>
        <v>111</v>
      </c>
      <c r="R36" s="703" t="s">
        <v>14</v>
      </c>
      <c r="S36" s="704">
        <f t="shared" si="12"/>
        <v>100</v>
      </c>
      <c r="T36" s="703" t="s">
        <v>14</v>
      </c>
      <c r="U36" s="704">
        <f t="shared" si="13"/>
        <v>100</v>
      </c>
      <c r="V36" s="703" t="s">
        <v>14</v>
      </c>
      <c r="W36" s="704">
        <f t="shared" si="14"/>
        <v>100</v>
      </c>
      <c r="X36" s="1353"/>
      <c r="Y36" s="3707"/>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2"/>
      <c r="M37" s="2723"/>
      <c r="N37" s="2714"/>
      <c r="O37" s="2723"/>
      <c r="P37" s="3695" t="str">
        <f>A37</f>
        <v>成交单价</v>
      </c>
      <c r="Q37" s="3695"/>
      <c r="R37" s="3696">
        <f>E37</f>
        <v>0</v>
      </c>
      <c r="S37" s="3696"/>
      <c r="T37" s="3696">
        <f>G37</f>
        <v>0</v>
      </c>
      <c r="U37" s="3696"/>
      <c r="V37" s="3696">
        <f>I37</f>
        <v>0</v>
      </c>
      <c r="W37" s="3696"/>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2"/>
      <c r="M38" s="2723"/>
      <c r="N38" s="2723"/>
      <c r="O38" s="2723"/>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2"/>
      <c r="M39" s="2723"/>
      <c r="N39" s="2723"/>
      <c r="O39" s="2723"/>
      <c r="P39" s="3745" t="str">
        <f>A39</f>
        <v>估价对象XX用房的比较价值（楼面单价，元/平方米）</v>
      </c>
      <c r="Q39" s="3746"/>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6" t="s">
        <v>1683</v>
      </c>
      <c r="Q8" s="3735"/>
      <c r="R8" s="699" t="s">
        <v>14</v>
      </c>
      <c r="S8" s="700">
        <f t="shared" si="0"/>
        <v>100</v>
      </c>
      <c r="T8" s="699" t="s">
        <v>14</v>
      </c>
      <c r="U8" s="700">
        <f t="shared" si="1"/>
        <v>100</v>
      </c>
      <c r="V8" s="699" t="s">
        <v>14</v>
      </c>
      <c r="W8" s="700">
        <f t="shared" si="2"/>
        <v>100</v>
      </c>
      <c r="X8" s="701"/>
      <c r="Y8" s="3736" t="s">
        <v>1683</v>
      </c>
      <c r="Z8" s="373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5" t="s">
        <v>1686</v>
      </c>
      <c r="Q9" s="1341" t="str">
        <f t="shared" ref="Q9:Q14" si="6">B9</f>
        <v>用途</v>
      </c>
      <c r="R9" s="699" t="s">
        <v>14</v>
      </c>
      <c r="S9" s="700">
        <f t="shared" si="0"/>
        <v>100</v>
      </c>
      <c r="T9" s="699" t="s">
        <v>14</v>
      </c>
      <c r="U9" s="700">
        <f t="shared" si="1"/>
        <v>100</v>
      </c>
      <c r="V9" s="699" t="s">
        <v>14</v>
      </c>
      <c r="W9" s="700">
        <f t="shared" si="2"/>
        <v>100</v>
      </c>
      <c r="X9" s="701"/>
      <c r="Y9" s="359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5"/>
      <c r="Q10" s="1341" t="str">
        <f t="shared" si="6"/>
        <v>土地使用年限（年）</v>
      </c>
      <c r="R10" s="699" t="s">
        <v>14</v>
      </c>
      <c r="S10" s="700">
        <f t="shared" si="0"/>
        <v>100</v>
      </c>
      <c r="T10" s="699" t="s">
        <v>14</v>
      </c>
      <c r="U10" s="700">
        <f t="shared" si="1"/>
        <v>100</v>
      </c>
      <c r="V10" s="699" t="s">
        <v>14</v>
      </c>
      <c r="W10" s="700">
        <f t="shared" si="2"/>
        <v>100</v>
      </c>
      <c r="X10" s="701"/>
      <c r="Y10" s="359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5"/>
      <c r="Q11" s="1341">
        <f t="shared" si="6"/>
        <v>111</v>
      </c>
      <c r="R11" s="699" t="s">
        <v>14</v>
      </c>
      <c r="S11" s="700">
        <f t="shared" si="0"/>
        <v>100</v>
      </c>
      <c r="T11" s="699" t="s">
        <v>14</v>
      </c>
      <c r="U11" s="700">
        <f t="shared" si="1"/>
        <v>100</v>
      </c>
      <c r="V11" s="699" t="s">
        <v>14</v>
      </c>
      <c r="W11" s="700">
        <f t="shared" si="2"/>
        <v>100</v>
      </c>
      <c r="X11" s="701"/>
      <c r="Y11" s="359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3"/>
      <c r="Q15" s="1350"/>
      <c r="R15" s="703"/>
      <c r="S15" s="704"/>
      <c r="T15" s="703"/>
      <c r="U15" s="704"/>
      <c r="V15" s="703"/>
      <c r="W15" s="704"/>
      <c r="X15" s="1353"/>
      <c r="Y15" s="3703"/>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3"/>
      <c r="Q17" s="1350"/>
      <c r="R17" s="703"/>
      <c r="S17" s="704"/>
      <c r="T17" s="703"/>
      <c r="U17" s="704"/>
      <c r="V17" s="703"/>
      <c r="W17" s="704"/>
      <c r="X17" s="1353"/>
      <c r="Y17" s="3703"/>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3"/>
      <c r="Q19" s="1350"/>
      <c r="R19" s="703"/>
      <c r="S19" s="704"/>
      <c r="T19" s="703"/>
      <c r="U19" s="704"/>
      <c r="V19" s="703"/>
      <c r="W19" s="704"/>
      <c r="X19" s="1353"/>
      <c r="Y19" s="3703"/>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3"/>
      <c r="Q21" s="1350"/>
      <c r="R21" s="703"/>
      <c r="S21" s="704"/>
      <c r="T21" s="703"/>
      <c r="U21" s="704"/>
      <c r="V21" s="703"/>
      <c r="W21" s="704"/>
      <c r="X21" s="1353"/>
      <c r="Y21" s="370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0">
        <f t="shared" ref="Q24:Q34"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7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5" t="str">
        <f t="shared" si="11"/>
        <v>成新率</v>
      </c>
      <c r="R27" s="706" t="s">
        <v>14</v>
      </c>
      <c r="S27" s="707" t="e">
        <f t="shared" si="12"/>
        <v>#N/A</v>
      </c>
      <c r="T27" s="706" t="s">
        <v>14</v>
      </c>
      <c r="U27" s="707" t="e">
        <f t="shared" si="13"/>
        <v>#N/A</v>
      </c>
      <c r="V27" s="706" t="s">
        <v>14</v>
      </c>
      <c r="W27" s="707" t="e">
        <f t="shared" si="14"/>
        <v>#N/A</v>
      </c>
      <c r="X27" s="708"/>
      <c r="Y27" s="3707"/>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0" t="str">
        <f t="shared" si="11"/>
        <v>物业等级</v>
      </c>
      <c r="R28" s="703" t="s">
        <v>14</v>
      </c>
      <c r="S28" s="704">
        <f t="shared" si="12"/>
        <v>100</v>
      </c>
      <c r="T28" s="703" t="s">
        <v>14</v>
      </c>
      <c r="U28" s="704">
        <f t="shared" si="13"/>
        <v>100</v>
      </c>
      <c r="V28" s="703" t="s">
        <v>14</v>
      </c>
      <c r="W28" s="704">
        <f t="shared" si="14"/>
        <v>100</v>
      </c>
      <c r="X28" s="1353"/>
      <c r="Y28" s="3707"/>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07"/>
      <c r="Q29" s="1350" t="str">
        <f t="shared" si="11"/>
        <v>有无电梯</v>
      </c>
      <c r="R29" s="703" t="s">
        <v>14</v>
      </c>
      <c r="S29" s="704">
        <f t="shared" si="12"/>
        <v>100</v>
      </c>
      <c r="T29" s="703" t="s">
        <v>14</v>
      </c>
      <c r="U29" s="704">
        <f t="shared" si="13"/>
        <v>100</v>
      </c>
      <c r="V29" s="703" t="s">
        <v>14</v>
      </c>
      <c r="W29" s="704">
        <f t="shared" si="14"/>
        <v>100</v>
      </c>
      <c r="X29" s="1353"/>
      <c r="Y29" s="370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0" t="str">
        <f t="shared" si="11"/>
        <v>建筑面积</v>
      </c>
      <c r="R30" s="703" t="s">
        <v>14</v>
      </c>
      <c r="S30" s="704" t="e">
        <f t="shared" si="12"/>
        <v>#N/A</v>
      </c>
      <c r="T30" s="703" t="s">
        <v>14</v>
      </c>
      <c r="U30" s="704" t="e">
        <f t="shared" si="13"/>
        <v>#N/A</v>
      </c>
      <c r="V30" s="703" t="s">
        <v>14</v>
      </c>
      <c r="W30" s="704" t="e">
        <f t="shared" si="14"/>
        <v>#N/A</v>
      </c>
      <c r="X30" s="1353"/>
      <c r="Y30" s="3707"/>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07"/>
      <c r="Q31" s="1341" t="str">
        <f t="shared" si="11"/>
        <v>是否封闭</v>
      </c>
      <c r="R31" s="699" t="s">
        <v>14</v>
      </c>
      <c r="S31" s="700">
        <f t="shared" si="12"/>
        <v>100</v>
      </c>
      <c r="T31" s="699" t="s">
        <v>14</v>
      </c>
      <c r="U31" s="700">
        <f t="shared" si="13"/>
        <v>100</v>
      </c>
      <c r="V31" s="699" t="s">
        <v>14</v>
      </c>
      <c r="W31" s="700">
        <f t="shared" si="14"/>
        <v>100</v>
      </c>
      <c r="X31" s="701"/>
      <c r="Y31" s="3707"/>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1696</v>
      </c>
      <c r="Q32" s="1350">
        <f t="shared" si="11"/>
        <v>111</v>
      </c>
      <c r="R32" s="703" t="s">
        <v>14</v>
      </c>
      <c r="S32" s="704">
        <f t="shared" si="12"/>
        <v>100</v>
      </c>
      <c r="T32" s="703" t="s">
        <v>14</v>
      </c>
      <c r="U32" s="704">
        <f t="shared" si="13"/>
        <v>100</v>
      </c>
      <c r="V32" s="703" t="s">
        <v>14</v>
      </c>
      <c r="W32" s="704">
        <f t="shared" si="14"/>
        <v>100</v>
      </c>
      <c r="X32" s="1353"/>
      <c r="Y32" s="370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0">
        <f t="shared" si="11"/>
        <v>111</v>
      </c>
      <c r="R33" s="703" t="s">
        <v>14</v>
      </c>
      <c r="S33" s="704">
        <f t="shared" si="12"/>
        <v>100</v>
      </c>
      <c r="T33" s="703" t="s">
        <v>14</v>
      </c>
      <c r="U33" s="704">
        <f t="shared" si="13"/>
        <v>100</v>
      </c>
      <c r="V33" s="703" t="s">
        <v>14</v>
      </c>
      <c r="W33" s="704">
        <f t="shared" si="14"/>
        <v>100</v>
      </c>
      <c r="X33" s="1353"/>
      <c r="Y33" s="370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5" t="str">
        <f>A35</f>
        <v>成交单价（元/平方米）</v>
      </c>
      <c r="Q35" s="3695"/>
      <c r="R35" s="3696">
        <f>E35</f>
        <v>0</v>
      </c>
      <c r="S35" s="3696"/>
      <c r="T35" s="3696">
        <f>G35</f>
        <v>0</v>
      </c>
      <c r="U35" s="3696"/>
      <c r="V35" s="3696">
        <f>I35</f>
        <v>0</v>
      </c>
      <c r="W35" s="3696"/>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2"/>
      <c r="M36" s="2723"/>
      <c r="N36" s="2714"/>
      <c r="O36" s="2723"/>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45" t="str">
        <f>A37</f>
        <v>估价对象XX用房的比较价值（楼面单价，元/平方米）</v>
      </c>
      <c r="Q37" s="3746"/>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30"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30" ht="15.75" thickBot="1">
      <c r="A6" s="360"/>
      <c r="B6" s="361"/>
      <c r="C6" s="3730" t="s">
        <v>1677</v>
      </c>
      <c r="D6" s="3731"/>
      <c r="E6" s="3738" t="s">
        <v>1677</v>
      </c>
      <c r="F6" s="3739"/>
      <c r="G6" s="3730" t="s">
        <v>1677</v>
      </c>
      <c r="H6" s="3731"/>
      <c r="I6" s="3730" t="s">
        <v>1677</v>
      </c>
      <c r="J6" s="3731"/>
      <c r="K6" s="559" t="s">
        <v>1678</v>
      </c>
      <c r="L6" s="2713"/>
      <c r="M6" s="2714"/>
      <c r="N6" s="2714"/>
      <c r="O6" s="2714"/>
      <c r="P6" s="3752"/>
      <c r="Q6" s="3721"/>
      <c r="R6" s="3724"/>
      <c r="S6" s="3725"/>
      <c r="T6" s="3726"/>
      <c r="U6" s="3727"/>
      <c r="V6" s="3729"/>
      <c r="W6" s="3729"/>
      <c r="X6" s="1353"/>
      <c r="Y6" s="3726"/>
      <c r="Z6" s="3727"/>
      <c r="AA6" s="3742"/>
      <c r="AB6" s="3742"/>
      <c r="AC6" s="3742"/>
    </row>
    <row r="7" spans="1:30" s="108" customFormat="1" ht="15.75" thickBot="1">
      <c r="A7" s="362" t="s">
        <v>1679</v>
      </c>
      <c r="B7" s="363"/>
      <c r="C7" s="364">
        <f>'数据-取费表'!B2</f>
        <v>45965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6" t="s">
        <v>1683</v>
      </c>
      <c r="Q8" s="3735"/>
      <c r="R8" s="699" t="s">
        <v>14</v>
      </c>
      <c r="S8" s="700">
        <f t="shared" si="0"/>
        <v>0</v>
      </c>
      <c r="T8" s="699" t="s">
        <v>14</v>
      </c>
      <c r="U8" s="700">
        <f t="shared" si="1"/>
        <v>0</v>
      </c>
      <c r="V8" s="699" t="s">
        <v>14</v>
      </c>
      <c r="W8" s="700">
        <f t="shared" si="2"/>
        <v>0</v>
      </c>
      <c r="X8" s="701"/>
      <c r="Y8" s="3736" t="s">
        <v>1683</v>
      </c>
      <c r="Z8" s="373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5"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19"/>
      <c r="L10" s="2717"/>
      <c r="M10" s="2718"/>
      <c r="N10" s="2718"/>
      <c r="O10" s="2771"/>
      <c r="P10" s="3695"/>
      <c r="Q10" s="1341" t="str">
        <f t="shared" si="6"/>
        <v>土地使用年限（年）</v>
      </c>
      <c r="R10" s="699" t="s">
        <v>14</v>
      </c>
      <c r="S10" s="700">
        <f t="shared" si="0"/>
        <v>125</v>
      </c>
      <c r="T10" s="699" t="s">
        <v>14</v>
      </c>
      <c r="U10" s="700">
        <f t="shared" si="1"/>
        <v>125</v>
      </c>
      <c r="V10" s="699" t="s">
        <v>14</v>
      </c>
      <c r="W10" s="700">
        <f t="shared" si="2"/>
        <v>125</v>
      </c>
      <c r="X10" s="701"/>
      <c r="Y10" s="3593"/>
      <c r="Z10" s="52" t="str">
        <f t="shared" si="7"/>
        <v>土地使用年限（年）</v>
      </c>
      <c r="AA10" s="702">
        <f t="shared" si="3"/>
        <v>0.8</v>
      </c>
      <c r="AB10" s="702">
        <f t="shared" si="4"/>
        <v>0.8</v>
      </c>
      <c r="AC10" s="702">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5"/>
      <c r="Q11" s="1341" t="str">
        <f t="shared" si="6"/>
        <v>容积率</v>
      </c>
      <c r="R11" s="699" t="s">
        <v>14</v>
      </c>
      <c r="S11" s="700" t="e">
        <f t="shared" si="0"/>
        <v>#N/A</v>
      </c>
      <c r="T11" s="699" t="s">
        <v>14</v>
      </c>
      <c r="U11" s="700" t="e">
        <f t="shared" si="1"/>
        <v>#N/A</v>
      </c>
      <c r="V11" s="699" t="s">
        <v>14</v>
      </c>
      <c r="W11" s="700" t="e">
        <f t="shared" si="2"/>
        <v>#N/A</v>
      </c>
      <c r="X11" s="701"/>
      <c r="Y11" s="359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5"/>
      <c r="Q12" s="1341" t="str">
        <f t="shared" si="6"/>
        <v>配建</v>
      </c>
      <c r="R12" s="699" t="s">
        <v>14</v>
      </c>
      <c r="S12" s="700">
        <f t="shared" si="0"/>
        <v>100</v>
      </c>
      <c r="T12" s="699" t="s">
        <v>14</v>
      </c>
      <c r="U12" s="700">
        <f t="shared" si="1"/>
        <v>100</v>
      </c>
      <c r="V12" s="699" t="s">
        <v>14</v>
      </c>
      <c r="W12" s="700">
        <f t="shared" si="2"/>
        <v>100</v>
      </c>
      <c r="X12" s="701"/>
      <c r="Y12" s="359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5"/>
      <c r="Q14" s="1341">
        <f t="shared" si="6"/>
        <v>111</v>
      </c>
      <c r="R14" s="699" t="s">
        <v>14</v>
      </c>
      <c r="S14" s="700">
        <f t="shared" si="0"/>
        <v>100</v>
      </c>
      <c r="T14" s="699" t="s">
        <v>14</v>
      </c>
      <c r="U14" s="700">
        <f t="shared" si="1"/>
        <v>100</v>
      </c>
      <c r="V14" s="699" t="s">
        <v>14</v>
      </c>
      <c r="W14" s="700">
        <f t="shared" si="2"/>
        <v>100</v>
      </c>
      <c r="X14" s="701"/>
      <c r="Y14" s="359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02" t="s">
        <v>1691</v>
      </c>
      <c r="Q15" s="1350" t="str">
        <f t="shared" si="6"/>
        <v>居住社区成熟度</v>
      </c>
      <c r="R15" s="703" t="s">
        <v>14</v>
      </c>
      <c r="S15" s="704">
        <f t="shared" si="0"/>
        <v>100</v>
      </c>
      <c r="T15" s="703" t="s">
        <v>14</v>
      </c>
      <c r="U15" s="704">
        <f t="shared" si="1"/>
        <v>100</v>
      </c>
      <c r="V15" s="703" t="s">
        <v>14</v>
      </c>
      <c r="W15" s="704">
        <f t="shared" si="2"/>
        <v>100</v>
      </c>
      <c r="X15" s="1353"/>
      <c r="Y15" s="370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703"/>
      <c r="Q16" s="1350"/>
      <c r="R16" s="703"/>
      <c r="S16" s="704"/>
      <c r="T16" s="703"/>
      <c r="U16" s="704"/>
      <c r="V16" s="703"/>
      <c r="W16" s="704"/>
      <c r="X16" s="1353"/>
      <c r="Y16" s="3703"/>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03"/>
      <c r="Q17" s="1350" t="str">
        <f>B17</f>
        <v>商业繁华度</v>
      </c>
      <c r="R17" s="703" t="s">
        <v>14</v>
      </c>
      <c r="S17" s="704">
        <f>F17</f>
        <v>100</v>
      </c>
      <c r="T17" s="703" t="s">
        <v>14</v>
      </c>
      <c r="U17" s="704">
        <f>H17</f>
        <v>100</v>
      </c>
      <c r="V17" s="703" t="s">
        <v>14</v>
      </c>
      <c r="W17" s="704">
        <f>J17</f>
        <v>100</v>
      </c>
      <c r="X17" s="1353"/>
      <c r="Y17" s="370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703"/>
      <c r="Q18" s="1350"/>
      <c r="R18" s="703"/>
      <c r="S18" s="704"/>
      <c r="T18" s="703"/>
      <c r="U18" s="704"/>
      <c r="V18" s="703"/>
      <c r="W18" s="704"/>
      <c r="X18" s="1353"/>
      <c r="Y18" s="3703"/>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03"/>
      <c r="Q19" s="1350" t="str">
        <f>B19</f>
        <v>办公集聚程度</v>
      </c>
      <c r="R19" s="703" t="s">
        <v>14</v>
      </c>
      <c r="S19" s="704">
        <f>F19</f>
        <v>100</v>
      </c>
      <c r="T19" s="703" t="s">
        <v>14</v>
      </c>
      <c r="U19" s="704">
        <f>H19</f>
        <v>100</v>
      </c>
      <c r="V19" s="703" t="s">
        <v>14</v>
      </c>
      <c r="W19" s="704">
        <f>J19</f>
        <v>100</v>
      </c>
      <c r="X19" s="1353"/>
      <c r="Y19" s="370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703"/>
      <c r="Q20" s="1350"/>
      <c r="R20" s="703"/>
      <c r="S20" s="704"/>
      <c r="T20" s="703"/>
      <c r="U20" s="704"/>
      <c r="V20" s="703"/>
      <c r="W20" s="704"/>
      <c r="X20" s="1353"/>
      <c r="Y20" s="3703"/>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03"/>
      <c r="Q21" s="1350" t="str">
        <f>B21</f>
        <v>交通便捷度</v>
      </c>
      <c r="R21" s="703" t="s">
        <v>14</v>
      </c>
      <c r="S21" s="704">
        <f>F21</f>
        <v>100</v>
      </c>
      <c r="T21" s="703" t="s">
        <v>14</v>
      </c>
      <c r="U21" s="704">
        <f>H21</f>
        <v>100</v>
      </c>
      <c r="V21" s="703" t="s">
        <v>14</v>
      </c>
      <c r="W21" s="704">
        <f>J21</f>
        <v>100</v>
      </c>
      <c r="X21" s="1353"/>
      <c r="Y21" s="3703"/>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703"/>
      <c r="Q22" s="1350"/>
      <c r="R22" s="703"/>
      <c r="S22" s="704"/>
      <c r="T22" s="703"/>
      <c r="U22" s="704"/>
      <c r="V22" s="703"/>
      <c r="W22" s="704"/>
      <c r="X22" s="1353"/>
      <c r="Y22" s="3703"/>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03"/>
      <c r="Q23" s="1350" t="str">
        <f t="shared" ref="Q23:Q37" si="8">B23</f>
        <v>区域土地利用方向</v>
      </c>
      <c r="R23" s="703" t="s">
        <v>14</v>
      </c>
      <c r="S23" s="704">
        <f>F23</f>
        <v>100</v>
      </c>
      <c r="T23" s="703" t="s">
        <v>14</v>
      </c>
      <c r="U23" s="704">
        <f>H23</f>
        <v>100</v>
      </c>
      <c r="V23" s="703" t="s">
        <v>14</v>
      </c>
      <c r="W23" s="704">
        <f>J23</f>
        <v>100</v>
      </c>
      <c r="X23" s="1353"/>
      <c r="Y23" s="370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3"/>
      <c r="Q24" s="1350"/>
      <c r="R24" s="703"/>
      <c r="S24" s="704"/>
      <c r="T24" s="703"/>
      <c r="U24" s="704"/>
      <c r="V24" s="703"/>
      <c r="W24" s="704"/>
      <c r="X24" s="1353"/>
      <c r="Y24" s="3703"/>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03"/>
      <c r="Q25" s="1350" t="str">
        <f t="shared" si="8"/>
        <v>自然及人文环境状况</v>
      </c>
      <c r="R25" s="703" t="s">
        <v>14</v>
      </c>
      <c r="S25" s="704">
        <f>F25</f>
        <v>100</v>
      </c>
      <c r="T25" s="703" t="s">
        <v>14</v>
      </c>
      <c r="U25" s="704">
        <f>H25</f>
        <v>100</v>
      </c>
      <c r="V25" s="703" t="s">
        <v>14</v>
      </c>
      <c r="W25" s="704">
        <f>J25</f>
        <v>100</v>
      </c>
      <c r="X25" s="1353"/>
      <c r="Y25" s="370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703"/>
      <c r="Q26" s="1350"/>
      <c r="R26" s="703"/>
      <c r="S26" s="704"/>
      <c r="T26" s="703"/>
      <c r="U26" s="704"/>
      <c r="V26" s="703"/>
      <c r="W26" s="704"/>
      <c r="X26" s="1353"/>
      <c r="Y26" s="3703"/>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03"/>
      <c r="Q27" s="1341" t="str">
        <f t="shared" si="8"/>
        <v>公共配套设施</v>
      </c>
      <c r="R27" s="699" t="s">
        <v>14</v>
      </c>
      <c r="S27" s="700">
        <f>F27</f>
        <v>100</v>
      </c>
      <c r="T27" s="699" t="s">
        <v>14</v>
      </c>
      <c r="U27" s="700">
        <f>H27</f>
        <v>100</v>
      </c>
      <c r="V27" s="699" t="s">
        <v>14</v>
      </c>
      <c r="W27" s="700">
        <f>J27</f>
        <v>100</v>
      </c>
      <c r="X27" s="701"/>
      <c r="Y27" s="3703"/>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703"/>
      <c r="Q28" s="1341"/>
      <c r="R28" s="699"/>
      <c r="S28" s="700"/>
      <c r="T28" s="699"/>
      <c r="U28" s="700"/>
      <c r="V28" s="699"/>
      <c r="W28" s="700"/>
      <c r="X28" s="701"/>
      <c r="Y28" s="3703"/>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03"/>
      <c r="Q29" s="1341" t="str">
        <f t="shared" ref="Q29" si="9">B29</f>
        <v>基础设施水平</v>
      </c>
      <c r="R29" s="699" t="s">
        <v>14</v>
      </c>
      <c r="S29" s="700">
        <f>F29</f>
        <v>100</v>
      </c>
      <c r="T29" s="699" t="s">
        <v>14</v>
      </c>
      <c r="U29" s="700">
        <f>H29</f>
        <v>100</v>
      </c>
      <c r="V29" s="699" t="s">
        <v>14</v>
      </c>
      <c r="W29" s="700">
        <f>J29</f>
        <v>100</v>
      </c>
      <c r="X29" s="701"/>
      <c r="Y29" s="3703"/>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703"/>
      <c r="Q30" s="1341"/>
      <c r="R30" s="699"/>
      <c r="S30" s="700"/>
      <c r="T30" s="699"/>
      <c r="U30" s="700"/>
      <c r="V30" s="699"/>
      <c r="W30" s="700"/>
      <c r="X30" s="701"/>
      <c r="Y30" s="3703"/>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0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3"/>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03"/>
      <c r="Q32" s="1350" t="str">
        <f t="shared" si="8"/>
        <v>毗邻道路的类型与等级</v>
      </c>
      <c r="R32" s="703" t="s">
        <v>14</v>
      </c>
      <c r="S32" s="704">
        <f t="shared" si="10"/>
        <v>100</v>
      </c>
      <c r="T32" s="703" t="s">
        <v>14</v>
      </c>
      <c r="U32" s="704">
        <f t="shared" si="11"/>
        <v>100</v>
      </c>
      <c r="V32" s="703" t="s">
        <v>14</v>
      </c>
      <c r="W32" s="704">
        <f t="shared" si="12"/>
        <v>100</v>
      </c>
      <c r="X32" s="1353"/>
      <c r="Y32" s="370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3"/>
      <c r="Q33" s="1350"/>
      <c r="R33" s="703"/>
      <c r="S33" s="704"/>
      <c r="T33" s="703"/>
      <c r="U33" s="704"/>
      <c r="V33" s="703"/>
      <c r="W33" s="704"/>
      <c r="X33" s="1353"/>
      <c r="Y33" s="3703"/>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03"/>
      <c r="Q34" s="1350" t="str">
        <f t="shared" si="8"/>
        <v>土地级别</v>
      </c>
      <c r="R34" s="703" t="s">
        <v>14</v>
      </c>
      <c r="S34" s="704">
        <f t="shared" si="10"/>
        <v>100</v>
      </c>
      <c r="T34" s="703" t="s">
        <v>14</v>
      </c>
      <c r="U34" s="704">
        <f t="shared" si="11"/>
        <v>100</v>
      </c>
      <c r="V34" s="703" t="s">
        <v>14</v>
      </c>
      <c r="W34" s="704">
        <f t="shared" si="12"/>
        <v>100</v>
      </c>
      <c r="X34" s="1353"/>
      <c r="Y34" s="3703"/>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03"/>
      <c r="Q35" s="1350">
        <f t="shared" si="8"/>
        <v>111</v>
      </c>
      <c r="R35" s="703" t="s">
        <v>14</v>
      </c>
      <c r="S35" s="704">
        <f t="shared" si="10"/>
        <v>100</v>
      </c>
      <c r="T35" s="703" t="s">
        <v>14</v>
      </c>
      <c r="U35" s="704">
        <f t="shared" si="11"/>
        <v>100</v>
      </c>
      <c r="V35" s="703" t="s">
        <v>14</v>
      </c>
      <c r="W35" s="704">
        <f t="shared" si="12"/>
        <v>100</v>
      </c>
      <c r="X35" s="1353"/>
      <c r="Y35" s="3703"/>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78" t="s">
        <v>1696</v>
      </c>
      <c r="Q36" s="1350">
        <f t="shared" si="8"/>
        <v>111</v>
      </c>
      <c r="R36" s="703" t="s">
        <v>14</v>
      </c>
      <c r="S36" s="704">
        <f t="shared" si="10"/>
        <v>100</v>
      </c>
      <c r="T36" s="703" t="s">
        <v>14</v>
      </c>
      <c r="U36" s="704">
        <f t="shared" si="11"/>
        <v>100</v>
      </c>
      <c r="V36" s="703" t="s">
        <v>14</v>
      </c>
      <c r="W36" s="704">
        <f t="shared" si="12"/>
        <v>100</v>
      </c>
      <c r="X36" s="1353"/>
      <c r="Y36" s="3707"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07"/>
      <c r="Q37" s="1350">
        <f t="shared" si="8"/>
        <v>111</v>
      </c>
      <c r="R37" s="706" t="s">
        <v>14</v>
      </c>
      <c r="S37" s="707">
        <f t="shared" si="10"/>
        <v>100</v>
      </c>
      <c r="T37" s="706" t="s">
        <v>14</v>
      </c>
      <c r="U37" s="707">
        <f t="shared" si="11"/>
        <v>100</v>
      </c>
      <c r="V37" s="706" t="s">
        <v>14</v>
      </c>
      <c r="W37" s="707">
        <f t="shared" si="12"/>
        <v>100</v>
      </c>
      <c r="X37" s="708"/>
      <c r="Y37" s="3707"/>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07"/>
      <c r="Q38" s="1350" t="str">
        <f>B38</f>
        <v>宗地面积</v>
      </c>
      <c r="R38" s="703" t="s">
        <v>14</v>
      </c>
      <c r="S38" s="704" t="e">
        <f t="shared" si="10"/>
        <v>#N/A</v>
      </c>
      <c r="T38" s="703" t="s">
        <v>14</v>
      </c>
      <c r="U38" s="704" t="e">
        <f t="shared" si="11"/>
        <v>#N/A</v>
      </c>
      <c r="V38" s="703" t="s">
        <v>14</v>
      </c>
      <c r="W38" s="704" t="e">
        <f t="shared" si="12"/>
        <v>#N/A</v>
      </c>
      <c r="X38" s="1353"/>
      <c r="Y38" s="370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7"/>
      <c r="Q39" s="1350" t="str">
        <f t="shared" ref="Q39:Q45" si="14">B39</f>
        <v>宗地形状</v>
      </c>
      <c r="R39" s="703" t="s">
        <v>14</v>
      </c>
      <c r="S39" s="704">
        <f t="shared" si="10"/>
        <v>100</v>
      </c>
      <c r="T39" s="703" t="s">
        <v>14</v>
      </c>
      <c r="U39" s="704">
        <f t="shared" si="11"/>
        <v>100</v>
      </c>
      <c r="V39" s="703" t="s">
        <v>14</v>
      </c>
      <c r="W39" s="704">
        <f t="shared" si="12"/>
        <v>100</v>
      </c>
      <c r="X39" s="1353"/>
      <c r="Y39" s="370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7"/>
      <c r="Q40" s="1350" t="str">
        <f t="shared" si="14"/>
        <v>临街宽度及深度</v>
      </c>
      <c r="R40" s="703" t="s">
        <v>14</v>
      </c>
      <c r="S40" s="704">
        <f t="shared" si="10"/>
        <v>100</v>
      </c>
      <c r="T40" s="703" t="s">
        <v>14</v>
      </c>
      <c r="U40" s="704">
        <f t="shared" si="11"/>
        <v>100</v>
      </c>
      <c r="V40" s="703" t="s">
        <v>14</v>
      </c>
      <c r="W40" s="704">
        <f t="shared" si="12"/>
        <v>100</v>
      </c>
      <c r="X40" s="1353"/>
      <c r="Y40" s="370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7"/>
      <c r="Q41" s="1350" t="str">
        <f t="shared" si="14"/>
        <v>宗地开发程度</v>
      </c>
      <c r="R41" s="699" t="s">
        <v>14</v>
      </c>
      <c r="S41" s="700">
        <f t="shared" si="10"/>
        <v>100</v>
      </c>
      <c r="T41" s="699" t="s">
        <v>14</v>
      </c>
      <c r="U41" s="700">
        <f t="shared" si="11"/>
        <v>100</v>
      </c>
      <c r="V41" s="699" t="s">
        <v>14</v>
      </c>
      <c r="W41" s="700">
        <f t="shared" si="12"/>
        <v>100</v>
      </c>
      <c r="X41" s="701"/>
      <c r="Y41" s="3707"/>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7" t="s">
        <v>1696</v>
      </c>
      <c r="Q42" s="1350" t="str">
        <f t="shared" si="14"/>
        <v>工程地质条件</v>
      </c>
      <c r="R42" s="703" t="s">
        <v>14</v>
      </c>
      <c r="S42" s="704">
        <f t="shared" si="10"/>
        <v>100</v>
      </c>
      <c r="T42" s="703" t="s">
        <v>14</v>
      </c>
      <c r="U42" s="704">
        <f t="shared" si="11"/>
        <v>100</v>
      </c>
      <c r="V42" s="703" t="s">
        <v>14</v>
      </c>
      <c r="W42" s="704">
        <f t="shared" si="12"/>
        <v>100</v>
      </c>
      <c r="X42" s="1353"/>
      <c r="Y42" s="3707"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07"/>
      <c r="Q43" s="1350">
        <f t="shared" si="14"/>
        <v>111</v>
      </c>
      <c r="R43" s="703" t="s">
        <v>14</v>
      </c>
      <c r="S43" s="704">
        <f t="shared" si="10"/>
        <v>100</v>
      </c>
      <c r="T43" s="703" t="s">
        <v>14</v>
      </c>
      <c r="U43" s="704">
        <f t="shared" si="11"/>
        <v>100</v>
      </c>
      <c r="V43" s="703" t="s">
        <v>14</v>
      </c>
      <c r="W43" s="704">
        <f t="shared" si="12"/>
        <v>100</v>
      </c>
      <c r="X43" s="1353"/>
      <c r="Y43" s="3707"/>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07"/>
      <c r="Q44" s="1350">
        <f t="shared" si="14"/>
        <v>111</v>
      </c>
      <c r="R44" s="703" t="s">
        <v>14</v>
      </c>
      <c r="S44" s="704">
        <f t="shared" si="10"/>
        <v>100</v>
      </c>
      <c r="T44" s="703" t="s">
        <v>14</v>
      </c>
      <c r="U44" s="704">
        <f t="shared" si="11"/>
        <v>100</v>
      </c>
      <c r="V44" s="703" t="s">
        <v>14</v>
      </c>
      <c r="W44" s="704">
        <f t="shared" si="12"/>
        <v>100</v>
      </c>
      <c r="X44" s="1353"/>
      <c r="Y44" s="3707"/>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07"/>
      <c r="Q45" s="1350">
        <f t="shared" si="14"/>
        <v>111</v>
      </c>
      <c r="R45" s="706" t="s">
        <v>14</v>
      </c>
      <c r="S45" s="707">
        <f t="shared" si="10"/>
        <v>100</v>
      </c>
      <c r="T45" s="706" t="s">
        <v>14</v>
      </c>
      <c r="U45" s="707">
        <f t="shared" si="11"/>
        <v>100</v>
      </c>
      <c r="V45" s="706" t="s">
        <v>14</v>
      </c>
      <c r="W45" s="707">
        <f t="shared" si="12"/>
        <v>100</v>
      </c>
      <c r="X45" s="708"/>
      <c r="Y45" s="3707"/>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2"/>
      <c r="M46" s="2723"/>
      <c r="N46" s="2714"/>
      <c r="O46" s="2723"/>
      <c r="P46" s="3695" t="str">
        <f>A46</f>
        <v>成交单价</v>
      </c>
      <c r="Q46" s="3695"/>
      <c r="R46" s="3729">
        <f>E46</f>
        <v>0</v>
      </c>
      <c r="S46" s="3729"/>
      <c r="T46" s="3729">
        <f>G46</f>
        <v>0</v>
      </c>
      <c r="U46" s="3729"/>
      <c r="V46" s="3729">
        <f>I46</f>
        <v>0</v>
      </c>
      <c r="W46" s="3729"/>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2"/>
      <c r="M47" s="2723"/>
      <c r="N47" s="2723"/>
      <c r="O47" s="2723"/>
      <c r="P47" s="3695" t="str">
        <f>A47</f>
        <v>比较价值（元/平方米）</v>
      </c>
      <c r="Q47" s="3695"/>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45" t="str">
        <f>A48</f>
        <v>估价对象XX用房的比较价值（楼面单价，元/平方米）</v>
      </c>
      <c r="Q48" s="3746"/>
      <c r="R48" s="3781" t="e">
        <f>ROUND(IF(D47="简单平均",AVERAGE(R47:W47),R47*F47+T47*H47+V47*J47),0)</f>
        <v>#DIV/0!</v>
      </c>
      <c r="S48" s="3781"/>
      <c r="T48" s="3781"/>
      <c r="U48" s="3781"/>
      <c r="V48" s="3781"/>
      <c r="W48" s="378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12" t="s">
        <v>1887</v>
      </c>
      <c r="H55" s="378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279.52999999999997</v>
      </c>
      <c r="F56" s="884" t="e">
        <f t="shared" ref="F56:F64" si="15">ROUND(B56*E56/10000,0)</f>
        <v>#DIV/0!</v>
      </c>
      <c r="G56" s="3694"/>
      <c r="H56" s="369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3">
        <v>0.25</v>
      </c>
      <c r="E57" s="641"/>
      <c r="F57" s="884" t="e">
        <f t="shared" si="15"/>
        <v>#DIV/0!</v>
      </c>
      <c r="G57" s="3004" t="s">
        <v>1892</v>
      </c>
      <c r="H57" s="885">
        <f>项目基本情况!B37</f>
        <v>0</v>
      </c>
      <c r="I57" s="889">
        <f>SUMIF(修正!A59:A70,H57,修正!B59:B70)</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3">
        <v>0.25</v>
      </c>
      <c r="E58" s="641"/>
      <c r="F58" s="884" t="e">
        <f t="shared" si="15"/>
        <v>#DIV/0!</v>
      </c>
      <c r="G58" s="3005"/>
      <c r="H58" s="885">
        <f>项目基本情况!B37</f>
        <v>0</v>
      </c>
      <c r="I58" s="889">
        <f>SUMIF(修正!A59:A70,H58,修正!C59:C70)</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3">
        <v>0.25</v>
      </c>
      <c r="E59" s="641"/>
      <c r="F59" s="884" t="e">
        <f t="shared" si="15"/>
        <v>#DIV/0!</v>
      </c>
      <c r="G59" s="3005"/>
      <c r="H59" s="885">
        <f>项目基本情况!B37</f>
        <v>0</v>
      </c>
      <c r="I59" s="889">
        <f>SUMIF(修正!A59:A70,H59,修正!D59:D70)</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279.52999999999997</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49" t="s">
        <v>1775</v>
      </c>
      <c r="Q4" s="3750"/>
      <c r="R4" s="3753" t="s">
        <v>1771</v>
      </c>
      <c r="S4" s="3754"/>
      <c r="T4" s="3753" t="s">
        <v>1772</v>
      </c>
      <c r="U4" s="3754"/>
      <c r="V4" s="3729" t="s">
        <v>1773</v>
      </c>
      <c r="W4" s="3729"/>
      <c r="X4" s="1353"/>
      <c r="Y4" s="3753" t="s">
        <v>1775</v>
      </c>
      <c r="Z4" s="3754"/>
      <c r="AA4" s="3748" t="s">
        <v>1771</v>
      </c>
      <c r="AB4" s="3741" t="s">
        <v>1772</v>
      </c>
      <c r="AC4" s="3748" t="s">
        <v>1773</v>
      </c>
    </row>
    <row r="5" spans="1:29" ht="15">
      <c r="A5" s="358"/>
      <c r="B5" s="359"/>
      <c r="C5" s="3755" t="s">
        <v>1673</v>
      </c>
      <c r="D5" s="3733"/>
      <c r="E5" s="3777" t="s">
        <v>1674</v>
      </c>
      <c r="F5" s="3744"/>
      <c r="G5" s="3755" t="s">
        <v>1675</v>
      </c>
      <c r="H5" s="3733"/>
      <c r="I5" s="3755" t="s">
        <v>1676</v>
      </c>
      <c r="J5" s="3733"/>
      <c r="K5" s="559"/>
      <c r="L5" s="2713"/>
      <c r="M5" s="2714"/>
      <c r="N5" s="2714"/>
      <c r="O5" s="2714"/>
      <c r="P5" s="3751"/>
      <c r="Q5" s="3719"/>
      <c r="R5" s="3724"/>
      <c r="S5" s="3725"/>
      <c r="T5" s="3724"/>
      <c r="U5" s="3725"/>
      <c r="V5" s="3729"/>
      <c r="W5" s="3729"/>
      <c r="X5" s="1353"/>
      <c r="Y5" s="3724"/>
      <c r="Z5" s="3725"/>
      <c r="AA5" s="3741"/>
      <c r="AB5" s="3741"/>
      <c r="AC5" s="3741"/>
    </row>
    <row r="6" spans="1:29" ht="15.75" thickBot="1">
      <c r="A6" s="360"/>
      <c r="B6" s="361"/>
      <c r="C6" s="3783" t="s">
        <v>1919</v>
      </c>
      <c r="D6" s="3784"/>
      <c r="E6" s="3785" t="s">
        <v>1919</v>
      </c>
      <c r="F6" s="3786"/>
      <c r="G6" s="3783" t="s">
        <v>1919</v>
      </c>
      <c r="H6" s="3784"/>
      <c r="I6" s="3783" t="s">
        <v>1919</v>
      </c>
      <c r="J6" s="3784"/>
      <c r="K6" s="559" t="s">
        <v>1678</v>
      </c>
      <c r="L6" s="2713"/>
      <c r="M6" s="2714"/>
      <c r="N6" s="2714"/>
      <c r="O6" s="2714"/>
      <c r="P6" s="3752"/>
      <c r="Q6" s="3721"/>
      <c r="R6" s="3724"/>
      <c r="S6" s="3725"/>
      <c r="T6" s="3726"/>
      <c r="U6" s="3727"/>
      <c r="V6" s="3729"/>
      <c r="W6" s="3729"/>
      <c r="X6" s="1353"/>
      <c r="Y6" s="3726"/>
      <c r="Z6" s="3727"/>
      <c r="AA6" s="3742"/>
      <c r="AB6" s="3742"/>
      <c r="AC6" s="3742"/>
    </row>
    <row r="7" spans="1:29" s="108" customFormat="1" ht="15.75" thickBot="1">
      <c r="A7" s="362" t="s">
        <v>1679</v>
      </c>
      <c r="B7" s="363"/>
      <c r="C7" s="364">
        <f>'数据-取费表'!B2</f>
        <v>45965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6" t="s">
        <v>1683</v>
      </c>
      <c r="Q8" s="3735"/>
      <c r="R8" s="699" t="s">
        <v>14</v>
      </c>
      <c r="S8" s="700">
        <f t="shared" si="0"/>
        <v>0</v>
      </c>
      <c r="T8" s="699" t="s">
        <v>14</v>
      </c>
      <c r="U8" s="700">
        <f t="shared" si="1"/>
        <v>0</v>
      </c>
      <c r="V8" s="699" t="s">
        <v>14</v>
      </c>
      <c r="W8" s="700">
        <f t="shared" si="2"/>
        <v>0</v>
      </c>
      <c r="X8" s="701"/>
      <c r="Y8" s="3736" t="s">
        <v>1683</v>
      </c>
      <c r="Z8" s="373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5" t="s">
        <v>1686</v>
      </c>
      <c r="Q9" s="1341" t="str">
        <f t="shared" ref="Q9:Q15" si="6">B9</f>
        <v>用途</v>
      </c>
      <c r="R9" s="699" t="s">
        <v>14</v>
      </c>
      <c r="S9" s="700">
        <f t="shared" si="0"/>
        <v>100</v>
      </c>
      <c r="T9" s="699" t="s">
        <v>14</v>
      </c>
      <c r="U9" s="700">
        <f t="shared" si="1"/>
        <v>100</v>
      </c>
      <c r="V9" s="699" t="s">
        <v>14</v>
      </c>
      <c r="W9" s="700">
        <f t="shared" si="2"/>
        <v>100</v>
      </c>
      <c r="X9" s="701"/>
      <c r="Y9" s="359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19"/>
      <c r="L10" s="2717"/>
      <c r="M10" s="2718"/>
      <c r="N10" s="2718"/>
      <c r="O10" s="2771"/>
      <c r="P10" s="3695"/>
      <c r="Q10" s="1341" t="str">
        <f t="shared" si="6"/>
        <v>土地使用年限（年）</v>
      </c>
      <c r="R10" s="699" t="s">
        <v>14</v>
      </c>
      <c r="S10" s="700">
        <f t="shared" si="0"/>
        <v>125</v>
      </c>
      <c r="T10" s="699" t="s">
        <v>14</v>
      </c>
      <c r="U10" s="700">
        <f t="shared" si="1"/>
        <v>125</v>
      </c>
      <c r="V10" s="699" t="s">
        <v>14</v>
      </c>
      <c r="W10" s="700">
        <f t="shared" si="2"/>
        <v>125</v>
      </c>
      <c r="X10" s="701"/>
      <c r="Y10" s="3593"/>
      <c r="Z10" s="52" t="str">
        <f t="shared" si="7"/>
        <v>土地使用年限（年）</v>
      </c>
      <c r="AA10" s="702">
        <f t="shared" si="3"/>
        <v>0.8</v>
      </c>
      <c r="AB10" s="702">
        <f t="shared" si="4"/>
        <v>0.8</v>
      </c>
      <c r="AC10" s="702">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5"/>
      <c r="Q11" s="1341" t="str">
        <f t="shared" si="6"/>
        <v>容积率</v>
      </c>
      <c r="R11" s="699" t="s">
        <v>14</v>
      </c>
      <c r="S11" s="700" t="e">
        <f t="shared" si="0"/>
        <v>#N/A</v>
      </c>
      <c r="T11" s="699" t="s">
        <v>14</v>
      </c>
      <c r="U11" s="700" t="e">
        <f t="shared" si="1"/>
        <v>#N/A</v>
      </c>
      <c r="V11" s="699" t="s">
        <v>14</v>
      </c>
      <c r="W11" s="700" t="e">
        <f t="shared" si="2"/>
        <v>#N/A</v>
      </c>
      <c r="X11" s="701"/>
      <c r="Y11" s="359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5"/>
      <c r="Q12" s="1341">
        <f t="shared" si="6"/>
        <v>111</v>
      </c>
      <c r="R12" s="699" t="s">
        <v>14</v>
      </c>
      <c r="S12" s="700">
        <f t="shared" si="0"/>
        <v>100</v>
      </c>
      <c r="T12" s="699" t="s">
        <v>14</v>
      </c>
      <c r="U12" s="700">
        <f t="shared" si="1"/>
        <v>100</v>
      </c>
      <c r="V12" s="699" t="s">
        <v>14</v>
      </c>
      <c r="W12" s="700">
        <f t="shared" si="2"/>
        <v>100</v>
      </c>
      <c r="X12" s="701"/>
      <c r="Y12" s="359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5"/>
      <c r="Q13" s="1341">
        <f t="shared" si="6"/>
        <v>111</v>
      </c>
      <c r="R13" s="699" t="s">
        <v>14</v>
      </c>
      <c r="S13" s="700">
        <f t="shared" si="0"/>
        <v>100</v>
      </c>
      <c r="T13" s="699" t="s">
        <v>14</v>
      </c>
      <c r="U13" s="700">
        <f t="shared" si="1"/>
        <v>100</v>
      </c>
      <c r="V13" s="699" t="s">
        <v>14</v>
      </c>
      <c r="W13" s="700">
        <f t="shared" si="2"/>
        <v>100</v>
      </c>
      <c r="X13" s="701"/>
      <c r="Y13" s="359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5"/>
      <c r="Q14" s="1341">
        <f t="shared" si="6"/>
        <v>111</v>
      </c>
      <c r="R14" s="699" t="s">
        <v>14</v>
      </c>
      <c r="S14" s="700">
        <f t="shared" si="0"/>
        <v>100</v>
      </c>
      <c r="T14" s="699" t="s">
        <v>14</v>
      </c>
      <c r="U14" s="700">
        <f t="shared" si="1"/>
        <v>100</v>
      </c>
      <c r="V14" s="699" t="s">
        <v>14</v>
      </c>
      <c r="W14" s="700">
        <f t="shared" si="2"/>
        <v>100</v>
      </c>
      <c r="X14" s="701"/>
      <c r="Y14" s="3593"/>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703"/>
      <c r="Q16" s="1350"/>
      <c r="R16" s="703"/>
      <c r="S16" s="704"/>
      <c r="T16" s="703"/>
      <c r="U16" s="704"/>
      <c r="V16" s="703"/>
      <c r="W16" s="704"/>
      <c r="X16" s="1353"/>
      <c r="Y16" s="3703"/>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703"/>
      <c r="Q18" s="1350"/>
      <c r="R18" s="703"/>
      <c r="S18" s="704"/>
      <c r="T18" s="703"/>
      <c r="U18" s="704"/>
      <c r="V18" s="703"/>
      <c r="W18" s="704"/>
      <c r="X18" s="1353"/>
      <c r="Y18" s="3703"/>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03"/>
      <c r="Q19" s="1350" t="str">
        <f t="shared" ref="Q19:Q33" si="8">B19</f>
        <v>区域土地利用方向</v>
      </c>
      <c r="R19" s="703" t="s">
        <v>14</v>
      </c>
      <c r="S19" s="704">
        <f>F19</f>
        <v>100</v>
      </c>
      <c r="T19" s="703" t="s">
        <v>14</v>
      </c>
      <c r="U19" s="704">
        <f>H19</f>
        <v>100</v>
      </c>
      <c r="V19" s="703" t="s">
        <v>14</v>
      </c>
      <c r="W19" s="704">
        <f>J19</f>
        <v>100</v>
      </c>
      <c r="X19" s="1353"/>
      <c r="Y19" s="3703"/>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20"/>
      <c r="M20" s="2714"/>
      <c r="N20" s="2714"/>
      <c r="O20" s="2772"/>
      <c r="P20" s="3703"/>
      <c r="Q20" s="1350"/>
      <c r="R20" s="703"/>
      <c r="S20" s="704"/>
      <c r="T20" s="703"/>
      <c r="U20" s="704"/>
      <c r="V20" s="703"/>
      <c r="W20" s="704"/>
      <c r="X20" s="1353"/>
      <c r="Y20" s="3703"/>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03"/>
      <c r="Q21" s="1350" t="str">
        <f t="shared" si="8"/>
        <v>环境状况</v>
      </c>
      <c r="R21" s="703" t="s">
        <v>14</v>
      </c>
      <c r="S21" s="704">
        <f>F21</f>
        <v>100</v>
      </c>
      <c r="T21" s="703" t="s">
        <v>14</v>
      </c>
      <c r="U21" s="704">
        <f>H21</f>
        <v>100</v>
      </c>
      <c r="V21" s="703" t="s">
        <v>14</v>
      </c>
      <c r="W21" s="704">
        <f>J21</f>
        <v>100</v>
      </c>
      <c r="X21" s="1353"/>
      <c r="Y21" s="3703"/>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703"/>
      <c r="Q22" s="1350"/>
      <c r="R22" s="703"/>
      <c r="S22" s="704"/>
      <c r="T22" s="703"/>
      <c r="U22" s="704"/>
      <c r="V22" s="703"/>
      <c r="W22" s="704"/>
      <c r="X22" s="1353"/>
      <c r="Y22" s="3703"/>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03"/>
      <c r="Q23" s="1341" t="str">
        <f t="shared" si="8"/>
        <v>公共配套设施</v>
      </c>
      <c r="R23" s="699" t="s">
        <v>14</v>
      </c>
      <c r="S23" s="700">
        <f>F23</f>
        <v>100</v>
      </c>
      <c r="T23" s="699" t="s">
        <v>14</v>
      </c>
      <c r="U23" s="700">
        <f>H23</f>
        <v>100</v>
      </c>
      <c r="V23" s="699" t="s">
        <v>14</v>
      </c>
      <c r="W23" s="700">
        <f>J23</f>
        <v>100</v>
      </c>
      <c r="X23" s="701"/>
      <c r="Y23" s="3703"/>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703"/>
      <c r="Q24" s="1341"/>
      <c r="R24" s="699"/>
      <c r="S24" s="700"/>
      <c r="T24" s="699"/>
      <c r="U24" s="700"/>
      <c r="V24" s="699"/>
      <c r="W24" s="700"/>
      <c r="X24" s="701"/>
      <c r="Y24" s="3703"/>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03"/>
      <c r="Q25" s="1341" t="str">
        <f t="shared" ref="Q25" si="9">B25</f>
        <v>基础设施水平</v>
      </c>
      <c r="R25" s="699" t="s">
        <v>14</v>
      </c>
      <c r="S25" s="700">
        <f>F25</f>
        <v>100</v>
      </c>
      <c r="T25" s="699" t="s">
        <v>14</v>
      </c>
      <c r="U25" s="700">
        <f>H25</f>
        <v>100</v>
      </c>
      <c r="V25" s="699" t="s">
        <v>14</v>
      </c>
      <c r="W25" s="700">
        <f>J25</f>
        <v>100</v>
      </c>
      <c r="X25" s="701"/>
      <c r="Y25" s="3703"/>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703"/>
      <c r="Q26" s="1341"/>
      <c r="R26" s="699"/>
      <c r="S26" s="700"/>
      <c r="T26" s="699"/>
      <c r="U26" s="700"/>
      <c r="V26" s="699"/>
      <c r="W26" s="700"/>
      <c r="X26" s="701"/>
      <c r="Y26" s="3703"/>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0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3"/>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03"/>
      <c r="Q28" s="1350" t="str">
        <f t="shared" si="8"/>
        <v>毗邻道路的类型与等级</v>
      </c>
      <c r="R28" s="703" t="s">
        <v>14</v>
      </c>
      <c r="S28" s="704">
        <f t="shared" si="10"/>
        <v>100</v>
      </c>
      <c r="T28" s="703" t="s">
        <v>14</v>
      </c>
      <c r="U28" s="704">
        <f t="shared" si="11"/>
        <v>100</v>
      </c>
      <c r="V28" s="703" t="s">
        <v>14</v>
      </c>
      <c r="W28" s="704">
        <f t="shared" si="12"/>
        <v>100</v>
      </c>
      <c r="X28" s="1353"/>
      <c r="Y28" s="3703"/>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703"/>
      <c r="Q29" s="1350"/>
      <c r="R29" s="703"/>
      <c r="S29" s="704"/>
      <c r="T29" s="703"/>
      <c r="U29" s="704"/>
      <c r="V29" s="703"/>
      <c r="W29" s="704"/>
      <c r="X29" s="1353"/>
      <c r="Y29" s="3703"/>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03"/>
      <c r="Q30" s="1350" t="str">
        <f t="shared" si="8"/>
        <v>土地级别</v>
      </c>
      <c r="R30" s="703" t="s">
        <v>14</v>
      </c>
      <c r="S30" s="704">
        <f t="shared" si="10"/>
        <v>100</v>
      </c>
      <c r="T30" s="703" t="s">
        <v>14</v>
      </c>
      <c r="U30" s="704">
        <f t="shared" si="11"/>
        <v>100</v>
      </c>
      <c r="V30" s="703" t="s">
        <v>14</v>
      </c>
      <c r="W30" s="704">
        <f t="shared" si="12"/>
        <v>100</v>
      </c>
      <c r="X30" s="1353"/>
      <c r="Y30" s="3703"/>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0">
        <f t="shared" si="8"/>
        <v>111</v>
      </c>
      <c r="R31" s="703" t="s">
        <v>14</v>
      </c>
      <c r="S31" s="704">
        <f t="shared" si="10"/>
        <v>100</v>
      </c>
      <c r="T31" s="703" t="s">
        <v>14</v>
      </c>
      <c r="U31" s="704">
        <f t="shared" si="11"/>
        <v>100</v>
      </c>
      <c r="V31" s="703" t="s">
        <v>14</v>
      </c>
      <c r="W31" s="704">
        <f t="shared" si="12"/>
        <v>100</v>
      </c>
      <c r="X31" s="1353"/>
      <c r="Y31" s="3703"/>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78" t="s">
        <v>1696</v>
      </c>
      <c r="Q32" s="1350">
        <f t="shared" si="8"/>
        <v>111</v>
      </c>
      <c r="R32" s="703" t="s">
        <v>14</v>
      </c>
      <c r="S32" s="704">
        <f t="shared" si="10"/>
        <v>100</v>
      </c>
      <c r="T32" s="703" t="s">
        <v>14</v>
      </c>
      <c r="U32" s="704">
        <f t="shared" si="11"/>
        <v>100</v>
      </c>
      <c r="V32" s="703" t="s">
        <v>14</v>
      </c>
      <c r="W32" s="704">
        <f t="shared" si="12"/>
        <v>100</v>
      </c>
      <c r="X32" s="1353"/>
      <c r="Y32" s="3707"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07"/>
      <c r="Q33" s="1350">
        <f t="shared" si="8"/>
        <v>111</v>
      </c>
      <c r="R33" s="706" t="s">
        <v>14</v>
      </c>
      <c r="S33" s="707">
        <f t="shared" si="10"/>
        <v>100</v>
      </c>
      <c r="T33" s="706" t="s">
        <v>14</v>
      </c>
      <c r="U33" s="707">
        <f t="shared" si="11"/>
        <v>100</v>
      </c>
      <c r="V33" s="706" t="s">
        <v>14</v>
      </c>
      <c r="W33" s="707">
        <f t="shared" si="12"/>
        <v>100</v>
      </c>
      <c r="X33" s="708"/>
      <c r="Y33" s="3707"/>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07"/>
      <c r="Q34" s="1350" t="str">
        <f>B34</f>
        <v>宗地面积</v>
      </c>
      <c r="R34" s="703" t="s">
        <v>14</v>
      </c>
      <c r="S34" s="704" t="e">
        <f t="shared" si="10"/>
        <v>#N/A</v>
      </c>
      <c r="T34" s="703" t="s">
        <v>14</v>
      </c>
      <c r="U34" s="704" t="e">
        <f t="shared" si="11"/>
        <v>#N/A</v>
      </c>
      <c r="V34" s="703" t="s">
        <v>14</v>
      </c>
      <c r="W34" s="704" t="e">
        <f t="shared" si="12"/>
        <v>#N/A</v>
      </c>
      <c r="X34" s="1353"/>
      <c r="Y34" s="370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7"/>
      <c r="Q35" s="1350" t="str">
        <f t="shared" ref="Q35:Q40" si="14">B35</f>
        <v>宗地形状</v>
      </c>
      <c r="R35" s="703" t="s">
        <v>14</v>
      </c>
      <c r="S35" s="704">
        <f t="shared" si="10"/>
        <v>100</v>
      </c>
      <c r="T35" s="703" t="s">
        <v>14</v>
      </c>
      <c r="U35" s="704">
        <f t="shared" si="11"/>
        <v>100</v>
      </c>
      <c r="V35" s="703" t="s">
        <v>14</v>
      </c>
      <c r="W35" s="704">
        <f t="shared" si="12"/>
        <v>100</v>
      </c>
      <c r="X35" s="1353"/>
      <c r="Y35" s="370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7"/>
      <c r="Q36" s="1350" t="str">
        <f t="shared" si="14"/>
        <v>宗地开发程度</v>
      </c>
      <c r="R36" s="699" t="s">
        <v>14</v>
      </c>
      <c r="S36" s="700">
        <f t="shared" si="10"/>
        <v>100</v>
      </c>
      <c r="T36" s="699" t="s">
        <v>14</v>
      </c>
      <c r="U36" s="700">
        <f t="shared" si="11"/>
        <v>100</v>
      </c>
      <c r="V36" s="699" t="s">
        <v>14</v>
      </c>
      <c r="W36" s="700">
        <f t="shared" si="12"/>
        <v>100</v>
      </c>
      <c r="X36" s="701"/>
      <c r="Y36" s="3707"/>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7" t="s">
        <v>1696</v>
      </c>
      <c r="Q37" s="1350" t="str">
        <f t="shared" si="14"/>
        <v>工程地质条件</v>
      </c>
      <c r="R37" s="703" t="s">
        <v>14</v>
      </c>
      <c r="S37" s="704">
        <f t="shared" si="10"/>
        <v>100</v>
      </c>
      <c r="T37" s="703" t="s">
        <v>14</v>
      </c>
      <c r="U37" s="704">
        <f t="shared" si="11"/>
        <v>100</v>
      </c>
      <c r="V37" s="703" t="s">
        <v>14</v>
      </c>
      <c r="W37" s="704">
        <f t="shared" si="12"/>
        <v>100</v>
      </c>
      <c r="X37" s="1353"/>
      <c r="Y37" s="3707"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07"/>
      <c r="Q38" s="1350">
        <f t="shared" si="14"/>
        <v>111</v>
      </c>
      <c r="R38" s="703" t="s">
        <v>14</v>
      </c>
      <c r="S38" s="704">
        <f t="shared" si="10"/>
        <v>100</v>
      </c>
      <c r="T38" s="703" t="s">
        <v>14</v>
      </c>
      <c r="U38" s="704">
        <f t="shared" si="11"/>
        <v>100</v>
      </c>
      <c r="V38" s="703" t="s">
        <v>14</v>
      </c>
      <c r="W38" s="704">
        <f t="shared" si="12"/>
        <v>100</v>
      </c>
      <c r="X38" s="1353"/>
      <c r="Y38" s="3707"/>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07"/>
      <c r="Q39" s="1350">
        <f t="shared" si="14"/>
        <v>111</v>
      </c>
      <c r="R39" s="703" t="s">
        <v>14</v>
      </c>
      <c r="S39" s="704">
        <f t="shared" si="10"/>
        <v>100</v>
      </c>
      <c r="T39" s="703" t="s">
        <v>14</v>
      </c>
      <c r="U39" s="704">
        <f t="shared" si="11"/>
        <v>100</v>
      </c>
      <c r="V39" s="703" t="s">
        <v>14</v>
      </c>
      <c r="W39" s="704">
        <f t="shared" si="12"/>
        <v>100</v>
      </c>
      <c r="X39" s="1353"/>
      <c r="Y39" s="3707"/>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07"/>
      <c r="Q40" s="1350">
        <f t="shared" si="14"/>
        <v>111</v>
      </c>
      <c r="R40" s="706" t="s">
        <v>14</v>
      </c>
      <c r="S40" s="707">
        <f t="shared" si="10"/>
        <v>100</v>
      </c>
      <c r="T40" s="706" t="s">
        <v>14</v>
      </c>
      <c r="U40" s="707">
        <f t="shared" si="11"/>
        <v>100</v>
      </c>
      <c r="V40" s="706" t="s">
        <v>14</v>
      </c>
      <c r="W40" s="707">
        <f t="shared" si="12"/>
        <v>100</v>
      </c>
      <c r="X40" s="708"/>
      <c r="Y40" s="3707"/>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2"/>
      <c r="M41" s="2714"/>
      <c r="N41" s="2714"/>
      <c r="O41" s="2723"/>
      <c r="P41" s="3695" t="str">
        <f>A41</f>
        <v>成交单价</v>
      </c>
      <c r="Q41" s="3695"/>
      <c r="R41" s="3729">
        <f>E41</f>
        <v>0</v>
      </c>
      <c r="S41" s="3729"/>
      <c r="T41" s="3729">
        <f>G41</f>
        <v>0</v>
      </c>
      <c r="U41" s="3729"/>
      <c r="V41" s="3729">
        <f>I41</f>
        <v>0</v>
      </c>
      <c r="W41" s="3729"/>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2"/>
      <c r="M42" s="2714"/>
      <c r="N42" s="2714"/>
      <c r="O42" s="2723"/>
      <c r="P42" s="3695" t="str">
        <f>A42</f>
        <v>比较价值（元/平方米）</v>
      </c>
      <c r="Q42" s="3695"/>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45" t="str">
        <f>A43</f>
        <v>估价对象XX用房的比较价值（楼面单价，元/平方米）</v>
      </c>
      <c r="Q43" s="3746"/>
      <c r="R43" s="3781" t="e">
        <f>ROUND(IF(D42="简单平均",AVERAGE(R42:W42),R42*F42+T42*H42+V42*J42),0)</f>
        <v>#DIV/0!</v>
      </c>
      <c r="S43" s="3781"/>
      <c r="T43" s="3781"/>
      <c r="U43" s="3781"/>
      <c r="V43" s="3781"/>
      <c r="W43" s="378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12" t="s">
        <v>1887</v>
      </c>
      <c r="H50" s="378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279.52999999999997</v>
      </c>
      <c r="F51" s="638" t="e">
        <f t="shared" ref="F51:F60" si="15">ROUND(B51*E51/10000,0)</f>
        <v>#DIV/0!</v>
      </c>
      <c r="G51" s="3694"/>
      <c r="H51" s="369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3">
        <v>0.25</v>
      </c>
      <c r="E52" s="641"/>
      <c r="F52" s="638" t="e">
        <f t="shared" si="15"/>
        <v>#DIV/0!</v>
      </c>
      <c r="G52" s="3004" t="s">
        <v>1892</v>
      </c>
      <c r="H52" s="885">
        <f>项目基本情况!B37</f>
        <v>0</v>
      </c>
      <c r="I52" s="771">
        <f>SUMIF(修正!A59:A70,H52,修正!B59:B70)</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3">
        <v>0.25</v>
      </c>
      <c r="E53" s="641"/>
      <c r="F53" s="638" t="e">
        <f t="shared" si="15"/>
        <v>#DIV/0!</v>
      </c>
      <c r="G53" s="3005"/>
      <c r="H53" s="885">
        <f>项目基本情况!B37</f>
        <v>0</v>
      </c>
      <c r="I53" s="771">
        <f>SUMIF(修正!A59:A70,H53,修正!C59:C70)</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3">
        <v>0.25</v>
      </c>
      <c r="E54" s="641"/>
      <c r="F54" s="638" t="e">
        <f t="shared" si="15"/>
        <v>#DIV/0!</v>
      </c>
      <c r="G54" s="3005"/>
      <c r="H54" s="885">
        <f>项目基本情况!B37</f>
        <v>0</v>
      </c>
      <c r="I54" s="771">
        <f>SUMIF(修正!A59:A70,H54,修正!D59:D70)</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3">
        <v>0.25</v>
      </c>
      <c r="E59" s="217">
        <f>'数据-汇总表'!E14</f>
        <v>0</v>
      </c>
      <c r="F59" s="638" t="e">
        <f t="shared" si="15"/>
        <v>#DIV/0!</v>
      </c>
      <c r="G59" s="1985" t="s">
        <v>1892</v>
      </c>
      <c r="H59" s="885">
        <f>项目基本情况!B37</f>
        <v>0</v>
      </c>
      <c r="I59" s="771">
        <f>SUMIF(修正!A59:A70,H59,修正!G59:G70)</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90" t="s">
        <v>2084</v>
      </c>
      <c r="D1" s="3791"/>
      <c r="E1" s="3791"/>
      <c r="F1" s="3791"/>
      <c r="G1" s="3791"/>
      <c r="H1" s="3791"/>
      <c r="I1" s="3791"/>
      <c r="J1" s="3791"/>
      <c r="K1" s="3791"/>
      <c r="L1" s="3791"/>
      <c r="M1" s="3791"/>
      <c r="N1" s="3791"/>
      <c r="O1" s="3791"/>
      <c r="P1" s="3791"/>
      <c r="Q1" s="3791"/>
      <c r="R1" s="3791"/>
      <c r="S1" s="379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92"/>
      <c r="B5" s="1334" t="str">
        <f>'比较法-商业'!B26</f>
        <v>平面位置/可视性</v>
      </c>
      <c r="C5" s="993" t="str">
        <f>'比较法-商业'!C88</f>
        <v>好</v>
      </c>
      <c r="D5" s="993" t="str">
        <f>'比较法-商业'!D88</f>
        <v>较好</v>
      </c>
      <c r="E5" s="993" t="str">
        <f>'比较法-商业'!E88</f>
        <v>一般</v>
      </c>
      <c r="F5" s="993" t="str">
        <f>'比较法-商业'!F88</f>
        <v>较差</v>
      </c>
      <c r="G5" s="993" t="str">
        <f>'比较法-商业'!G88</f>
        <v>差</v>
      </c>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92"/>
      <c r="B7" s="1335" t="str">
        <f>'比较法-商业'!B25</f>
        <v>临街状况</v>
      </c>
      <c r="C7" s="902" t="str">
        <f>'比较法-商业'!C86</f>
        <v>单面临街</v>
      </c>
      <c r="D7" s="902" t="str">
        <f>'比较法-商业'!D86</f>
        <v>不临街</v>
      </c>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0</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87" t="s">
        <v>27</v>
      </c>
      <c r="D22" s="3788"/>
      <c r="E22" s="3788"/>
      <c r="F22" s="3788"/>
      <c r="G22" s="3788"/>
      <c r="H22" s="3788"/>
      <c r="I22" s="3788"/>
      <c r="J22" s="3788"/>
      <c r="K22" s="3788"/>
      <c r="L22" s="3788"/>
      <c r="M22" s="3788"/>
      <c r="N22" s="3788"/>
      <c r="O22" s="3788"/>
      <c r="P22" s="3788"/>
      <c r="Q22" s="3789"/>
      <c r="R22" s="66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7"/>
      <c r="B24" s="663"/>
      <c r="C24" s="2808">
        <v>1</v>
      </c>
      <c r="D24" s="2809" t="s">
        <v>3438</v>
      </c>
      <c r="E24" s="2808">
        <v>1</v>
      </c>
      <c r="F24" s="2809" t="s">
        <v>3434</v>
      </c>
      <c r="G24" s="2808">
        <v>1</v>
      </c>
      <c r="H24" s="2809"/>
      <c r="I24" s="2808">
        <v>1</v>
      </c>
      <c r="J24" s="2809"/>
      <c r="K24" s="2808">
        <v>1</v>
      </c>
      <c r="L24" s="2809"/>
      <c r="M24" s="2808">
        <v>1</v>
      </c>
      <c r="N24" s="2809"/>
      <c r="O24" s="2808">
        <v>1</v>
      </c>
      <c r="P24" s="2809" t="s">
        <v>3463</v>
      </c>
      <c r="Q24" s="2808">
        <v>1</v>
      </c>
      <c r="R24" s="666">
        <f ca="1">结果表!G20</f>
        <v>30180</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88"/>
      <c r="B25" s="54"/>
      <c r="C25" s="21">
        <f>IF(B25="",1,(LOOKUP(B25,$3:$3,$4:$4)-LOOKUP($B$24,$3:$3,$4:$4)+100)/100)</f>
        <v>1</v>
      </c>
      <c r="D25" s="665" t="s">
        <v>3438</v>
      </c>
      <c r="E25" s="21">
        <f>(SUMIF($5:$5,D25,$6:$6)-SUMIF($5:$5,$D$24,$6:$6)+100)/100</f>
        <v>1</v>
      </c>
      <c r="F25" s="665" t="s">
        <v>3434</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3463</v>
      </c>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0.05</v>
      </c>
      <c r="F26" s="665"/>
      <c r="G26" s="21">
        <f t="shared" ref="G26:G89" si="14">(SUMIF($7:$7,F26,$8:$8)-SUMIF($7:$7,$F$24,$8:$8)+100)/100</f>
        <v>0</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6">
        <f t="shared" si="11"/>
        <v>0</v>
      </c>
    </row>
    <row r="27" spans="1:45">
      <c r="A27" s="150"/>
      <c r="B27" s="54"/>
      <c r="C27" s="21">
        <f t="shared" si="12"/>
        <v>1</v>
      </c>
      <c r="D27" s="665"/>
      <c r="E27" s="21">
        <f t="shared" si="13"/>
        <v>0.05</v>
      </c>
      <c r="F27" s="665"/>
      <c r="G27" s="21">
        <f t="shared" si="14"/>
        <v>0</v>
      </c>
      <c r="H27" s="665"/>
      <c r="I27" s="21">
        <f t="shared" si="15"/>
        <v>1</v>
      </c>
      <c r="J27" s="665"/>
      <c r="K27" s="21">
        <f t="shared" si="16"/>
        <v>1</v>
      </c>
      <c r="L27" s="665"/>
      <c r="M27" s="21">
        <f t="shared" si="17"/>
        <v>1</v>
      </c>
      <c r="N27" s="665"/>
      <c r="O27" s="21">
        <f t="shared" si="18"/>
        <v>1</v>
      </c>
      <c r="P27" s="665"/>
      <c r="Q27" s="21">
        <f t="shared" si="19"/>
        <v>0</v>
      </c>
      <c r="R27" s="661">
        <f t="shared" si="20"/>
        <v>0</v>
      </c>
      <c r="S27" s="316">
        <f t="shared" si="11"/>
        <v>0</v>
      </c>
    </row>
    <row r="28" spans="1:45">
      <c r="A28" s="150"/>
      <c r="B28" s="54"/>
      <c r="C28" s="21">
        <f t="shared" si="12"/>
        <v>1</v>
      </c>
      <c r="D28" s="665"/>
      <c r="E28" s="21">
        <f t="shared" si="13"/>
        <v>0.05</v>
      </c>
      <c r="F28" s="665"/>
      <c r="G28" s="21">
        <f t="shared" si="14"/>
        <v>0</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0.05</v>
      </c>
      <c r="F29" s="665"/>
      <c r="G29" s="21">
        <f t="shared" si="14"/>
        <v>0</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0.05</v>
      </c>
      <c r="F30" s="665"/>
      <c r="G30" s="21">
        <f t="shared" si="14"/>
        <v>0</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0.05</v>
      </c>
      <c r="F31" s="665"/>
      <c r="G31" s="21">
        <f t="shared" si="14"/>
        <v>0</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0.05</v>
      </c>
      <c r="F32" s="665"/>
      <c r="G32" s="21">
        <f t="shared" si="14"/>
        <v>0</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0.05</v>
      </c>
      <c r="F33" s="665"/>
      <c r="G33" s="21">
        <f t="shared" si="14"/>
        <v>0</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0.05</v>
      </c>
      <c r="F34" s="665"/>
      <c r="G34" s="21">
        <f t="shared" si="14"/>
        <v>0</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0.05</v>
      </c>
      <c r="F35" s="665"/>
      <c r="G35" s="21">
        <f t="shared" si="14"/>
        <v>0</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0.05</v>
      </c>
      <c r="F36" s="665"/>
      <c r="G36" s="21">
        <f t="shared" si="14"/>
        <v>0</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0.05</v>
      </c>
      <c r="F37" s="665"/>
      <c r="G37" s="21">
        <f t="shared" si="14"/>
        <v>0</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0.05</v>
      </c>
      <c r="F38" s="665"/>
      <c r="G38" s="21">
        <f t="shared" si="14"/>
        <v>0</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0.05</v>
      </c>
      <c r="F39" s="665"/>
      <c r="G39" s="21">
        <f t="shared" si="14"/>
        <v>0</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0.05</v>
      </c>
      <c r="F40" s="665"/>
      <c r="G40" s="21">
        <f t="shared" si="14"/>
        <v>0</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0.05</v>
      </c>
      <c r="F41" s="665"/>
      <c r="G41" s="21">
        <f t="shared" si="14"/>
        <v>0</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0.05</v>
      </c>
      <c r="F42" s="665"/>
      <c r="G42" s="21">
        <f t="shared" si="14"/>
        <v>0</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0.05</v>
      </c>
      <c r="F43" s="665"/>
      <c r="G43" s="21">
        <f t="shared" si="14"/>
        <v>0</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0.05</v>
      </c>
      <c r="F44" s="665"/>
      <c r="G44" s="21">
        <f t="shared" si="14"/>
        <v>0</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0.05</v>
      </c>
      <c r="F45" s="665"/>
      <c r="G45" s="21">
        <f t="shared" si="14"/>
        <v>0</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0.05</v>
      </c>
      <c r="F46" s="665"/>
      <c r="G46" s="21">
        <f t="shared" si="14"/>
        <v>0</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0.05</v>
      </c>
      <c r="F47" s="665"/>
      <c r="G47" s="21">
        <f t="shared" si="14"/>
        <v>0</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0.05</v>
      </c>
      <c r="F48" s="665"/>
      <c r="G48" s="21">
        <f t="shared" si="14"/>
        <v>0</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0.05</v>
      </c>
      <c r="F49" s="665"/>
      <c r="G49" s="21">
        <f t="shared" si="14"/>
        <v>0</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0.05</v>
      </c>
      <c r="F50" s="665"/>
      <c r="G50" s="21">
        <f t="shared" si="14"/>
        <v>0</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0.05</v>
      </c>
      <c r="F51" s="665"/>
      <c r="G51" s="21">
        <f t="shared" si="14"/>
        <v>0</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0.05</v>
      </c>
      <c r="F52" s="665"/>
      <c r="G52" s="21">
        <f t="shared" si="14"/>
        <v>0</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0.05</v>
      </c>
      <c r="F53" s="665"/>
      <c r="G53" s="21">
        <f t="shared" si="14"/>
        <v>0</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0.05</v>
      </c>
      <c r="F54" s="665"/>
      <c r="G54" s="21">
        <f t="shared" si="14"/>
        <v>0</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0.05</v>
      </c>
      <c r="F55" s="665"/>
      <c r="G55" s="21">
        <f t="shared" si="14"/>
        <v>0</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0.05</v>
      </c>
      <c r="F56" s="665"/>
      <c r="G56" s="21">
        <f t="shared" si="14"/>
        <v>0</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0.05</v>
      </c>
      <c r="F57" s="665"/>
      <c r="G57" s="21">
        <f t="shared" si="14"/>
        <v>0</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0.05</v>
      </c>
      <c r="F58" s="665"/>
      <c r="G58" s="21">
        <f t="shared" si="14"/>
        <v>0</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0.05</v>
      </c>
      <c r="F59" s="665"/>
      <c r="G59" s="21">
        <f t="shared" si="14"/>
        <v>0</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0.05</v>
      </c>
      <c r="F60" s="665"/>
      <c r="G60" s="21">
        <f t="shared" si="14"/>
        <v>0</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0.05</v>
      </c>
      <c r="F61" s="665"/>
      <c r="G61" s="21">
        <f t="shared" si="14"/>
        <v>0</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0.05</v>
      </c>
      <c r="F62" s="665"/>
      <c r="G62" s="21">
        <f t="shared" si="14"/>
        <v>0</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0.05</v>
      </c>
      <c r="F63" s="665"/>
      <c r="G63" s="21">
        <f t="shared" si="14"/>
        <v>0</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0.05</v>
      </c>
      <c r="F64" s="665"/>
      <c r="G64" s="21">
        <f t="shared" si="14"/>
        <v>0</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0.05</v>
      </c>
      <c r="F65" s="665"/>
      <c r="G65" s="21">
        <f t="shared" si="14"/>
        <v>0</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0.05</v>
      </c>
      <c r="F66" s="665"/>
      <c r="G66" s="21">
        <f t="shared" si="14"/>
        <v>0</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0.05</v>
      </c>
      <c r="F67" s="665"/>
      <c r="G67" s="21">
        <f t="shared" si="14"/>
        <v>0</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0.05</v>
      </c>
      <c r="F68" s="665"/>
      <c r="G68" s="21">
        <f t="shared" si="14"/>
        <v>0</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0.05</v>
      </c>
      <c r="F69" s="665"/>
      <c r="G69" s="21">
        <f t="shared" si="14"/>
        <v>0</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0.05</v>
      </c>
      <c r="F70" s="665"/>
      <c r="G70" s="21">
        <f t="shared" si="14"/>
        <v>0</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0.05</v>
      </c>
      <c r="F71" s="665"/>
      <c r="G71" s="21">
        <f t="shared" si="14"/>
        <v>0</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0.05</v>
      </c>
      <c r="F72" s="665"/>
      <c r="G72" s="21">
        <f t="shared" si="14"/>
        <v>0</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0.05</v>
      </c>
      <c r="F73" s="665"/>
      <c r="G73" s="21">
        <f t="shared" si="14"/>
        <v>0</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0.05</v>
      </c>
      <c r="F74" s="665"/>
      <c r="G74" s="21">
        <f t="shared" si="14"/>
        <v>0</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0.05</v>
      </c>
      <c r="F75" s="665"/>
      <c r="G75" s="21">
        <f t="shared" si="14"/>
        <v>0</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0.05</v>
      </c>
      <c r="F76" s="665"/>
      <c r="G76" s="21">
        <f t="shared" si="14"/>
        <v>0</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0.05</v>
      </c>
      <c r="F77" s="665"/>
      <c r="G77" s="21">
        <f t="shared" si="14"/>
        <v>0</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0.05</v>
      </c>
      <c r="F78" s="665"/>
      <c r="G78" s="21">
        <f t="shared" si="14"/>
        <v>0</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0.05</v>
      </c>
      <c r="F79" s="665"/>
      <c r="G79" s="21">
        <f t="shared" si="14"/>
        <v>0</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0.05</v>
      </c>
      <c r="F80" s="665"/>
      <c r="G80" s="21">
        <f t="shared" si="14"/>
        <v>0</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0.05</v>
      </c>
      <c r="F81" s="665"/>
      <c r="G81" s="21">
        <f t="shared" si="14"/>
        <v>0</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0.05</v>
      </c>
      <c r="F82" s="665"/>
      <c r="G82" s="21">
        <f t="shared" si="14"/>
        <v>0</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0.05</v>
      </c>
      <c r="F83" s="665"/>
      <c r="G83" s="21">
        <f t="shared" si="14"/>
        <v>0</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0.05</v>
      </c>
      <c r="F84" s="665"/>
      <c r="G84" s="21">
        <f t="shared" si="14"/>
        <v>0</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0.05</v>
      </c>
      <c r="F85" s="665"/>
      <c r="G85" s="21">
        <f t="shared" si="14"/>
        <v>0</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0.05</v>
      </c>
      <c r="F86" s="665"/>
      <c r="G86" s="21">
        <f t="shared" si="14"/>
        <v>0</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0.05</v>
      </c>
      <c r="F87" s="665"/>
      <c r="G87" s="21">
        <f t="shared" si="14"/>
        <v>0</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0.05</v>
      </c>
      <c r="F88" s="665"/>
      <c r="G88" s="21">
        <f t="shared" si="14"/>
        <v>0</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0.05</v>
      </c>
      <c r="F89" s="665"/>
      <c r="G89" s="21">
        <f t="shared" si="14"/>
        <v>0</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0.05</v>
      </c>
      <c r="F90" s="665"/>
      <c r="G90" s="21">
        <f t="shared" ref="G90:G153" si="25">(SUMIF($7:$7,F90,$8:$8)-SUMIF($7:$7,$F$24,$8:$8)+100)/100</f>
        <v>0</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0.05</v>
      </c>
      <c r="F91" s="665"/>
      <c r="G91" s="21">
        <f t="shared" si="25"/>
        <v>0</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0.05</v>
      </c>
      <c r="F92" s="665"/>
      <c r="G92" s="21">
        <f t="shared" si="25"/>
        <v>0</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0.05</v>
      </c>
      <c r="F93" s="665"/>
      <c r="G93" s="21">
        <f t="shared" si="25"/>
        <v>0</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0.05</v>
      </c>
      <c r="F94" s="665"/>
      <c r="G94" s="21">
        <f t="shared" si="25"/>
        <v>0</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0.05</v>
      </c>
      <c r="F95" s="665"/>
      <c r="G95" s="21">
        <f t="shared" si="25"/>
        <v>0</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0.05</v>
      </c>
      <c r="F96" s="665"/>
      <c r="G96" s="21">
        <f t="shared" si="25"/>
        <v>0</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0.05</v>
      </c>
      <c r="F97" s="665"/>
      <c r="G97" s="21">
        <f t="shared" si="25"/>
        <v>0</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0.05</v>
      </c>
      <c r="F98" s="665"/>
      <c r="G98" s="21">
        <f t="shared" si="25"/>
        <v>0</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0.05</v>
      </c>
      <c r="F99" s="665"/>
      <c r="G99" s="21">
        <f t="shared" si="25"/>
        <v>0</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0.05</v>
      </c>
      <c r="F100" s="665"/>
      <c r="G100" s="21">
        <f t="shared" si="25"/>
        <v>0</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0.05</v>
      </c>
      <c r="F101" s="665"/>
      <c r="G101" s="21">
        <f t="shared" si="25"/>
        <v>0</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0.05</v>
      </c>
      <c r="F102" s="665"/>
      <c r="G102" s="21">
        <f t="shared" si="25"/>
        <v>0</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0.05</v>
      </c>
      <c r="F103" s="665"/>
      <c r="G103" s="21">
        <f t="shared" si="25"/>
        <v>0</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0.05</v>
      </c>
      <c r="F104" s="665"/>
      <c r="G104" s="21">
        <f t="shared" si="25"/>
        <v>0</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0.05</v>
      </c>
      <c r="F105" s="665"/>
      <c r="G105" s="21">
        <f t="shared" si="25"/>
        <v>0</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0.05</v>
      </c>
      <c r="F106" s="665"/>
      <c r="G106" s="21">
        <f t="shared" si="25"/>
        <v>0</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0.05</v>
      </c>
      <c r="F107" s="665"/>
      <c r="G107" s="21">
        <f t="shared" si="25"/>
        <v>0</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0.05</v>
      </c>
      <c r="F108" s="665"/>
      <c r="G108" s="21">
        <f t="shared" si="25"/>
        <v>0</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0.05</v>
      </c>
      <c r="F109" s="665"/>
      <c r="G109" s="21">
        <f t="shared" si="25"/>
        <v>0</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0.05</v>
      </c>
      <c r="F110" s="665"/>
      <c r="G110" s="21">
        <f t="shared" si="25"/>
        <v>0</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0.05</v>
      </c>
      <c r="F111" s="665"/>
      <c r="G111" s="21">
        <f t="shared" si="25"/>
        <v>0</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0.05</v>
      </c>
      <c r="F112" s="665"/>
      <c r="G112" s="21">
        <f t="shared" si="25"/>
        <v>0</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0.05</v>
      </c>
      <c r="F113" s="665"/>
      <c r="G113" s="21">
        <f t="shared" si="25"/>
        <v>0</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0.05</v>
      </c>
      <c r="F114" s="665"/>
      <c r="G114" s="21">
        <f t="shared" si="25"/>
        <v>0</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0.05</v>
      </c>
      <c r="F115" s="665"/>
      <c r="G115" s="21">
        <f t="shared" si="25"/>
        <v>0</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0.05</v>
      </c>
      <c r="F116" s="665"/>
      <c r="G116" s="21">
        <f t="shared" si="25"/>
        <v>0</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0.05</v>
      </c>
      <c r="F117" s="665"/>
      <c r="G117" s="21">
        <f t="shared" si="25"/>
        <v>0</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0.05</v>
      </c>
      <c r="F118" s="665"/>
      <c r="G118" s="21">
        <f t="shared" si="25"/>
        <v>0</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0.05</v>
      </c>
      <c r="F119" s="665"/>
      <c r="G119" s="21">
        <f t="shared" si="25"/>
        <v>0</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0.05</v>
      </c>
      <c r="F120" s="665"/>
      <c r="G120" s="21">
        <f t="shared" si="25"/>
        <v>0</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0.05</v>
      </c>
      <c r="F121" s="665"/>
      <c r="G121" s="21">
        <f t="shared" si="25"/>
        <v>0</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0.05</v>
      </c>
      <c r="F122" s="665"/>
      <c r="G122" s="21">
        <f t="shared" si="25"/>
        <v>0</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0.05</v>
      </c>
      <c r="F123" s="665"/>
      <c r="G123" s="21">
        <f t="shared" si="25"/>
        <v>0</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0.05</v>
      </c>
      <c r="F124" s="665"/>
      <c r="G124" s="21">
        <f t="shared" si="25"/>
        <v>0</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0.05</v>
      </c>
      <c r="F125" s="665"/>
      <c r="G125" s="21">
        <f t="shared" si="25"/>
        <v>0</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0.05</v>
      </c>
      <c r="F126" s="665"/>
      <c r="G126" s="21">
        <f t="shared" si="25"/>
        <v>0</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0.05</v>
      </c>
      <c r="F127" s="665"/>
      <c r="G127" s="21">
        <f t="shared" si="25"/>
        <v>0</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0.05</v>
      </c>
      <c r="F128" s="665"/>
      <c r="G128" s="21">
        <f t="shared" si="25"/>
        <v>0</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0.05</v>
      </c>
      <c r="F129" s="665"/>
      <c r="G129" s="21">
        <f t="shared" si="25"/>
        <v>0</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0.05</v>
      </c>
      <c r="F130" s="665"/>
      <c r="G130" s="21">
        <f t="shared" si="25"/>
        <v>0</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0.05</v>
      </c>
      <c r="F131" s="665"/>
      <c r="G131" s="21">
        <f t="shared" si="25"/>
        <v>0</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0.05</v>
      </c>
      <c r="F132" s="665"/>
      <c r="G132" s="21">
        <f t="shared" si="25"/>
        <v>0</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0.05</v>
      </c>
      <c r="F133" s="665"/>
      <c r="G133" s="21">
        <f t="shared" si="25"/>
        <v>0</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0.05</v>
      </c>
      <c r="F134" s="665"/>
      <c r="G134" s="21">
        <f t="shared" si="25"/>
        <v>0</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0.05</v>
      </c>
      <c r="F135" s="665"/>
      <c r="G135" s="21">
        <f t="shared" si="25"/>
        <v>0</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0.05</v>
      </c>
      <c r="F136" s="665"/>
      <c r="G136" s="21">
        <f t="shared" si="25"/>
        <v>0</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0.05</v>
      </c>
      <c r="F137" s="665"/>
      <c r="G137" s="21">
        <f t="shared" si="25"/>
        <v>0</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0.05</v>
      </c>
      <c r="F138" s="665"/>
      <c r="G138" s="21">
        <f t="shared" si="25"/>
        <v>0</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0.05</v>
      </c>
      <c r="F139" s="665"/>
      <c r="G139" s="21">
        <f t="shared" si="25"/>
        <v>0</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0.05</v>
      </c>
      <c r="F140" s="665"/>
      <c r="G140" s="21">
        <f t="shared" si="25"/>
        <v>0</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0.05</v>
      </c>
      <c r="F141" s="665"/>
      <c r="G141" s="21">
        <f t="shared" si="25"/>
        <v>0</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0.05</v>
      </c>
      <c r="F142" s="665"/>
      <c r="G142" s="21">
        <f t="shared" si="25"/>
        <v>0</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0.05</v>
      </c>
      <c r="F143" s="665"/>
      <c r="G143" s="21">
        <f t="shared" si="25"/>
        <v>0</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0.05</v>
      </c>
      <c r="F144" s="665"/>
      <c r="G144" s="21">
        <f t="shared" si="25"/>
        <v>0</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0.05</v>
      </c>
      <c r="F145" s="665"/>
      <c r="G145" s="21">
        <f t="shared" si="25"/>
        <v>0</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0.05</v>
      </c>
      <c r="F146" s="665"/>
      <c r="G146" s="21">
        <f t="shared" si="25"/>
        <v>0</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0.05</v>
      </c>
      <c r="F147" s="665"/>
      <c r="G147" s="21">
        <f t="shared" si="25"/>
        <v>0</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0.05</v>
      </c>
      <c r="F148" s="665"/>
      <c r="G148" s="21">
        <f t="shared" si="25"/>
        <v>0</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0.05</v>
      </c>
      <c r="F149" s="665"/>
      <c r="G149" s="21">
        <f t="shared" si="25"/>
        <v>0</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0.05</v>
      </c>
      <c r="F150" s="665"/>
      <c r="G150" s="21">
        <f t="shared" si="25"/>
        <v>0</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0.05</v>
      </c>
      <c r="F151" s="665"/>
      <c r="G151" s="21">
        <f t="shared" si="25"/>
        <v>0</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0.05</v>
      </c>
      <c r="F152" s="665"/>
      <c r="G152" s="21">
        <f t="shared" si="25"/>
        <v>0</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0.05</v>
      </c>
      <c r="F153" s="665"/>
      <c r="G153" s="21">
        <f t="shared" si="25"/>
        <v>0</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0.05</v>
      </c>
      <c r="F154" s="665"/>
      <c r="G154" s="21">
        <f t="shared" ref="G154:G217" si="35">(SUMIF($7:$7,F154,$8:$8)-SUMIF($7:$7,$F$24,$8:$8)+100)/100</f>
        <v>0</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0.05</v>
      </c>
      <c r="F155" s="665"/>
      <c r="G155" s="21">
        <f t="shared" si="35"/>
        <v>0</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0.05</v>
      </c>
      <c r="F156" s="665"/>
      <c r="G156" s="21">
        <f t="shared" si="35"/>
        <v>0</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0.05</v>
      </c>
      <c r="F157" s="665"/>
      <c r="G157" s="21">
        <f t="shared" si="35"/>
        <v>0</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0.05</v>
      </c>
      <c r="F158" s="665"/>
      <c r="G158" s="21">
        <f t="shared" si="35"/>
        <v>0</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0.05</v>
      </c>
      <c r="F159" s="665"/>
      <c r="G159" s="21">
        <f t="shared" si="35"/>
        <v>0</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0.05</v>
      </c>
      <c r="F160" s="665"/>
      <c r="G160" s="21">
        <f t="shared" si="35"/>
        <v>0</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0.05</v>
      </c>
      <c r="F161" s="665"/>
      <c r="G161" s="21">
        <f t="shared" si="35"/>
        <v>0</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0.05</v>
      </c>
      <c r="F162" s="665"/>
      <c r="G162" s="21">
        <f t="shared" si="35"/>
        <v>0</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0.05</v>
      </c>
      <c r="F163" s="665"/>
      <c r="G163" s="21">
        <f t="shared" si="35"/>
        <v>0</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0.05</v>
      </c>
      <c r="F164" s="665"/>
      <c r="G164" s="21">
        <f t="shared" si="35"/>
        <v>0</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0.05</v>
      </c>
      <c r="F165" s="665"/>
      <c r="G165" s="21">
        <f t="shared" si="35"/>
        <v>0</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0.05</v>
      </c>
      <c r="F166" s="665"/>
      <c r="G166" s="21">
        <f t="shared" si="35"/>
        <v>0</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0.05</v>
      </c>
      <c r="F167" s="665"/>
      <c r="G167" s="21">
        <f t="shared" si="35"/>
        <v>0</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0.05</v>
      </c>
      <c r="F168" s="665"/>
      <c r="G168" s="21">
        <f t="shared" si="35"/>
        <v>0</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0.05</v>
      </c>
      <c r="F169" s="665"/>
      <c r="G169" s="21">
        <f t="shared" si="35"/>
        <v>0</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0.05</v>
      </c>
      <c r="F170" s="665"/>
      <c r="G170" s="21">
        <f t="shared" si="35"/>
        <v>0</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0.05</v>
      </c>
      <c r="F171" s="665"/>
      <c r="G171" s="21">
        <f t="shared" si="35"/>
        <v>0</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0.05</v>
      </c>
      <c r="F172" s="665"/>
      <c r="G172" s="21">
        <f t="shared" si="35"/>
        <v>0</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0.05</v>
      </c>
      <c r="F173" s="665"/>
      <c r="G173" s="21">
        <f t="shared" si="35"/>
        <v>0</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0.05</v>
      </c>
      <c r="F174" s="665"/>
      <c r="G174" s="21">
        <f t="shared" si="35"/>
        <v>0</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0.05</v>
      </c>
      <c r="F175" s="665"/>
      <c r="G175" s="21">
        <f t="shared" si="35"/>
        <v>0</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0.05</v>
      </c>
      <c r="F176" s="665"/>
      <c r="G176" s="21">
        <f t="shared" si="35"/>
        <v>0</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0.05</v>
      </c>
      <c r="F177" s="665"/>
      <c r="G177" s="21">
        <f t="shared" si="35"/>
        <v>0</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0.05</v>
      </c>
      <c r="F178" s="665"/>
      <c r="G178" s="21">
        <f t="shared" si="35"/>
        <v>0</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0.05</v>
      </c>
      <c r="F179" s="665"/>
      <c r="G179" s="21">
        <f t="shared" si="35"/>
        <v>0</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0.05</v>
      </c>
      <c r="F180" s="665"/>
      <c r="G180" s="21">
        <f t="shared" si="35"/>
        <v>0</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0.05</v>
      </c>
      <c r="F181" s="665"/>
      <c r="G181" s="21">
        <f t="shared" si="35"/>
        <v>0</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0.05</v>
      </c>
      <c r="F182" s="665"/>
      <c r="G182" s="21">
        <f t="shared" si="35"/>
        <v>0</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0.05</v>
      </c>
      <c r="F183" s="665"/>
      <c r="G183" s="21">
        <f t="shared" si="35"/>
        <v>0</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0.05</v>
      </c>
      <c r="F184" s="665"/>
      <c r="G184" s="21">
        <f t="shared" si="35"/>
        <v>0</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0.05</v>
      </c>
      <c r="F185" s="665"/>
      <c r="G185" s="21">
        <f t="shared" si="35"/>
        <v>0</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0.05</v>
      </c>
      <c r="F186" s="665"/>
      <c r="G186" s="21">
        <f t="shared" si="35"/>
        <v>0</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0.05</v>
      </c>
      <c r="F187" s="665"/>
      <c r="G187" s="21">
        <f t="shared" si="35"/>
        <v>0</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0.05</v>
      </c>
      <c r="F188" s="665"/>
      <c r="G188" s="21">
        <f t="shared" si="35"/>
        <v>0</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0.05</v>
      </c>
      <c r="F189" s="665"/>
      <c r="G189" s="21">
        <f t="shared" si="35"/>
        <v>0</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0.05</v>
      </c>
      <c r="F190" s="665"/>
      <c r="G190" s="21">
        <f t="shared" si="35"/>
        <v>0</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0.05</v>
      </c>
      <c r="F191" s="665"/>
      <c r="G191" s="21">
        <f t="shared" si="35"/>
        <v>0</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0.05</v>
      </c>
      <c r="F192" s="665"/>
      <c r="G192" s="21">
        <f t="shared" si="35"/>
        <v>0</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0.05</v>
      </c>
      <c r="F193" s="665"/>
      <c r="G193" s="21">
        <f t="shared" si="35"/>
        <v>0</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0.05</v>
      </c>
      <c r="F194" s="665"/>
      <c r="G194" s="21">
        <f t="shared" si="35"/>
        <v>0</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0.05</v>
      </c>
      <c r="F195" s="665"/>
      <c r="G195" s="21">
        <f t="shared" si="35"/>
        <v>0</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0.05</v>
      </c>
      <c r="F196" s="665"/>
      <c r="G196" s="21">
        <f t="shared" si="35"/>
        <v>0</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0.05</v>
      </c>
      <c r="F197" s="665"/>
      <c r="G197" s="21">
        <f t="shared" si="35"/>
        <v>0</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0.05</v>
      </c>
      <c r="F198" s="665"/>
      <c r="G198" s="21">
        <f t="shared" si="35"/>
        <v>0</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0.05</v>
      </c>
      <c r="F199" s="665"/>
      <c r="G199" s="21">
        <f t="shared" si="35"/>
        <v>0</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0.05</v>
      </c>
      <c r="F200" s="665"/>
      <c r="G200" s="21">
        <f t="shared" si="35"/>
        <v>0</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0.05</v>
      </c>
      <c r="F201" s="665"/>
      <c r="G201" s="21">
        <f t="shared" si="35"/>
        <v>0</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0.05</v>
      </c>
      <c r="F202" s="665"/>
      <c r="G202" s="21">
        <f t="shared" si="35"/>
        <v>0</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0.05</v>
      </c>
      <c r="F203" s="665"/>
      <c r="G203" s="21">
        <f t="shared" si="35"/>
        <v>0</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0.05</v>
      </c>
      <c r="F204" s="665"/>
      <c r="G204" s="21">
        <f t="shared" si="35"/>
        <v>0</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0.05</v>
      </c>
      <c r="F205" s="665"/>
      <c r="G205" s="21">
        <f t="shared" si="35"/>
        <v>0</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0.05</v>
      </c>
      <c r="F206" s="665"/>
      <c r="G206" s="21">
        <f t="shared" si="35"/>
        <v>0</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0.05</v>
      </c>
      <c r="F207" s="665"/>
      <c r="G207" s="21">
        <f t="shared" si="35"/>
        <v>0</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0.05</v>
      </c>
      <c r="F208" s="665"/>
      <c r="G208" s="21">
        <f t="shared" si="35"/>
        <v>0</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0.05</v>
      </c>
      <c r="F209" s="665"/>
      <c r="G209" s="21">
        <f t="shared" si="35"/>
        <v>0</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0.05</v>
      </c>
      <c r="F210" s="665"/>
      <c r="G210" s="21">
        <f t="shared" si="35"/>
        <v>0</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0.05</v>
      </c>
      <c r="F211" s="665"/>
      <c r="G211" s="21">
        <f t="shared" si="35"/>
        <v>0</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0.05</v>
      </c>
      <c r="F212" s="665"/>
      <c r="G212" s="21">
        <f t="shared" si="35"/>
        <v>0</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0.05</v>
      </c>
      <c r="F213" s="665"/>
      <c r="G213" s="21">
        <f t="shared" si="35"/>
        <v>0</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0.05</v>
      </c>
      <c r="F214" s="665"/>
      <c r="G214" s="21">
        <f t="shared" si="35"/>
        <v>0</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0.05</v>
      </c>
      <c r="F215" s="665"/>
      <c r="G215" s="21">
        <f t="shared" si="35"/>
        <v>0</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0.05</v>
      </c>
      <c r="F216" s="665"/>
      <c r="G216" s="21">
        <f t="shared" si="35"/>
        <v>0</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0.05</v>
      </c>
      <c r="F217" s="665"/>
      <c r="G217" s="21">
        <f t="shared" si="35"/>
        <v>0</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0.05</v>
      </c>
      <c r="F218" s="665"/>
      <c r="G218" s="21">
        <f t="shared" ref="G218:G281" si="45">(SUMIF($7:$7,F218,$8:$8)-SUMIF($7:$7,$F$24,$8:$8)+100)/100</f>
        <v>0</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0.05</v>
      </c>
      <c r="F219" s="665"/>
      <c r="G219" s="21">
        <f t="shared" si="45"/>
        <v>0</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0.05</v>
      </c>
      <c r="F220" s="665"/>
      <c r="G220" s="21">
        <f t="shared" si="45"/>
        <v>0</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0.05</v>
      </c>
      <c r="F221" s="665"/>
      <c r="G221" s="21">
        <f t="shared" si="45"/>
        <v>0</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0.05</v>
      </c>
      <c r="F222" s="665"/>
      <c r="G222" s="21">
        <f t="shared" si="45"/>
        <v>0</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0.05</v>
      </c>
      <c r="F223" s="665"/>
      <c r="G223" s="21">
        <f t="shared" si="45"/>
        <v>0</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0.05</v>
      </c>
      <c r="F224" s="665"/>
      <c r="G224" s="21">
        <f t="shared" si="45"/>
        <v>0</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0.05</v>
      </c>
      <c r="F225" s="665"/>
      <c r="G225" s="21">
        <f t="shared" si="45"/>
        <v>0</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0.05</v>
      </c>
      <c r="F226" s="665"/>
      <c r="G226" s="21">
        <f t="shared" si="45"/>
        <v>0</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0.05</v>
      </c>
      <c r="F227" s="665"/>
      <c r="G227" s="21">
        <f t="shared" si="45"/>
        <v>0</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0.05</v>
      </c>
      <c r="F228" s="665"/>
      <c r="G228" s="21">
        <f t="shared" si="45"/>
        <v>0</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0.05</v>
      </c>
      <c r="F229" s="665"/>
      <c r="G229" s="21">
        <f t="shared" si="45"/>
        <v>0</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0.05</v>
      </c>
      <c r="F230" s="665"/>
      <c r="G230" s="21">
        <f t="shared" si="45"/>
        <v>0</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0.05</v>
      </c>
      <c r="F231" s="665"/>
      <c r="G231" s="21">
        <f t="shared" si="45"/>
        <v>0</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0.05</v>
      </c>
      <c r="F232" s="665"/>
      <c r="G232" s="21">
        <f t="shared" si="45"/>
        <v>0</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0.05</v>
      </c>
      <c r="F233" s="665"/>
      <c r="G233" s="21">
        <f t="shared" si="45"/>
        <v>0</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0.05</v>
      </c>
      <c r="F234" s="665"/>
      <c r="G234" s="21">
        <f t="shared" si="45"/>
        <v>0</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0.05</v>
      </c>
      <c r="F235" s="665"/>
      <c r="G235" s="21">
        <f t="shared" si="45"/>
        <v>0</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0.05</v>
      </c>
      <c r="F236" s="665"/>
      <c r="G236" s="21">
        <f t="shared" si="45"/>
        <v>0</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0.05</v>
      </c>
      <c r="F237" s="665"/>
      <c r="G237" s="21">
        <f t="shared" si="45"/>
        <v>0</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0.05</v>
      </c>
      <c r="F238" s="665"/>
      <c r="G238" s="21">
        <f t="shared" si="45"/>
        <v>0</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0.05</v>
      </c>
      <c r="F239" s="665"/>
      <c r="G239" s="21">
        <f t="shared" si="45"/>
        <v>0</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0.05</v>
      </c>
      <c r="F240" s="665"/>
      <c r="G240" s="21">
        <f t="shared" si="45"/>
        <v>0</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0.05</v>
      </c>
      <c r="F241" s="665"/>
      <c r="G241" s="21">
        <f t="shared" si="45"/>
        <v>0</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0.05</v>
      </c>
      <c r="F242" s="665"/>
      <c r="G242" s="21">
        <f t="shared" si="45"/>
        <v>0</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0.05</v>
      </c>
      <c r="F243" s="665"/>
      <c r="G243" s="21">
        <f t="shared" si="45"/>
        <v>0</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0.05</v>
      </c>
      <c r="F244" s="665"/>
      <c r="G244" s="21">
        <f t="shared" si="45"/>
        <v>0</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0.05</v>
      </c>
      <c r="F245" s="665"/>
      <c r="G245" s="21">
        <f t="shared" si="45"/>
        <v>0</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0.05</v>
      </c>
      <c r="F246" s="665"/>
      <c r="G246" s="21">
        <f t="shared" si="45"/>
        <v>0</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0.05</v>
      </c>
      <c r="F247" s="665"/>
      <c r="G247" s="21">
        <f t="shared" si="45"/>
        <v>0</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0.05</v>
      </c>
      <c r="F248" s="665"/>
      <c r="G248" s="21">
        <f t="shared" si="45"/>
        <v>0</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0.05</v>
      </c>
      <c r="F249" s="665"/>
      <c r="G249" s="21">
        <f t="shared" si="45"/>
        <v>0</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0.05</v>
      </c>
      <c r="F250" s="665"/>
      <c r="G250" s="21">
        <f t="shared" si="45"/>
        <v>0</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0.05</v>
      </c>
      <c r="F251" s="665"/>
      <c r="G251" s="21">
        <f t="shared" si="45"/>
        <v>0</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0.05</v>
      </c>
      <c r="F252" s="665"/>
      <c r="G252" s="21">
        <f t="shared" si="45"/>
        <v>0</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0.05</v>
      </c>
      <c r="F253" s="665"/>
      <c r="G253" s="21">
        <f t="shared" si="45"/>
        <v>0</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0.05</v>
      </c>
      <c r="F254" s="665"/>
      <c r="G254" s="21">
        <f t="shared" si="45"/>
        <v>0</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0.05</v>
      </c>
      <c r="F255" s="665"/>
      <c r="G255" s="21">
        <f t="shared" si="45"/>
        <v>0</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0.05</v>
      </c>
      <c r="F256" s="665"/>
      <c r="G256" s="21">
        <f t="shared" si="45"/>
        <v>0</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0.05</v>
      </c>
      <c r="F257" s="665"/>
      <c r="G257" s="21">
        <f t="shared" si="45"/>
        <v>0</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0.05</v>
      </c>
      <c r="F258" s="665"/>
      <c r="G258" s="21">
        <f t="shared" si="45"/>
        <v>0</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0.05</v>
      </c>
      <c r="F259" s="665"/>
      <c r="G259" s="21">
        <f t="shared" si="45"/>
        <v>0</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0.05</v>
      </c>
      <c r="F260" s="665"/>
      <c r="G260" s="21">
        <f t="shared" si="45"/>
        <v>0</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0.05</v>
      </c>
      <c r="F261" s="665"/>
      <c r="G261" s="21">
        <f t="shared" si="45"/>
        <v>0</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0.05</v>
      </c>
      <c r="F262" s="665"/>
      <c r="G262" s="21">
        <f t="shared" si="45"/>
        <v>0</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0.05</v>
      </c>
      <c r="F263" s="665"/>
      <c r="G263" s="21">
        <f t="shared" si="45"/>
        <v>0</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0.05</v>
      </c>
      <c r="F264" s="665"/>
      <c r="G264" s="21">
        <f t="shared" si="45"/>
        <v>0</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0.05</v>
      </c>
      <c r="F265" s="665"/>
      <c r="G265" s="21">
        <f t="shared" si="45"/>
        <v>0</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0.05</v>
      </c>
      <c r="F266" s="665"/>
      <c r="G266" s="21">
        <f t="shared" si="45"/>
        <v>0</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0.05</v>
      </c>
      <c r="F267" s="665"/>
      <c r="G267" s="21">
        <f t="shared" si="45"/>
        <v>0</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0.05</v>
      </c>
      <c r="F268" s="665"/>
      <c r="G268" s="21">
        <f t="shared" si="45"/>
        <v>0</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0.05</v>
      </c>
      <c r="F269" s="665"/>
      <c r="G269" s="21">
        <f t="shared" si="45"/>
        <v>0</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0.05</v>
      </c>
      <c r="F270" s="665"/>
      <c r="G270" s="21">
        <f t="shared" si="45"/>
        <v>0</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0.05</v>
      </c>
      <c r="F271" s="665"/>
      <c r="G271" s="21">
        <f t="shared" si="45"/>
        <v>0</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0.05</v>
      </c>
      <c r="F272" s="665"/>
      <c r="G272" s="21">
        <f t="shared" si="45"/>
        <v>0</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0.05</v>
      </c>
      <c r="F273" s="665"/>
      <c r="G273" s="21">
        <f t="shared" si="45"/>
        <v>0</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0.05</v>
      </c>
      <c r="F274" s="665"/>
      <c r="G274" s="21">
        <f t="shared" si="45"/>
        <v>0</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0.05</v>
      </c>
      <c r="F275" s="665"/>
      <c r="G275" s="21">
        <f t="shared" si="45"/>
        <v>0</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0.05</v>
      </c>
      <c r="F276" s="665"/>
      <c r="G276" s="21">
        <f t="shared" si="45"/>
        <v>0</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0.05</v>
      </c>
      <c r="F277" s="665"/>
      <c r="G277" s="21">
        <f t="shared" si="45"/>
        <v>0</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0.05</v>
      </c>
      <c r="F278" s="665"/>
      <c r="G278" s="21">
        <f t="shared" si="45"/>
        <v>0</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0.05</v>
      </c>
      <c r="F279" s="665"/>
      <c r="G279" s="21">
        <f t="shared" si="45"/>
        <v>0</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0.05</v>
      </c>
      <c r="F280" s="665"/>
      <c r="G280" s="21">
        <f t="shared" si="45"/>
        <v>0</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0.05</v>
      </c>
      <c r="F281" s="665"/>
      <c r="G281" s="21">
        <f t="shared" si="45"/>
        <v>0</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0.05</v>
      </c>
      <c r="F282" s="665"/>
      <c r="G282" s="21">
        <f t="shared" ref="G282:G345" si="55">(SUMIF($7:$7,F282,$8:$8)-SUMIF($7:$7,$F$24,$8:$8)+100)/100</f>
        <v>0</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0.05</v>
      </c>
      <c r="F283" s="665"/>
      <c r="G283" s="21">
        <f t="shared" si="55"/>
        <v>0</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0.05</v>
      </c>
      <c r="F284" s="665"/>
      <c r="G284" s="21">
        <f t="shared" si="55"/>
        <v>0</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0.05</v>
      </c>
      <c r="F285" s="665"/>
      <c r="G285" s="21">
        <f t="shared" si="55"/>
        <v>0</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0.05</v>
      </c>
      <c r="F286" s="665"/>
      <c r="G286" s="21">
        <f t="shared" si="55"/>
        <v>0</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0.05</v>
      </c>
      <c r="F287" s="665"/>
      <c r="G287" s="21">
        <f t="shared" si="55"/>
        <v>0</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0.05</v>
      </c>
      <c r="F288" s="665"/>
      <c r="G288" s="21">
        <f t="shared" si="55"/>
        <v>0</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0.05</v>
      </c>
      <c r="F289" s="665"/>
      <c r="G289" s="21">
        <f t="shared" si="55"/>
        <v>0</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0.05</v>
      </c>
      <c r="F290" s="665"/>
      <c r="G290" s="21">
        <f t="shared" si="55"/>
        <v>0</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0.05</v>
      </c>
      <c r="F291" s="665"/>
      <c r="G291" s="21">
        <f t="shared" si="55"/>
        <v>0</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0.05</v>
      </c>
      <c r="F292" s="665"/>
      <c r="G292" s="21">
        <f t="shared" si="55"/>
        <v>0</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0.05</v>
      </c>
      <c r="F293" s="665"/>
      <c r="G293" s="21">
        <f t="shared" si="55"/>
        <v>0</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0.05</v>
      </c>
      <c r="F294" s="665"/>
      <c r="G294" s="21">
        <f t="shared" si="55"/>
        <v>0</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0.05</v>
      </c>
      <c r="F295" s="665"/>
      <c r="G295" s="21">
        <f t="shared" si="55"/>
        <v>0</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0.05</v>
      </c>
      <c r="F296" s="665"/>
      <c r="G296" s="21">
        <f t="shared" si="55"/>
        <v>0</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0.05</v>
      </c>
      <c r="F297" s="665"/>
      <c r="G297" s="21">
        <f t="shared" si="55"/>
        <v>0</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0.05</v>
      </c>
      <c r="F298" s="665"/>
      <c r="G298" s="21">
        <f t="shared" si="55"/>
        <v>0</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0.05</v>
      </c>
      <c r="F299" s="665"/>
      <c r="G299" s="21">
        <f t="shared" si="55"/>
        <v>0</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0.05</v>
      </c>
      <c r="F300" s="665"/>
      <c r="G300" s="21">
        <f t="shared" si="55"/>
        <v>0</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0.05</v>
      </c>
      <c r="F301" s="665"/>
      <c r="G301" s="21">
        <f t="shared" si="55"/>
        <v>0</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0.05</v>
      </c>
      <c r="F302" s="665"/>
      <c r="G302" s="21">
        <f t="shared" si="55"/>
        <v>0</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0.05</v>
      </c>
      <c r="F303" s="665"/>
      <c r="G303" s="21">
        <f t="shared" si="55"/>
        <v>0</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0.05</v>
      </c>
      <c r="F304" s="665"/>
      <c r="G304" s="21">
        <f t="shared" si="55"/>
        <v>0</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0.05</v>
      </c>
      <c r="F305" s="665"/>
      <c r="G305" s="21">
        <f t="shared" si="55"/>
        <v>0</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0.05</v>
      </c>
      <c r="F306" s="665"/>
      <c r="G306" s="21">
        <f t="shared" si="55"/>
        <v>0</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0.05</v>
      </c>
      <c r="F307" s="665"/>
      <c r="G307" s="21">
        <f t="shared" si="55"/>
        <v>0</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0.05</v>
      </c>
      <c r="F308" s="665"/>
      <c r="G308" s="21">
        <f t="shared" si="55"/>
        <v>0</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0.05</v>
      </c>
      <c r="F309" s="665"/>
      <c r="G309" s="21">
        <f t="shared" si="55"/>
        <v>0</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0.05</v>
      </c>
      <c r="F310" s="665"/>
      <c r="G310" s="21">
        <f t="shared" si="55"/>
        <v>0</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0.05</v>
      </c>
      <c r="F311" s="665"/>
      <c r="G311" s="21">
        <f t="shared" si="55"/>
        <v>0</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0.05</v>
      </c>
      <c r="F312" s="665"/>
      <c r="G312" s="21">
        <f t="shared" si="55"/>
        <v>0</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0.05</v>
      </c>
      <c r="F313" s="665"/>
      <c r="G313" s="21">
        <f t="shared" si="55"/>
        <v>0</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0.05</v>
      </c>
      <c r="F314" s="665"/>
      <c r="G314" s="21">
        <f t="shared" si="55"/>
        <v>0</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0.05</v>
      </c>
      <c r="F315" s="665"/>
      <c r="G315" s="21">
        <f t="shared" si="55"/>
        <v>0</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0.05</v>
      </c>
      <c r="F316" s="665"/>
      <c r="G316" s="21">
        <f t="shared" si="55"/>
        <v>0</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0.05</v>
      </c>
      <c r="F317" s="665"/>
      <c r="G317" s="21">
        <f t="shared" si="55"/>
        <v>0</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0.05</v>
      </c>
      <c r="F318" s="665"/>
      <c r="G318" s="21">
        <f t="shared" si="55"/>
        <v>0</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0.05</v>
      </c>
      <c r="F319" s="665"/>
      <c r="G319" s="21">
        <f t="shared" si="55"/>
        <v>0</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0.05</v>
      </c>
      <c r="F320" s="665"/>
      <c r="G320" s="21">
        <f t="shared" si="55"/>
        <v>0</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0.05</v>
      </c>
      <c r="F321" s="665"/>
      <c r="G321" s="21">
        <f t="shared" si="55"/>
        <v>0</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0.05</v>
      </c>
      <c r="F322" s="665"/>
      <c r="G322" s="21">
        <f t="shared" si="55"/>
        <v>0</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0.05</v>
      </c>
      <c r="F323" s="665"/>
      <c r="G323" s="21">
        <f t="shared" si="55"/>
        <v>0</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0.05</v>
      </c>
      <c r="F324" s="665"/>
      <c r="G324" s="21">
        <f t="shared" si="55"/>
        <v>0</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0.05</v>
      </c>
      <c r="F325" s="665"/>
      <c r="G325" s="21">
        <f t="shared" si="55"/>
        <v>0</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0.05</v>
      </c>
      <c r="F326" s="665"/>
      <c r="G326" s="21">
        <f t="shared" si="55"/>
        <v>0</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0.05</v>
      </c>
      <c r="F327" s="665"/>
      <c r="G327" s="21">
        <f t="shared" si="55"/>
        <v>0</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0.05</v>
      </c>
      <c r="F328" s="665"/>
      <c r="G328" s="21">
        <f t="shared" si="55"/>
        <v>0</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0.05</v>
      </c>
      <c r="F329" s="665"/>
      <c r="G329" s="21">
        <f t="shared" si="55"/>
        <v>0</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0.05</v>
      </c>
      <c r="F330" s="665"/>
      <c r="G330" s="21">
        <f t="shared" si="55"/>
        <v>0</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0.05</v>
      </c>
      <c r="F331" s="665"/>
      <c r="G331" s="21">
        <f t="shared" si="55"/>
        <v>0</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0.05</v>
      </c>
      <c r="F332" s="665"/>
      <c r="G332" s="21">
        <f t="shared" si="55"/>
        <v>0</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0.05</v>
      </c>
      <c r="F333" s="665"/>
      <c r="G333" s="21">
        <f t="shared" si="55"/>
        <v>0</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0.05</v>
      </c>
      <c r="F334" s="665"/>
      <c r="G334" s="21">
        <f t="shared" si="55"/>
        <v>0</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0.05</v>
      </c>
      <c r="F335" s="665"/>
      <c r="G335" s="21">
        <f t="shared" si="55"/>
        <v>0</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0.05</v>
      </c>
      <c r="F336" s="665"/>
      <c r="G336" s="21">
        <f t="shared" si="55"/>
        <v>0</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0.05</v>
      </c>
      <c r="F337" s="665"/>
      <c r="G337" s="21">
        <f t="shared" si="55"/>
        <v>0</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0.05</v>
      </c>
      <c r="F338" s="665"/>
      <c r="G338" s="21">
        <f t="shared" si="55"/>
        <v>0</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0.05</v>
      </c>
      <c r="F339" s="665"/>
      <c r="G339" s="21">
        <f t="shared" si="55"/>
        <v>0</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0.05</v>
      </c>
      <c r="F340" s="665"/>
      <c r="G340" s="21">
        <f t="shared" si="55"/>
        <v>0</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0.05</v>
      </c>
      <c r="F341" s="665"/>
      <c r="G341" s="21">
        <f t="shared" si="55"/>
        <v>0</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0.05</v>
      </c>
      <c r="F342" s="665"/>
      <c r="G342" s="21">
        <f t="shared" si="55"/>
        <v>0</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0.05</v>
      </c>
      <c r="F343" s="665"/>
      <c r="G343" s="21">
        <f t="shared" si="55"/>
        <v>0</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0.05</v>
      </c>
      <c r="F344" s="665"/>
      <c r="G344" s="21">
        <f t="shared" si="55"/>
        <v>0</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0.05</v>
      </c>
      <c r="F345" s="665"/>
      <c r="G345" s="21">
        <f t="shared" si="55"/>
        <v>0</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0.05</v>
      </c>
      <c r="F346" s="665"/>
      <c r="G346" s="21">
        <f t="shared" ref="G346:G409" si="66">(SUMIF($7:$7,F346,$8:$8)-SUMIF($7:$7,$F$24,$8:$8)+100)/100</f>
        <v>0</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0.05</v>
      </c>
      <c r="F347" s="665"/>
      <c r="G347" s="21">
        <f t="shared" si="66"/>
        <v>0</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0.05</v>
      </c>
      <c r="F348" s="665"/>
      <c r="G348" s="21">
        <f t="shared" si="66"/>
        <v>0</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0.05</v>
      </c>
      <c r="F349" s="665"/>
      <c r="G349" s="21">
        <f t="shared" si="66"/>
        <v>0</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0.05</v>
      </c>
      <c r="F350" s="665"/>
      <c r="G350" s="21">
        <f t="shared" si="66"/>
        <v>0</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0.05</v>
      </c>
      <c r="F351" s="665"/>
      <c r="G351" s="21">
        <f t="shared" si="66"/>
        <v>0</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0.05</v>
      </c>
      <c r="F352" s="665"/>
      <c r="G352" s="21">
        <f t="shared" si="66"/>
        <v>0</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0.05</v>
      </c>
      <c r="F353" s="665"/>
      <c r="G353" s="21">
        <f t="shared" si="66"/>
        <v>0</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0.05</v>
      </c>
      <c r="F354" s="665"/>
      <c r="G354" s="21">
        <f t="shared" si="66"/>
        <v>0</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0.05</v>
      </c>
      <c r="F355" s="665"/>
      <c r="G355" s="21">
        <f t="shared" si="66"/>
        <v>0</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0.05</v>
      </c>
      <c r="F356" s="665"/>
      <c r="G356" s="21">
        <f t="shared" si="66"/>
        <v>0</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0.05</v>
      </c>
      <c r="F357" s="665"/>
      <c r="G357" s="21">
        <f t="shared" si="66"/>
        <v>0</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0.05</v>
      </c>
      <c r="F358" s="665"/>
      <c r="G358" s="21">
        <f t="shared" si="66"/>
        <v>0</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0.05</v>
      </c>
      <c r="F359" s="665"/>
      <c r="G359" s="21">
        <f t="shared" si="66"/>
        <v>0</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0.05</v>
      </c>
      <c r="F360" s="665"/>
      <c r="G360" s="21">
        <f t="shared" si="66"/>
        <v>0</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0.05</v>
      </c>
      <c r="F361" s="665"/>
      <c r="G361" s="21">
        <f t="shared" si="66"/>
        <v>0</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0.05</v>
      </c>
      <c r="F362" s="665"/>
      <c r="G362" s="21">
        <f t="shared" si="66"/>
        <v>0</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0.05</v>
      </c>
      <c r="F363" s="665"/>
      <c r="G363" s="21">
        <f t="shared" si="66"/>
        <v>0</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0.05</v>
      </c>
      <c r="F364" s="665"/>
      <c r="G364" s="21">
        <f t="shared" si="66"/>
        <v>0</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0.05</v>
      </c>
      <c r="F365" s="665"/>
      <c r="G365" s="21">
        <f t="shared" si="66"/>
        <v>0</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0.05</v>
      </c>
      <c r="F366" s="665"/>
      <c r="G366" s="21">
        <f t="shared" si="66"/>
        <v>0</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0.05</v>
      </c>
      <c r="F367" s="665"/>
      <c r="G367" s="21">
        <f t="shared" si="66"/>
        <v>0</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0.05</v>
      </c>
      <c r="F368" s="665"/>
      <c r="G368" s="21">
        <f t="shared" si="66"/>
        <v>0</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0.05</v>
      </c>
      <c r="F369" s="665"/>
      <c r="G369" s="21">
        <f t="shared" si="66"/>
        <v>0</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0.05</v>
      </c>
      <c r="F370" s="665"/>
      <c r="G370" s="21">
        <f t="shared" si="66"/>
        <v>0</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0.05</v>
      </c>
      <c r="F371" s="665"/>
      <c r="G371" s="21">
        <f t="shared" si="66"/>
        <v>0</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0.05</v>
      </c>
      <c r="F372" s="665"/>
      <c r="G372" s="21">
        <f t="shared" si="66"/>
        <v>0</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0.05</v>
      </c>
      <c r="F373" s="665"/>
      <c r="G373" s="21">
        <f t="shared" si="66"/>
        <v>0</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0.05</v>
      </c>
      <c r="F374" s="665"/>
      <c r="G374" s="21">
        <f t="shared" si="66"/>
        <v>0</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0.05</v>
      </c>
      <c r="F375" s="665"/>
      <c r="G375" s="21">
        <f t="shared" si="66"/>
        <v>0</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0.05</v>
      </c>
      <c r="F376" s="665"/>
      <c r="G376" s="21">
        <f t="shared" si="66"/>
        <v>0</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0.05</v>
      </c>
      <c r="F377" s="665"/>
      <c r="G377" s="21">
        <f t="shared" si="66"/>
        <v>0</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0.05</v>
      </c>
      <c r="F378" s="665"/>
      <c r="G378" s="21">
        <f t="shared" si="66"/>
        <v>0</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0.05</v>
      </c>
      <c r="F379" s="665"/>
      <c r="G379" s="21">
        <f t="shared" si="66"/>
        <v>0</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0.05</v>
      </c>
      <c r="F380" s="665"/>
      <c r="G380" s="21">
        <f t="shared" si="66"/>
        <v>0</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0.05</v>
      </c>
      <c r="F381" s="665"/>
      <c r="G381" s="21">
        <f t="shared" si="66"/>
        <v>0</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0.05</v>
      </c>
      <c r="F382" s="665"/>
      <c r="G382" s="21">
        <f t="shared" si="66"/>
        <v>0</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0.05</v>
      </c>
      <c r="F383" s="665"/>
      <c r="G383" s="21">
        <f t="shared" si="66"/>
        <v>0</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0.05</v>
      </c>
      <c r="F384" s="665"/>
      <c r="G384" s="21">
        <f t="shared" si="66"/>
        <v>0</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0.05</v>
      </c>
      <c r="F385" s="665"/>
      <c r="G385" s="21">
        <f t="shared" si="66"/>
        <v>0</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0.05</v>
      </c>
      <c r="F386" s="665"/>
      <c r="G386" s="21">
        <f t="shared" si="66"/>
        <v>0</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0.05</v>
      </c>
      <c r="F387" s="665"/>
      <c r="G387" s="21">
        <f t="shared" si="66"/>
        <v>0</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0.05</v>
      </c>
      <c r="F388" s="665"/>
      <c r="G388" s="21">
        <f t="shared" si="66"/>
        <v>0</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0.05</v>
      </c>
      <c r="F389" s="665"/>
      <c r="G389" s="21">
        <f t="shared" si="66"/>
        <v>0</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0.05</v>
      </c>
      <c r="F390" s="665"/>
      <c r="G390" s="21">
        <f t="shared" si="66"/>
        <v>0</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0.05</v>
      </c>
      <c r="F391" s="665"/>
      <c r="G391" s="21">
        <f t="shared" si="66"/>
        <v>0</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0.05</v>
      </c>
      <c r="F392" s="665"/>
      <c r="G392" s="21">
        <f t="shared" si="66"/>
        <v>0</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0.05</v>
      </c>
      <c r="F393" s="665"/>
      <c r="G393" s="21">
        <f t="shared" si="66"/>
        <v>0</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0.05</v>
      </c>
      <c r="F394" s="665"/>
      <c r="G394" s="21">
        <f t="shared" si="66"/>
        <v>0</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0.05</v>
      </c>
      <c r="F395" s="665"/>
      <c r="G395" s="21">
        <f t="shared" si="66"/>
        <v>0</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0.05</v>
      </c>
      <c r="F396" s="665"/>
      <c r="G396" s="21">
        <f t="shared" si="66"/>
        <v>0</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0.05</v>
      </c>
      <c r="F397" s="665"/>
      <c r="G397" s="21">
        <f t="shared" si="66"/>
        <v>0</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0.05</v>
      </c>
      <c r="F398" s="665"/>
      <c r="G398" s="21">
        <f t="shared" si="66"/>
        <v>0</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0.05</v>
      </c>
      <c r="F399" s="665"/>
      <c r="G399" s="21">
        <f t="shared" si="66"/>
        <v>0</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0.05</v>
      </c>
      <c r="F400" s="665"/>
      <c r="G400" s="21">
        <f t="shared" si="66"/>
        <v>0</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0.05</v>
      </c>
      <c r="F401" s="665"/>
      <c r="G401" s="21">
        <f t="shared" si="66"/>
        <v>0</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0.05</v>
      </c>
      <c r="F402" s="665"/>
      <c r="G402" s="21">
        <f t="shared" si="66"/>
        <v>0</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0.05</v>
      </c>
      <c r="F403" s="665"/>
      <c r="G403" s="21">
        <f t="shared" si="66"/>
        <v>0</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0.05</v>
      </c>
      <c r="F404" s="665"/>
      <c r="G404" s="21">
        <f t="shared" si="66"/>
        <v>0</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0.05</v>
      </c>
      <c r="F405" s="665"/>
      <c r="G405" s="21">
        <f t="shared" si="66"/>
        <v>0</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0.05</v>
      </c>
      <c r="F406" s="665"/>
      <c r="G406" s="21">
        <f t="shared" si="66"/>
        <v>0</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0.05</v>
      </c>
      <c r="F407" s="665"/>
      <c r="G407" s="21">
        <f t="shared" si="66"/>
        <v>0</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0.05</v>
      </c>
      <c r="F408" s="665"/>
      <c r="G408" s="21">
        <f t="shared" si="66"/>
        <v>0</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0.05</v>
      </c>
      <c r="F409" s="665"/>
      <c r="G409" s="21">
        <f t="shared" si="66"/>
        <v>0</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0.05</v>
      </c>
      <c r="F410" s="665"/>
      <c r="G410" s="21">
        <f t="shared" ref="G410:G473" si="76">(SUMIF($7:$7,F410,$8:$8)-SUMIF($7:$7,$F$24,$8:$8)+100)/100</f>
        <v>0</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0.05</v>
      </c>
      <c r="F411" s="665"/>
      <c r="G411" s="21">
        <f t="shared" si="76"/>
        <v>0</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0.05</v>
      </c>
      <c r="F412" s="665"/>
      <c r="G412" s="21">
        <f t="shared" si="76"/>
        <v>0</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0.05</v>
      </c>
      <c r="F413" s="665"/>
      <c r="G413" s="21">
        <f t="shared" si="76"/>
        <v>0</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0.05</v>
      </c>
      <c r="F414" s="665"/>
      <c r="G414" s="21">
        <f t="shared" si="76"/>
        <v>0</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0.05</v>
      </c>
      <c r="F415" s="665"/>
      <c r="G415" s="21">
        <f t="shared" si="76"/>
        <v>0</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0.05</v>
      </c>
      <c r="F416" s="665"/>
      <c r="G416" s="21">
        <f t="shared" si="76"/>
        <v>0</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0.05</v>
      </c>
      <c r="F417" s="665"/>
      <c r="G417" s="21">
        <f t="shared" si="76"/>
        <v>0</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0.05</v>
      </c>
      <c r="F418" s="665"/>
      <c r="G418" s="21">
        <f t="shared" si="76"/>
        <v>0</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0.05</v>
      </c>
      <c r="F419" s="665"/>
      <c r="G419" s="21">
        <f t="shared" si="76"/>
        <v>0</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0.05</v>
      </c>
      <c r="F420" s="665"/>
      <c r="G420" s="21">
        <f t="shared" si="76"/>
        <v>0</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0.05</v>
      </c>
      <c r="F421" s="665"/>
      <c r="G421" s="21">
        <f t="shared" si="76"/>
        <v>0</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0.05</v>
      </c>
      <c r="F422" s="665"/>
      <c r="G422" s="21">
        <f t="shared" si="76"/>
        <v>0</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0.05</v>
      </c>
      <c r="F423" s="665"/>
      <c r="G423" s="21">
        <f t="shared" si="76"/>
        <v>0</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0.05</v>
      </c>
      <c r="F424" s="665"/>
      <c r="G424" s="21">
        <f t="shared" si="76"/>
        <v>0</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0.05</v>
      </c>
      <c r="F425" s="665"/>
      <c r="G425" s="21">
        <f t="shared" si="76"/>
        <v>0</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0.05</v>
      </c>
      <c r="F426" s="665"/>
      <c r="G426" s="21">
        <f t="shared" si="76"/>
        <v>0</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0.05</v>
      </c>
      <c r="F427" s="665"/>
      <c r="G427" s="21">
        <f t="shared" si="76"/>
        <v>0</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0.05</v>
      </c>
      <c r="F428" s="665"/>
      <c r="G428" s="21">
        <f t="shared" si="76"/>
        <v>0</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0.05</v>
      </c>
      <c r="F429" s="665"/>
      <c r="G429" s="21">
        <f t="shared" si="76"/>
        <v>0</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0.05</v>
      </c>
      <c r="F430" s="665"/>
      <c r="G430" s="21">
        <f t="shared" si="76"/>
        <v>0</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0.05</v>
      </c>
      <c r="F431" s="665"/>
      <c r="G431" s="21">
        <f t="shared" si="76"/>
        <v>0</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0.05</v>
      </c>
      <c r="F432" s="665"/>
      <c r="G432" s="21">
        <f t="shared" si="76"/>
        <v>0</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0.05</v>
      </c>
      <c r="F433" s="665"/>
      <c r="G433" s="21">
        <f t="shared" si="76"/>
        <v>0</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0.05</v>
      </c>
      <c r="F434" s="665"/>
      <c r="G434" s="21">
        <f t="shared" si="76"/>
        <v>0</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0.05</v>
      </c>
      <c r="F435" s="665"/>
      <c r="G435" s="21">
        <f t="shared" si="76"/>
        <v>0</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0.05</v>
      </c>
      <c r="F436" s="665"/>
      <c r="G436" s="21">
        <f t="shared" si="76"/>
        <v>0</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0.05</v>
      </c>
      <c r="F437" s="665"/>
      <c r="G437" s="21">
        <f t="shared" si="76"/>
        <v>0</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0.05</v>
      </c>
      <c r="F438" s="665"/>
      <c r="G438" s="21">
        <f t="shared" si="76"/>
        <v>0</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0.05</v>
      </c>
      <c r="F439" s="665"/>
      <c r="G439" s="21">
        <f t="shared" si="76"/>
        <v>0</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0.05</v>
      </c>
      <c r="F440" s="665"/>
      <c r="G440" s="21">
        <f t="shared" si="76"/>
        <v>0</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0.05</v>
      </c>
      <c r="F441" s="665"/>
      <c r="G441" s="21">
        <f t="shared" si="76"/>
        <v>0</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0.05</v>
      </c>
      <c r="F442" s="665"/>
      <c r="G442" s="21">
        <f t="shared" si="76"/>
        <v>0</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0.05</v>
      </c>
      <c r="F443" s="665"/>
      <c r="G443" s="21">
        <f t="shared" si="76"/>
        <v>0</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0.05</v>
      </c>
      <c r="F444" s="665"/>
      <c r="G444" s="21">
        <f t="shared" si="76"/>
        <v>0</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0.05</v>
      </c>
      <c r="F445" s="665"/>
      <c r="G445" s="21">
        <f t="shared" si="76"/>
        <v>0</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0.05</v>
      </c>
      <c r="F446" s="665"/>
      <c r="G446" s="21">
        <f t="shared" si="76"/>
        <v>0</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0.05</v>
      </c>
      <c r="F447" s="665"/>
      <c r="G447" s="21">
        <f t="shared" si="76"/>
        <v>0</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0.05</v>
      </c>
      <c r="F448" s="665"/>
      <c r="G448" s="21">
        <f t="shared" si="76"/>
        <v>0</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0.05</v>
      </c>
      <c r="F449" s="665"/>
      <c r="G449" s="21">
        <f t="shared" si="76"/>
        <v>0</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0.05</v>
      </c>
      <c r="F450" s="665"/>
      <c r="G450" s="21">
        <f t="shared" si="76"/>
        <v>0</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0.05</v>
      </c>
      <c r="F451" s="665"/>
      <c r="G451" s="21">
        <f t="shared" si="76"/>
        <v>0</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0.05</v>
      </c>
      <c r="F452" s="665"/>
      <c r="G452" s="21">
        <f t="shared" si="76"/>
        <v>0</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0.05</v>
      </c>
      <c r="F453" s="665"/>
      <c r="G453" s="21">
        <f t="shared" si="76"/>
        <v>0</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0.05</v>
      </c>
      <c r="F454" s="665"/>
      <c r="G454" s="21">
        <f t="shared" si="76"/>
        <v>0</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0.05</v>
      </c>
      <c r="F455" s="665"/>
      <c r="G455" s="21">
        <f t="shared" si="76"/>
        <v>0</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0.05</v>
      </c>
      <c r="F456" s="665"/>
      <c r="G456" s="21">
        <f t="shared" si="76"/>
        <v>0</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0.05</v>
      </c>
      <c r="F457" s="665"/>
      <c r="G457" s="21">
        <f t="shared" si="76"/>
        <v>0</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0.05</v>
      </c>
      <c r="F458" s="665"/>
      <c r="G458" s="21">
        <f t="shared" si="76"/>
        <v>0</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0.05</v>
      </c>
      <c r="F459" s="665"/>
      <c r="G459" s="21">
        <f t="shared" si="76"/>
        <v>0</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0.05</v>
      </c>
      <c r="F460" s="665"/>
      <c r="G460" s="21">
        <f t="shared" si="76"/>
        <v>0</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0.05</v>
      </c>
      <c r="F461" s="665"/>
      <c r="G461" s="21">
        <f t="shared" si="76"/>
        <v>0</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0.05</v>
      </c>
      <c r="F462" s="665"/>
      <c r="G462" s="21">
        <f t="shared" si="76"/>
        <v>0</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0.05</v>
      </c>
      <c r="F463" s="665"/>
      <c r="G463" s="21">
        <f t="shared" si="76"/>
        <v>0</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0.05</v>
      </c>
      <c r="F464" s="665"/>
      <c r="G464" s="21">
        <f t="shared" si="76"/>
        <v>0</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0.05</v>
      </c>
      <c r="F465" s="665"/>
      <c r="G465" s="21">
        <f t="shared" si="76"/>
        <v>0</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0.05</v>
      </c>
      <c r="F466" s="665"/>
      <c r="G466" s="21">
        <f t="shared" si="76"/>
        <v>0</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0.05</v>
      </c>
      <c r="F467" s="665"/>
      <c r="G467" s="21">
        <f t="shared" si="76"/>
        <v>0</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0.05</v>
      </c>
      <c r="F468" s="665"/>
      <c r="G468" s="21">
        <f t="shared" si="76"/>
        <v>0</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0.05</v>
      </c>
      <c r="F469" s="665"/>
      <c r="G469" s="21">
        <f t="shared" si="76"/>
        <v>0</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0.05</v>
      </c>
      <c r="F470" s="665"/>
      <c r="G470" s="21">
        <f t="shared" si="76"/>
        <v>0</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0.05</v>
      </c>
      <c r="F471" s="665"/>
      <c r="G471" s="21">
        <f t="shared" si="76"/>
        <v>0</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0.05</v>
      </c>
      <c r="F472" s="665"/>
      <c r="G472" s="21">
        <f t="shared" si="76"/>
        <v>0</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0.05</v>
      </c>
      <c r="F473" s="665"/>
      <c r="G473" s="21">
        <f t="shared" si="76"/>
        <v>0</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0.05</v>
      </c>
      <c r="F474" s="665"/>
      <c r="G474" s="21">
        <f t="shared" ref="G474:G524" si="87">(SUMIF($7:$7,F474,$8:$8)-SUMIF($7:$7,$F$24,$8:$8)+100)/100</f>
        <v>0</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0.05</v>
      </c>
      <c r="F475" s="665"/>
      <c r="G475" s="21">
        <f t="shared" si="87"/>
        <v>0</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0.05</v>
      </c>
      <c r="F476" s="665"/>
      <c r="G476" s="21">
        <f t="shared" si="87"/>
        <v>0</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0.05</v>
      </c>
      <c r="F477" s="665"/>
      <c r="G477" s="21">
        <f t="shared" si="87"/>
        <v>0</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0.05</v>
      </c>
      <c r="F478" s="665"/>
      <c r="G478" s="21">
        <f t="shared" si="87"/>
        <v>0</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0.05</v>
      </c>
      <c r="F479" s="665"/>
      <c r="G479" s="21">
        <f t="shared" si="87"/>
        <v>0</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0.05</v>
      </c>
      <c r="F480" s="665"/>
      <c r="G480" s="21">
        <f t="shared" si="87"/>
        <v>0</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0.05</v>
      </c>
      <c r="F481" s="665"/>
      <c r="G481" s="21">
        <f t="shared" si="87"/>
        <v>0</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0.05</v>
      </c>
      <c r="F482" s="665"/>
      <c r="G482" s="21">
        <f t="shared" si="87"/>
        <v>0</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0.05</v>
      </c>
      <c r="F483" s="665"/>
      <c r="G483" s="21">
        <f t="shared" si="87"/>
        <v>0</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0.05</v>
      </c>
      <c r="F484" s="665"/>
      <c r="G484" s="21">
        <f t="shared" si="87"/>
        <v>0</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0.05</v>
      </c>
      <c r="F485" s="665"/>
      <c r="G485" s="21">
        <f t="shared" si="87"/>
        <v>0</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0.05</v>
      </c>
      <c r="F486" s="665"/>
      <c r="G486" s="21">
        <f t="shared" si="87"/>
        <v>0</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0.05</v>
      </c>
      <c r="F487" s="665"/>
      <c r="G487" s="21">
        <f t="shared" si="87"/>
        <v>0</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0.05</v>
      </c>
      <c r="F488" s="665"/>
      <c r="G488" s="21">
        <f t="shared" si="87"/>
        <v>0</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0.05</v>
      </c>
      <c r="F489" s="665"/>
      <c r="G489" s="21">
        <f t="shared" si="87"/>
        <v>0</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0.05</v>
      </c>
      <c r="F490" s="665"/>
      <c r="G490" s="21">
        <f t="shared" si="87"/>
        <v>0</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0.05</v>
      </c>
      <c r="F491" s="665"/>
      <c r="G491" s="21">
        <f t="shared" si="87"/>
        <v>0</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0.05</v>
      </c>
      <c r="F492" s="665"/>
      <c r="G492" s="21">
        <f t="shared" si="87"/>
        <v>0</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0.05</v>
      </c>
      <c r="F493" s="665"/>
      <c r="G493" s="21">
        <f t="shared" si="87"/>
        <v>0</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0.05</v>
      </c>
      <c r="F494" s="665"/>
      <c r="G494" s="21">
        <f t="shared" si="87"/>
        <v>0</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0.05</v>
      </c>
      <c r="F495" s="665"/>
      <c r="G495" s="21">
        <f t="shared" si="87"/>
        <v>0</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0.05</v>
      </c>
      <c r="F496" s="665"/>
      <c r="G496" s="21">
        <f t="shared" si="87"/>
        <v>0</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0.05</v>
      </c>
      <c r="F497" s="665"/>
      <c r="G497" s="21">
        <f t="shared" si="87"/>
        <v>0</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0.05</v>
      </c>
      <c r="F498" s="665"/>
      <c r="G498" s="21">
        <f t="shared" si="87"/>
        <v>0</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0.05</v>
      </c>
      <c r="F499" s="665"/>
      <c r="G499" s="21">
        <f t="shared" si="87"/>
        <v>0</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0.05</v>
      </c>
      <c r="F500" s="665"/>
      <c r="G500" s="21">
        <f t="shared" si="87"/>
        <v>0</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0.05</v>
      </c>
      <c r="F501" s="665"/>
      <c r="G501" s="21">
        <f t="shared" si="87"/>
        <v>0</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0.05</v>
      </c>
      <c r="F502" s="665"/>
      <c r="G502" s="21">
        <f t="shared" si="87"/>
        <v>0</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0.05</v>
      </c>
      <c r="F503" s="665"/>
      <c r="G503" s="21">
        <f t="shared" si="87"/>
        <v>0</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0.05</v>
      </c>
      <c r="F504" s="665"/>
      <c r="G504" s="21">
        <f t="shared" si="87"/>
        <v>0</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0.05</v>
      </c>
      <c r="F505" s="665"/>
      <c r="G505" s="21">
        <f t="shared" si="87"/>
        <v>0</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0.05</v>
      </c>
      <c r="F506" s="665"/>
      <c r="G506" s="21">
        <f t="shared" si="87"/>
        <v>0</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0.05</v>
      </c>
      <c r="F507" s="665"/>
      <c r="G507" s="21">
        <f t="shared" si="87"/>
        <v>0</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0.05</v>
      </c>
      <c r="F508" s="665"/>
      <c r="G508" s="21">
        <f t="shared" si="87"/>
        <v>0</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0.05</v>
      </c>
      <c r="F509" s="665"/>
      <c r="G509" s="21">
        <f t="shared" si="87"/>
        <v>0</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0.05</v>
      </c>
      <c r="F510" s="665"/>
      <c r="G510" s="21">
        <f t="shared" si="87"/>
        <v>0</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0.05</v>
      </c>
      <c r="F511" s="665"/>
      <c r="G511" s="21">
        <f t="shared" si="87"/>
        <v>0</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0.05</v>
      </c>
      <c r="F512" s="665"/>
      <c r="G512" s="21">
        <f t="shared" si="87"/>
        <v>0</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0.05</v>
      </c>
      <c r="F513" s="665"/>
      <c r="G513" s="21">
        <f t="shared" si="87"/>
        <v>0</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0.05</v>
      </c>
      <c r="F514" s="665"/>
      <c r="G514" s="21">
        <f t="shared" si="87"/>
        <v>0</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0.05</v>
      </c>
      <c r="F515" s="665"/>
      <c r="G515" s="21">
        <f t="shared" si="87"/>
        <v>0</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0.05</v>
      </c>
      <c r="F516" s="665"/>
      <c r="G516" s="21">
        <f t="shared" si="87"/>
        <v>0</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0.05</v>
      </c>
      <c r="F517" s="665"/>
      <c r="G517" s="21">
        <f t="shared" si="87"/>
        <v>0</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0.05</v>
      </c>
      <c r="F518" s="665"/>
      <c r="G518" s="21">
        <f t="shared" si="87"/>
        <v>0</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0.05</v>
      </c>
      <c r="F519" s="665"/>
      <c r="G519" s="21">
        <f t="shared" si="87"/>
        <v>0</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0.05</v>
      </c>
      <c r="F520" s="665"/>
      <c r="G520" s="21">
        <f t="shared" si="87"/>
        <v>0</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0.05</v>
      </c>
      <c r="F521" s="665"/>
      <c r="G521" s="21">
        <f t="shared" si="87"/>
        <v>0</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0.05</v>
      </c>
      <c r="F522" s="665"/>
      <c r="G522" s="21">
        <f t="shared" si="87"/>
        <v>0</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0.05</v>
      </c>
      <c r="F523" s="665"/>
      <c r="G523" s="21">
        <f t="shared" si="87"/>
        <v>0</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0.05</v>
      </c>
      <c r="F524" s="665"/>
      <c r="G524" s="21">
        <f t="shared" si="87"/>
        <v>0</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800"/>
      <c r="B4" s="3801"/>
      <c r="C4" s="3801"/>
      <c r="D4" s="3802"/>
      <c r="E4" s="3802"/>
      <c r="F4" s="3802"/>
      <c r="G4" s="3802"/>
      <c r="H4" s="3802"/>
      <c r="I4" s="3802"/>
      <c r="J4" s="380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97" t="s">
        <v>1960</v>
      </c>
      <c r="X8" s="379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99"/>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9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3235</v>
      </c>
      <c r="B12" s="3303" t="s">
        <v>3236</v>
      </c>
      <c r="C12" s="3304"/>
      <c r="D12" s="3305" t="s">
        <v>3237</v>
      </c>
      <c r="E12" s="3306" t="s">
        <v>3238</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3239</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3240</v>
      </c>
      <c r="G14" s="3310" t="s">
        <v>3240</v>
      </c>
      <c r="H14" s="3310" t="s">
        <v>3240</v>
      </c>
      <c r="I14" s="3310" t="s">
        <v>3240</v>
      </c>
      <c r="J14" s="3310" t="s">
        <v>3240</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3241</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t="e">
        <f>ROUND(G18/I18,2)</f>
        <v>#DIV/0!</v>
      </c>
      <c r="F17" s="3320" t="s">
        <v>3247</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3245</v>
      </c>
      <c r="E18" s="3327"/>
      <c r="F18" s="3322" t="s">
        <v>3248</v>
      </c>
      <c r="G18" s="3326">
        <f>ROUND(1-(1/(POWER(1+G24,E18))),4)</f>
        <v>0</v>
      </c>
      <c r="H18" s="3322" t="s">
        <v>3250</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3246</v>
      </c>
      <c r="E19" s="3336"/>
      <c r="F19" s="3337" t="s">
        <v>3249</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04" t="s">
        <v>3251</v>
      </c>
      <c r="B20" s="167" t="s">
        <v>1994</v>
      </c>
      <c r="C20" s="3323" t="e">
        <f>ROUND(IF(F21="与级别开发程度一致",0,(G21-E21)/C21),0)</f>
        <v>#DIV/0!</v>
      </c>
      <c r="D20" s="3339" t="s">
        <v>1998</v>
      </c>
      <c r="E20" s="3340"/>
      <c r="F20" s="3810" t="s">
        <v>1995</v>
      </c>
      <c r="G20" s="3811"/>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80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SUMIF(修正!C20:C53,E3,修正!E20:E53)</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45965</v>
      </c>
      <c r="H23" s="3341"/>
      <c r="I23" s="3342" t="str">
        <f>IF(H23="季度增幅（自定义）",SUMIF(N25:N28,E2,O25:O28),"")</f>
        <v/>
      </c>
      <c r="J23" s="3444"/>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3330</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3255</v>
      </c>
      <c r="G33" s="2097"/>
      <c r="H33" s="2097"/>
      <c r="I33" s="2097"/>
      <c r="J33" s="2098"/>
      <c r="K33" s="1117"/>
      <c r="L33" s="3347" t="s">
        <v>3258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3259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3260</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8"/>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10"/>
      <c r="K37" s="3357" t="s">
        <v>3261</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9"/>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09"/>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8"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2609</v>
      </c>
      <c r="B91" s="3376">
        <f>1+E93</f>
        <v>1</v>
      </c>
      <c r="C91" s="3369"/>
      <c r="D91" s="3370"/>
      <c r="E91" s="1812"/>
      <c r="F91" s="1812"/>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6" t="s">
        <v>3289</v>
      </c>
      <c r="B103" s="3806"/>
      <c r="C103" s="3806"/>
      <c r="D103" s="3806"/>
      <c r="E103" s="3806"/>
      <c r="F103" s="3806"/>
      <c r="G103" s="3806"/>
      <c r="H103" s="3806"/>
      <c r="I103" s="3806"/>
      <c r="J103" s="3806"/>
      <c r="K103" s="3388"/>
      <c r="L103" s="3388"/>
      <c r="M103" s="3388"/>
      <c r="N103" s="3388"/>
    </row>
    <row r="104" spans="1:14">
      <c r="A104" s="3807" t="s">
        <v>3290</v>
      </c>
      <c r="B104" s="3807" t="s">
        <v>3291</v>
      </c>
      <c r="C104" s="3389" t="s">
        <v>3292</v>
      </c>
      <c r="D104" s="3390"/>
      <c r="E104" s="3390"/>
      <c r="F104" s="3390"/>
      <c r="G104" s="3390"/>
      <c r="H104" s="3390"/>
      <c r="I104" s="3390"/>
      <c r="J104" s="3391"/>
      <c r="K104" s="3392"/>
      <c r="L104" s="3392"/>
      <c r="M104" s="3392"/>
      <c r="N104" s="3392"/>
    </row>
    <row r="105" spans="1:14">
      <c r="A105" s="3807"/>
      <c r="B105" s="3807"/>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93"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4"/>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6" t="s">
        <v>3306</v>
      </c>
      <c r="B113" s="3796"/>
      <c r="C113" s="3796"/>
      <c r="D113" s="3796"/>
      <c r="E113" s="3796"/>
      <c r="F113" s="3796"/>
      <c r="G113" s="3796"/>
      <c r="H113" s="3796"/>
      <c r="I113" s="3796"/>
      <c r="J113" s="379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0</v>
      </c>
      <c r="C116" s="3398" t="s">
        <v>3308</v>
      </c>
      <c r="D116" s="3399">
        <f>SUMPRODUCT((A118:A122=F116)*(B117:M117=H116)*B118:M122)</f>
        <v>0</v>
      </c>
      <c r="E116" s="1998" t="s">
        <v>3309</v>
      </c>
      <c r="F116" s="3400">
        <f>E2</f>
        <v>0</v>
      </c>
      <c r="G116" s="1998" t="s">
        <v>3310</v>
      </c>
      <c r="H116" s="3400">
        <f>G2</f>
        <v>0</v>
      </c>
      <c r="I116" s="1998"/>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2609</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2591</v>
      </c>
      <c r="B1" s="3070" t="s">
        <v>2592</v>
      </c>
      <c r="C1" s="3070" t="s">
        <v>2593</v>
      </c>
      <c r="D1" s="3070" t="s">
        <v>2594</v>
      </c>
      <c r="E1" s="3070" t="s">
        <v>2595</v>
      </c>
      <c r="F1" s="3070" t="s">
        <v>2596</v>
      </c>
      <c r="G1" s="3070" t="s">
        <v>2597</v>
      </c>
      <c r="H1" s="3070" t="s">
        <v>2598</v>
      </c>
      <c r="I1" s="3070" t="s">
        <v>2599</v>
      </c>
      <c r="J1" s="3070" t="s">
        <v>2600</v>
      </c>
      <c r="K1" s="3070" t="s">
        <v>2601</v>
      </c>
      <c r="L1" s="3070" t="s">
        <v>2602</v>
      </c>
      <c r="M1" s="3071" t="s">
        <v>2603</v>
      </c>
    </row>
    <row r="2" spans="1:13" ht="19.5" customHeight="1">
      <c r="A2" s="3073" t="s">
        <v>2604</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2605</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2606</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2607</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2608</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2609</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2610</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2611</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2612</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2613</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2614</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2615</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2616</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2617</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2618</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2619</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2620</v>
      </c>
      <c r="B18" s="3095"/>
      <c r="C18" s="3096"/>
      <c r="D18" s="3096"/>
      <c r="E18" s="3095"/>
      <c r="F18" s="3096"/>
      <c r="G18" s="3096"/>
    </row>
    <row r="19" spans="1:13" ht="19.5" customHeight="1" thickBot="1">
      <c r="A19" s="3093" t="s">
        <v>2621</v>
      </c>
      <c r="B19" s="3098" t="s">
        <v>2622</v>
      </c>
      <c r="C19" s="3098" t="s">
        <v>2623</v>
      </c>
      <c r="D19" s="3099"/>
      <c r="E19" s="3093" t="s">
        <v>2624</v>
      </c>
      <c r="F19" s="3100"/>
      <c r="G19" s="3100"/>
    </row>
    <row r="20" spans="1:13" ht="19.5" customHeight="1">
      <c r="A20" s="3823" t="s">
        <v>2604</v>
      </c>
      <c r="B20" s="3816" t="s">
        <v>2625</v>
      </c>
      <c r="C20" s="3475" t="s">
        <v>2436</v>
      </c>
      <c r="D20" s="3475"/>
      <c r="E20" s="3103">
        <v>1</v>
      </c>
      <c r="F20" s="3104" t="s">
        <v>2437</v>
      </c>
      <c r="G20" s="3104"/>
    </row>
    <row r="21" spans="1:13" ht="19.5" customHeight="1">
      <c r="A21" s="3824"/>
      <c r="B21" s="3812"/>
      <c r="C21" s="3465" t="s">
        <v>2438</v>
      </c>
      <c r="D21" s="3465"/>
      <c r="E21" s="3107">
        <v>1</v>
      </c>
      <c r="F21" s="3104" t="s">
        <v>2439</v>
      </c>
      <c r="G21" s="3104"/>
    </row>
    <row r="22" spans="1:13" ht="19.5" customHeight="1">
      <c r="A22" s="3824"/>
      <c r="B22" s="3812"/>
      <c r="C22" s="3465" t="s">
        <v>2440</v>
      </c>
      <c r="D22" s="3465"/>
      <c r="E22" s="3107">
        <v>0.9</v>
      </c>
      <c r="F22" s="3104" t="s">
        <v>2441</v>
      </c>
      <c r="G22" s="3104"/>
    </row>
    <row r="23" spans="1:13" ht="19.5" customHeight="1">
      <c r="A23" s="3824"/>
      <c r="B23" s="3812"/>
      <c r="C23" s="3465" t="s">
        <v>2442</v>
      </c>
      <c r="D23" s="3465"/>
      <c r="E23" s="3107">
        <v>0.9</v>
      </c>
      <c r="F23" s="3104" t="s">
        <v>2443</v>
      </c>
      <c r="G23" s="3104"/>
    </row>
    <row r="24" spans="1:13" ht="19.5" customHeight="1">
      <c r="A24" s="3824"/>
      <c r="B24" s="3812"/>
      <c r="C24" s="3465" t="s">
        <v>2444</v>
      </c>
      <c r="D24" s="3465"/>
      <c r="E24" s="3107">
        <v>0.8</v>
      </c>
      <c r="F24" s="3104" t="s">
        <v>2445</v>
      </c>
      <c r="G24" s="3104"/>
    </row>
    <row r="25" spans="1:13" ht="19.5" customHeight="1">
      <c r="A25" s="3824"/>
      <c r="B25" s="3812"/>
      <c r="C25" s="3465" t="s">
        <v>2446</v>
      </c>
      <c r="D25" s="3465"/>
      <c r="E25" s="3107">
        <v>0.8</v>
      </c>
      <c r="F25" s="3104"/>
      <c r="G25" s="3104"/>
    </row>
    <row r="26" spans="1:13" ht="19.5" customHeight="1">
      <c r="A26" s="3824"/>
      <c r="B26" s="3812"/>
      <c r="C26" s="3468" t="s">
        <v>3404</v>
      </c>
      <c r="D26" s="3468"/>
      <c r="E26" s="3469">
        <v>0.43</v>
      </c>
      <c r="F26" s="3104"/>
      <c r="G26" s="3104"/>
    </row>
    <row r="27" spans="1:13" ht="19.5" customHeight="1" thickBot="1">
      <c r="A27" s="3825"/>
      <c r="B27" s="3817"/>
      <c r="C27" s="3470" t="s">
        <v>3405</v>
      </c>
      <c r="D27" s="3470"/>
      <c r="E27" s="3471">
        <f>E26*0.9</f>
        <v>0.38700000000000001</v>
      </c>
      <c r="F27" s="3104" t="s">
        <v>2447</v>
      </c>
      <c r="G27" s="3104"/>
    </row>
    <row r="28" spans="1:13" ht="19.5" customHeight="1" thickBot="1">
      <c r="A28" s="3467" t="s">
        <v>2626</v>
      </c>
      <c r="B28" s="3466" t="s">
        <v>2625</v>
      </c>
      <c r="C28" s="3472" t="s">
        <v>2627</v>
      </c>
      <c r="D28" s="3473"/>
      <c r="E28" s="3474">
        <v>1</v>
      </c>
      <c r="F28" s="3104" t="s">
        <v>2448</v>
      </c>
      <c r="G28" s="3104"/>
    </row>
    <row r="29" spans="1:13" ht="19.5" customHeight="1">
      <c r="A29" s="3818" t="s">
        <v>2628</v>
      </c>
      <c r="B29" s="3821" t="s">
        <v>2609</v>
      </c>
      <c r="C29" s="3101" t="s">
        <v>2449</v>
      </c>
      <c r="D29" s="3102"/>
      <c r="E29" s="3103">
        <v>1</v>
      </c>
      <c r="F29" s="3104" t="s">
        <v>2450</v>
      </c>
      <c r="G29" s="3104"/>
    </row>
    <row r="30" spans="1:13" ht="19.5" customHeight="1">
      <c r="A30" s="3819"/>
      <c r="B30" s="3815"/>
      <c r="C30" s="3105" t="s">
        <v>2451</v>
      </c>
      <c r="D30" s="3106"/>
      <c r="E30" s="3107">
        <v>1</v>
      </c>
      <c r="F30" s="3104" t="s">
        <v>2452</v>
      </c>
      <c r="G30" s="3104"/>
    </row>
    <row r="31" spans="1:13" ht="19.5" customHeight="1">
      <c r="A31" s="3819"/>
      <c r="B31" s="3815"/>
      <c r="C31" s="3105" t="s">
        <v>2453</v>
      </c>
      <c r="D31" s="3106"/>
      <c r="E31" s="3107">
        <v>0.8</v>
      </c>
      <c r="F31" s="3104" t="s">
        <v>2454</v>
      </c>
      <c r="G31" s="3104"/>
    </row>
    <row r="32" spans="1:13" ht="19.5" customHeight="1">
      <c r="A32" s="3819"/>
      <c r="B32" s="3815"/>
      <c r="C32" s="3105" t="s">
        <v>2455</v>
      </c>
      <c r="D32" s="3106"/>
      <c r="E32" s="3107">
        <v>0.8</v>
      </c>
      <c r="F32" s="3104" t="s">
        <v>2456</v>
      </c>
      <c r="G32" s="3104"/>
    </row>
    <row r="33" spans="1:7" ht="19.5" customHeight="1">
      <c r="A33" s="3819"/>
      <c r="B33" s="3815"/>
      <c r="C33" s="3105" t="s">
        <v>2457</v>
      </c>
      <c r="D33" s="3106"/>
      <c r="E33" s="3107">
        <v>0.8</v>
      </c>
      <c r="F33" s="3104" t="s">
        <v>2458</v>
      </c>
      <c r="G33" s="3104"/>
    </row>
    <row r="34" spans="1:7" ht="19.5" customHeight="1">
      <c r="A34" s="3819"/>
      <c r="B34" s="3815"/>
      <c r="C34" s="3105" t="s">
        <v>2459</v>
      </c>
      <c r="D34" s="3106"/>
      <c r="E34" s="3107">
        <v>0.7</v>
      </c>
      <c r="F34" s="3104" t="s">
        <v>2460</v>
      </c>
      <c r="G34" s="3104"/>
    </row>
    <row r="35" spans="1:7" ht="19.5" customHeight="1">
      <c r="A35" s="3819"/>
      <c r="B35" s="3815"/>
      <c r="C35" s="3105" t="s">
        <v>2461</v>
      </c>
      <c r="D35" s="3106"/>
      <c r="E35" s="3107">
        <v>0.8</v>
      </c>
      <c r="F35" s="3104" t="s">
        <v>2462</v>
      </c>
      <c r="G35" s="3104"/>
    </row>
    <row r="36" spans="1:7" ht="19.5" customHeight="1">
      <c r="A36" s="3819"/>
      <c r="B36" s="3815"/>
      <c r="C36" s="3105" t="s">
        <v>2463</v>
      </c>
      <c r="D36" s="3106"/>
      <c r="E36" s="3107">
        <v>0.6</v>
      </c>
      <c r="F36" s="3104" t="s">
        <v>2464</v>
      </c>
      <c r="G36" s="3104"/>
    </row>
    <row r="37" spans="1:7" ht="19.5" customHeight="1">
      <c r="A37" s="3819"/>
      <c r="B37" s="3815"/>
      <c r="C37" s="3105" t="s">
        <v>2465</v>
      </c>
      <c r="D37" s="3106"/>
      <c r="E37" s="3107">
        <v>0.2</v>
      </c>
      <c r="F37" s="3104" t="s">
        <v>2466</v>
      </c>
      <c r="G37" s="3104"/>
    </row>
    <row r="38" spans="1:7" ht="19.5" customHeight="1">
      <c r="A38" s="3819"/>
      <c r="B38" s="3815"/>
      <c r="C38" s="3105" t="s">
        <v>2467</v>
      </c>
      <c r="D38" s="3106"/>
      <c r="E38" s="3107">
        <v>0.2</v>
      </c>
      <c r="F38" s="3104" t="s">
        <v>2468</v>
      </c>
      <c r="G38" s="3104"/>
    </row>
    <row r="39" spans="1:7" ht="19.5" customHeight="1">
      <c r="A39" s="3819"/>
      <c r="B39" s="3813" t="s">
        <v>2629</v>
      </c>
      <c r="C39" s="3105" t="s">
        <v>2469</v>
      </c>
      <c r="D39" s="3106"/>
      <c r="E39" s="3107">
        <v>0.6</v>
      </c>
      <c r="F39" s="3104" t="s">
        <v>2470</v>
      </c>
      <c r="G39" s="3104"/>
    </row>
    <row r="40" spans="1:7" ht="19.5" customHeight="1">
      <c r="A40" s="3819"/>
      <c r="B40" s="3815"/>
      <c r="C40" s="3105" t="s">
        <v>2471</v>
      </c>
      <c r="D40" s="3106"/>
      <c r="E40" s="3107">
        <v>0.6</v>
      </c>
      <c r="F40" s="3104" t="s">
        <v>2472</v>
      </c>
      <c r="G40" s="3104"/>
    </row>
    <row r="41" spans="1:7" ht="19.5" customHeight="1" thickBot="1">
      <c r="A41" s="3820"/>
      <c r="B41" s="3822"/>
      <c r="C41" s="3108" t="s">
        <v>2473</v>
      </c>
      <c r="D41" s="3109"/>
      <c r="E41" s="3110">
        <v>0.6</v>
      </c>
      <c r="F41" s="3104" t="s">
        <v>2474</v>
      </c>
      <c r="G41" s="3104"/>
    </row>
    <row r="42" spans="1:7" ht="19.5" customHeight="1" thickBot="1">
      <c r="A42" s="3111" t="s">
        <v>2606</v>
      </c>
      <c r="B42" s="3112" t="s">
        <v>2606</v>
      </c>
      <c r="C42" s="3113" t="s">
        <v>2630</v>
      </c>
      <c r="D42" s="3114"/>
      <c r="E42" s="3115">
        <v>1</v>
      </c>
      <c r="F42" s="3104" t="s">
        <v>2475</v>
      </c>
      <c r="G42" s="3104"/>
    </row>
    <row r="43" spans="1:7" ht="19.5" customHeight="1">
      <c r="A43" s="3823" t="s">
        <v>2607</v>
      </c>
      <c r="B43" s="3821" t="s">
        <v>2631</v>
      </c>
      <c r="C43" s="3101" t="s">
        <v>2476</v>
      </c>
      <c r="D43" s="3102"/>
      <c r="E43" s="3103">
        <v>1</v>
      </c>
      <c r="F43" s="3104" t="s">
        <v>2477</v>
      </c>
      <c r="G43" s="3104"/>
    </row>
    <row r="44" spans="1:7" ht="19.5" customHeight="1">
      <c r="A44" s="3824"/>
      <c r="B44" s="3815"/>
      <c r="C44" s="3105" t="s">
        <v>2478</v>
      </c>
      <c r="D44" s="3106"/>
      <c r="E44" s="3107">
        <v>1</v>
      </c>
      <c r="F44" s="3104" t="s">
        <v>2479</v>
      </c>
      <c r="G44" s="3104"/>
    </row>
    <row r="45" spans="1:7" ht="19.5" customHeight="1">
      <c r="A45" s="3824"/>
      <c r="B45" s="3814"/>
      <c r="C45" s="3105" t="s">
        <v>2480</v>
      </c>
      <c r="D45" s="3106"/>
      <c r="E45" s="3107">
        <v>1.5</v>
      </c>
      <c r="F45" s="3104" t="s">
        <v>2481</v>
      </c>
      <c r="G45" s="3104"/>
    </row>
    <row r="46" spans="1:7" ht="19.5" customHeight="1">
      <c r="A46" s="3824"/>
      <c r="B46" s="3116" t="s">
        <v>2632</v>
      </c>
      <c r="C46" s="3105" t="s">
        <v>2633</v>
      </c>
      <c r="D46" s="3106"/>
      <c r="E46" s="3107">
        <v>2</v>
      </c>
      <c r="F46" s="3104" t="s">
        <v>2482</v>
      </c>
      <c r="G46" s="3104"/>
    </row>
    <row r="47" spans="1:7" ht="19.5" customHeight="1">
      <c r="A47" s="3824"/>
      <c r="B47" s="3813" t="s">
        <v>2634</v>
      </c>
      <c r="C47" s="3105" t="s">
        <v>2483</v>
      </c>
      <c r="D47" s="3106"/>
      <c r="E47" s="3107">
        <v>1</v>
      </c>
      <c r="F47" s="3104" t="s">
        <v>2484</v>
      </c>
      <c r="G47" s="3104"/>
    </row>
    <row r="48" spans="1:7" ht="19.5" customHeight="1">
      <c r="A48" s="3824"/>
      <c r="B48" s="3815"/>
      <c r="C48" s="3105" t="s">
        <v>2485</v>
      </c>
      <c r="D48" s="3106"/>
      <c r="E48" s="3107">
        <v>1</v>
      </c>
      <c r="F48" s="3104" t="s">
        <v>2486</v>
      </c>
      <c r="G48" s="3104"/>
    </row>
    <row r="49" spans="1:7" ht="19.5" customHeight="1">
      <c r="A49" s="3824"/>
      <c r="B49" s="3815"/>
      <c r="C49" s="3105" t="s">
        <v>2487</v>
      </c>
      <c r="D49" s="3106"/>
      <c r="E49" s="3107">
        <v>1</v>
      </c>
      <c r="F49" s="3104" t="s">
        <v>2488</v>
      </c>
      <c r="G49" s="3104"/>
    </row>
    <row r="50" spans="1:7" ht="19.5" customHeight="1">
      <c r="A50" s="3824"/>
      <c r="B50" s="3815"/>
      <c r="C50" s="3105" t="s">
        <v>2489</v>
      </c>
      <c r="D50" s="3106"/>
      <c r="E50" s="3107">
        <v>1</v>
      </c>
      <c r="F50" s="3104" t="s">
        <v>2490</v>
      </c>
      <c r="G50" s="3104"/>
    </row>
    <row r="51" spans="1:7" ht="19.5" customHeight="1">
      <c r="A51" s="3824"/>
      <c r="B51" s="3815"/>
      <c r="C51" s="3105" t="s">
        <v>2491</v>
      </c>
      <c r="D51" s="3106"/>
      <c r="E51" s="3107">
        <v>1</v>
      </c>
      <c r="F51" s="3104" t="s">
        <v>2492</v>
      </c>
      <c r="G51" s="3104"/>
    </row>
    <row r="52" spans="1:7" ht="19.5" customHeight="1">
      <c r="A52" s="3824"/>
      <c r="B52" s="3815"/>
      <c r="C52" s="3105" t="s">
        <v>2493</v>
      </c>
      <c r="D52" s="3106"/>
      <c r="E52" s="3107">
        <v>1</v>
      </c>
      <c r="F52" s="3104" t="s">
        <v>2494</v>
      </c>
      <c r="G52" s="3104"/>
    </row>
    <row r="53" spans="1:7" ht="19.5" customHeight="1" thickBot="1">
      <c r="A53" s="3825"/>
      <c r="B53" s="3822"/>
      <c r="C53" s="3108" t="s">
        <v>2495</v>
      </c>
      <c r="D53" s="3109"/>
      <c r="E53" s="3110">
        <v>1</v>
      </c>
      <c r="F53" s="3104" t="s">
        <v>2496</v>
      </c>
      <c r="G53" s="3104"/>
    </row>
    <row r="54" spans="1:7" ht="19.5" customHeight="1">
      <c r="A54" s="3117"/>
      <c r="B54" s="3117"/>
      <c r="C54" s="3117"/>
      <c r="D54" s="3117"/>
      <c r="E54" s="3117"/>
      <c r="F54" s="3117"/>
      <c r="G54" s="3117"/>
    </row>
    <row r="56" spans="1:7" ht="19.5" customHeight="1">
      <c r="A56" s="3118"/>
      <c r="B56" s="3090" t="s">
        <v>2635</v>
      </c>
      <c r="C56" s="3090" t="s">
        <v>2635</v>
      </c>
      <c r="D56" s="3090" t="s">
        <v>2635</v>
      </c>
      <c r="E56" s="3093" t="s">
        <v>2635</v>
      </c>
      <c r="F56" s="3093" t="s">
        <v>2636</v>
      </c>
      <c r="G56" s="3093" t="s">
        <v>2637</v>
      </c>
    </row>
    <row r="57" spans="1:7" ht="19.5" customHeight="1">
      <c r="A57" s="3119"/>
      <c r="B57" s="3093" t="s">
        <v>2604</v>
      </c>
      <c r="C57" s="3093" t="s">
        <v>2604</v>
      </c>
      <c r="D57" s="3093" t="s">
        <v>2604</v>
      </c>
      <c r="E57" s="3090" t="s">
        <v>2605</v>
      </c>
      <c r="F57" s="3090" t="s">
        <v>2607</v>
      </c>
      <c r="G57" s="3090" t="s">
        <v>2638</v>
      </c>
    </row>
    <row r="58" spans="1:7" ht="19.5" customHeight="1">
      <c r="A58" s="3120"/>
      <c r="B58" s="3090">
        <v>1</v>
      </c>
      <c r="C58" s="3090">
        <v>2</v>
      </c>
      <c r="D58" s="3090">
        <v>3</v>
      </c>
      <c r="E58" s="3121" t="s">
        <v>2639</v>
      </c>
      <c r="F58" s="3121" t="s">
        <v>2639</v>
      </c>
      <c r="G58" s="3121" t="s">
        <v>2639</v>
      </c>
    </row>
    <row r="59" spans="1:7" ht="19.5" customHeight="1">
      <c r="A59" s="3122" t="s">
        <v>2592</v>
      </c>
      <c r="B59" s="3090">
        <v>0.7</v>
      </c>
      <c r="C59" s="3090">
        <v>0.4</v>
      </c>
      <c r="D59" s="3090">
        <v>0.3</v>
      </c>
      <c r="E59" s="3121">
        <v>0.3</v>
      </c>
      <c r="F59" s="3090">
        <v>0.3</v>
      </c>
      <c r="G59" s="3090">
        <v>0.2</v>
      </c>
    </row>
    <row r="60" spans="1:7" ht="19.5" customHeight="1">
      <c r="A60" s="3122" t="s">
        <v>2593</v>
      </c>
      <c r="B60" s="3090">
        <v>0.7</v>
      </c>
      <c r="C60" s="3090">
        <v>0.4</v>
      </c>
      <c r="D60" s="3090">
        <v>0.3</v>
      </c>
      <c r="E60" s="3090">
        <v>0.3</v>
      </c>
      <c r="F60" s="3090">
        <v>0.3</v>
      </c>
      <c r="G60" s="3090">
        <v>0.2</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0.6</v>
      </c>
      <c r="C64" s="3090">
        <v>0.3</v>
      </c>
      <c r="D64" s="3090">
        <v>0.25</v>
      </c>
      <c r="E64" s="3090">
        <v>0.25</v>
      </c>
      <c r="F64" s="3090">
        <v>0.25</v>
      </c>
      <c r="G64" s="3090">
        <v>0.15</v>
      </c>
    </row>
    <row r="65" spans="1:7" ht="19.5" customHeight="1">
      <c r="A65" s="3122" t="s">
        <v>2598</v>
      </c>
      <c r="B65" s="3090">
        <v>0.6</v>
      </c>
      <c r="C65" s="3090">
        <v>0.3</v>
      </c>
      <c r="D65" s="3090">
        <v>0.25</v>
      </c>
      <c r="E65" s="3090">
        <v>0.25</v>
      </c>
      <c r="F65" s="3090">
        <v>0.25</v>
      </c>
      <c r="G65" s="3090">
        <v>0.15</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69" spans="1:7" ht="19.5" customHeight="1">
      <c r="A69" s="3122" t="s">
        <v>2602</v>
      </c>
      <c r="B69" s="3090">
        <v>0.5</v>
      </c>
      <c r="C69" s="3090">
        <v>0.2</v>
      </c>
      <c r="D69" s="3090">
        <v>0.2</v>
      </c>
      <c r="E69" s="3090">
        <v>0.2</v>
      </c>
      <c r="F69" s="3090">
        <v>0.2</v>
      </c>
      <c r="G69" s="3090">
        <v>0.1</v>
      </c>
    </row>
    <row r="70" spans="1:7" ht="19.5" customHeight="1">
      <c r="A70" s="3122" t="s">
        <v>2603</v>
      </c>
      <c r="B70" s="3090">
        <v>0.5</v>
      </c>
      <c r="C70" s="3090">
        <v>0.2</v>
      </c>
      <c r="D70" s="3090">
        <v>0.2</v>
      </c>
      <c r="E70" s="3090">
        <v>0.2</v>
      </c>
      <c r="F70" s="3090">
        <v>0.2</v>
      </c>
      <c r="G70" s="3090">
        <v>0.1</v>
      </c>
    </row>
    <row r="72" spans="1:7" ht="19.5" customHeight="1">
      <c r="A72" s="3123"/>
      <c r="B72" s="3124"/>
      <c r="C72" s="3124"/>
      <c r="D72" s="3124" t="s">
        <v>2640</v>
      </c>
      <c r="E72" s="3124"/>
      <c r="F72" s="3124"/>
    </row>
    <row r="73" spans="1:7" ht="19.5" customHeight="1">
      <c r="A73" s="3116" t="s">
        <v>2641</v>
      </c>
      <c r="B73" s="3116" t="s">
        <v>2642</v>
      </c>
      <c r="C73" s="3116" t="s">
        <v>2643</v>
      </c>
      <c r="D73" s="3116" t="s">
        <v>2644</v>
      </c>
      <c r="E73" s="3116" t="s">
        <v>2645</v>
      </c>
      <c r="F73" s="3116" t="s">
        <v>2646</v>
      </c>
    </row>
    <row r="74" spans="1:7" ht="13.5">
      <c r="A74" s="3116"/>
      <c r="B74" s="3116"/>
      <c r="C74" s="3116" t="s">
        <v>2647</v>
      </c>
      <c r="D74" s="3116"/>
      <c r="E74" s="3116" t="s">
        <v>2618</v>
      </c>
      <c r="F74" s="3116" t="s">
        <v>2618</v>
      </c>
    </row>
    <row r="75" spans="1:7" ht="13.5">
      <c r="A75" s="3116">
        <v>1</v>
      </c>
      <c r="B75" s="3813" t="s">
        <v>2648</v>
      </c>
      <c r="C75" s="3090" t="s">
        <v>2649</v>
      </c>
      <c r="D75" s="3090" t="s">
        <v>2650</v>
      </c>
      <c r="E75" s="3116">
        <v>0.2</v>
      </c>
      <c r="F75" s="3116">
        <v>25</v>
      </c>
    </row>
    <row r="76" spans="1:7" ht="24">
      <c r="A76" s="3116">
        <v>2</v>
      </c>
      <c r="B76" s="3815"/>
      <c r="C76" s="3090" t="s">
        <v>2651</v>
      </c>
      <c r="D76" s="3090" t="s">
        <v>2652</v>
      </c>
      <c r="E76" s="3116">
        <v>0.2</v>
      </c>
      <c r="F76" s="3116">
        <v>25</v>
      </c>
    </row>
    <row r="77" spans="1:7" ht="24">
      <c r="A77" s="3116">
        <v>3</v>
      </c>
      <c r="B77" s="3815"/>
      <c r="C77" s="3090" t="s">
        <v>2653</v>
      </c>
      <c r="D77" s="3090" t="s">
        <v>2654</v>
      </c>
      <c r="E77" s="3116">
        <v>0.2</v>
      </c>
      <c r="F77" s="3116">
        <v>25</v>
      </c>
    </row>
    <row r="78" spans="1:7" ht="13.5">
      <c r="A78" s="3116">
        <v>4</v>
      </c>
      <c r="B78" s="3815"/>
      <c r="C78" s="3090" t="s">
        <v>2655</v>
      </c>
      <c r="D78" s="3090" t="s">
        <v>2656</v>
      </c>
      <c r="E78" s="3116">
        <v>0.15</v>
      </c>
      <c r="F78" s="3116">
        <v>20</v>
      </c>
    </row>
    <row r="79" spans="1:7" ht="24">
      <c r="A79" s="3116">
        <v>5</v>
      </c>
      <c r="B79" s="3815"/>
      <c r="C79" s="3090" t="s">
        <v>2657</v>
      </c>
      <c r="D79" s="3090" t="s">
        <v>2658</v>
      </c>
      <c r="E79" s="3116">
        <v>0.15</v>
      </c>
      <c r="F79" s="3116">
        <v>20</v>
      </c>
    </row>
    <row r="80" spans="1:7" ht="24">
      <c r="A80" s="3116">
        <v>6</v>
      </c>
      <c r="B80" s="3815"/>
      <c r="C80" s="3090" t="s">
        <v>2659</v>
      </c>
      <c r="D80" s="3090" t="s">
        <v>2660</v>
      </c>
      <c r="E80" s="3116">
        <v>0.15</v>
      </c>
      <c r="F80" s="3116">
        <v>20</v>
      </c>
    </row>
    <row r="81" spans="1:6" ht="24">
      <c r="A81" s="3116">
        <v>7</v>
      </c>
      <c r="B81" s="3815"/>
      <c r="C81" s="3090" t="s">
        <v>2661</v>
      </c>
      <c r="D81" s="3090" t="s">
        <v>2662</v>
      </c>
      <c r="E81" s="3116">
        <v>0.15</v>
      </c>
      <c r="F81" s="3116">
        <v>20</v>
      </c>
    </row>
    <row r="82" spans="1:6" ht="24">
      <c r="A82" s="3116">
        <v>8</v>
      </c>
      <c r="B82" s="3815"/>
      <c r="C82" s="3090" t="s">
        <v>2663</v>
      </c>
      <c r="D82" s="3090" t="s">
        <v>2664</v>
      </c>
      <c r="E82" s="3116">
        <v>0.1</v>
      </c>
      <c r="F82" s="3116">
        <v>15</v>
      </c>
    </row>
    <row r="83" spans="1:6" ht="24">
      <c r="A83" s="3116">
        <v>9</v>
      </c>
      <c r="B83" s="3815"/>
      <c r="C83" s="3090" t="s">
        <v>2665</v>
      </c>
      <c r="D83" s="3090" t="s">
        <v>2666</v>
      </c>
      <c r="E83" s="3116">
        <v>0.1</v>
      </c>
      <c r="F83" s="3116">
        <v>15</v>
      </c>
    </row>
    <row r="84" spans="1:6" ht="24">
      <c r="A84" s="3116">
        <v>10</v>
      </c>
      <c r="B84" s="3815"/>
      <c r="C84" s="3090" t="s">
        <v>2667</v>
      </c>
      <c r="D84" s="3090" t="s">
        <v>2668</v>
      </c>
      <c r="E84" s="3116">
        <v>0.1</v>
      </c>
      <c r="F84" s="3116">
        <v>15</v>
      </c>
    </row>
    <row r="85" spans="1:6" ht="24">
      <c r="A85" s="3116">
        <v>11</v>
      </c>
      <c r="B85" s="3815"/>
      <c r="C85" s="3090" t="s">
        <v>2669</v>
      </c>
      <c r="D85" s="3090" t="s">
        <v>2670</v>
      </c>
      <c r="E85" s="3116">
        <v>0.1</v>
      </c>
      <c r="F85" s="3116">
        <v>15</v>
      </c>
    </row>
    <row r="86" spans="1:6" ht="24">
      <c r="A86" s="3116">
        <v>12</v>
      </c>
      <c r="B86" s="3815"/>
      <c r="C86" s="3090" t="s">
        <v>2671</v>
      </c>
      <c r="D86" s="3090" t="s">
        <v>2672</v>
      </c>
      <c r="E86" s="3116">
        <v>0.1</v>
      </c>
      <c r="F86" s="3116">
        <v>15</v>
      </c>
    </row>
    <row r="87" spans="1:6" ht="13.5">
      <c r="A87" s="3116">
        <v>13</v>
      </c>
      <c r="B87" s="3815"/>
      <c r="C87" s="3090" t="s">
        <v>2673</v>
      </c>
      <c r="D87" s="3090" t="s">
        <v>2674</v>
      </c>
      <c r="E87" s="3116">
        <v>0.1</v>
      </c>
      <c r="F87" s="3116">
        <v>15</v>
      </c>
    </row>
    <row r="88" spans="1:6" ht="13.5">
      <c r="A88" s="3116">
        <v>14</v>
      </c>
      <c r="B88" s="3815"/>
      <c r="C88" s="3090" t="s">
        <v>2675</v>
      </c>
      <c r="D88" s="3090" t="s">
        <v>2676</v>
      </c>
      <c r="E88" s="3116">
        <v>0.1</v>
      </c>
      <c r="F88" s="3116">
        <v>15</v>
      </c>
    </row>
    <row r="89" spans="1:6" ht="13.5">
      <c r="A89" s="3116">
        <v>15</v>
      </c>
      <c r="B89" s="3815"/>
      <c r="C89" s="3090" t="s">
        <v>2677</v>
      </c>
      <c r="D89" s="3090" t="s">
        <v>2678</v>
      </c>
      <c r="E89" s="3116">
        <v>0.1</v>
      </c>
      <c r="F89" s="3116">
        <v>15</v>
      </c>
    </row>
    <row r="90" spans="1:6" ht="24">
      <c r="A90" s="3116">
        <v>16</v>
      </c>
      <c r="B90" s="3815"/>
      <c r="C90" s="3090" t="s">
        <v>2679</v>
      </c>
      <c r="D90" s="3090" t="s">
        <v>2680</v>
      </c>
      <c r="E90" s="3116">
        <v>0.1</v>
      </c>
      <c r="F90" s="3116">
        <v>15</v>
      </c>
    </row>
    <row r="91" spans="1:6" ht="24">
      <c r="A91" s="3116">
        <v>17</v>
      </c>
      <c r="B91" s="3814"/>
      <c r="C91" s="3090" t="s">
        <v>2681</v>
      </c>
      <c r="D91" s="3090" t="s">
        <v>2682</v>
      </c>
      <c r="E91" s="3116">
        <v>0.1</v>
      </c>
      <c r="F91" s="3116">
        <v>15</v>
      </c>
    </row>
    <row r="92" spans="1:6" ht="13.5">
      <c r="A92" s="3116">
        <v>18</v>
      </c>
      <c r="B92" s="3813" t="s">
        <v>2683</v>
      </c>
      <c r="C92" s="3090" t="s">
        <v>2684</v>
      </c>
      <c r="D92" s="3090" t="s">
        <v>2685</v>
      </c>
      <c r="E92" s="3116">
        <v>0.2</v>
      </c>
      <c r="F92" s="3116">
        <v>25</v>
      </c>
    </row>
    <row r="93" spans="1:6" ht="24">
      <c r="A93" s="3116">
        <v>19</v>
      </c>
      <c r="B93" s="3815"/>
      <c r="C93" s="3090" t="s">
        <v>2686</v>
      </c>
      <c r="D93" s="3090" t="s">
        <v>2687</v>
      </c>
      <c r="E93" s="3116">
        <v>0.2</v>
      </c>
      <c r="F93" s="3116">
        <v>25</v>
      </c>
    </row>
    <row r="94" spans="1:6" ht="13.5">
      <c r="A94" s="3116">
        <v>20</v>
      </c>
      <c r="B94" s="3815"/>
      <c r="C94" s="3090" t="s">
        <v>2688</v>
      </c>
      <c r="D94" s="3090" t="s">
        <v>2689</v>
      </c>
      <c r="E94" s="3116">
        <v>0.15</v>
      </c>
      <c r="F94" s="3116">
        <v>20</v>
      </c>
    </row>
    <row r="95" spans="1:6" ht="13.5">
      <c r="A95" s="3116">
        <v>21</v>
      </c>
      <c r="B95" s="3815"/>
      <c r="C95" s="3090" t="s">
        <v>2690</v>
      </c>
      <c r="D95" s="3090" t="s">
        <v>2691</v>
      </c>
      <c r="E95" s="3116">
        <v>0.15</v>
      </c>
      <c r="F95" s="3116">
        <v>20</v>
      </c>
    </row>
    <row r="96" spans="1:6" ht="13.5">
      <c r="A96" s="3116">
        <v>22</v>
      </c>
      <c r="B96" s="3815"/>
      <c r="C96" s="3090" t="s">
        <v>2692</v>
      </c>
      <c r="D96" s="3090" t="s">
        <v>2693</v>
      </c>
      <c r="E96" s="3116">
        <v>0.15</v>
      </c>
      <c r="F96" s="3116">
        <v>20</v>
      </c>
    </row>
    <row r="97" spans="1:6" ht="36">
      <c r="A97" s="3116">
        <v>23</v>
      </c>
      <c r="B97" s="3815"/>
      <c r="C97" s="3090" t="s">
        <v>2694</v>
      </c>
      <c r="D97" s="3090" t="s">
        <v>2695</v>
      </c>
      <c r="E97" s="3116">
        <v>0.15</v>
      </c>
      <c r="F97" s="3116">
        <v>20</v>
      </c>
    </row>
    <row r="98" spans="1:6" ht="13.5">
      <c r="A98" s="3116">
        <v>24</v>
      </c>
      <c r="B98" s="3815"/>
      <c r="C98" s="3090" t="s">
        <v>2696</v>
      </c>
      <c r="D98" s="3090" t="s">
        <v>2697</v>
      </c>
      <c r="E98" s="3116">
        <v>0.1</v>
      </c>
      <c r="F98" s="3116">
        <v>15</v>
      </c>
    </row>
    <row r="99" spans="1:6" ht="13.5">
      <c r="A99" s="3116">
        <v>25</v>
      </c>
      <c r="B99" s="3815"/>
      <c r="C99" s="3090" t="s">
        <v>2698</v>
      </c>
      <c r="D99" s="3090" t="s">
        <v>2699</v>
      </c>
      <c r="E99" s="3116">
        <v>0.1</v>
      </c>
      <c r="F99" s="3116">
        <v>15</v>
      </c>
    </row>
    <row r="100" spans="1:6" ht="24">
      <c r="A100" s="3116">
        <v>26</v>
      </c>
      <c r="B100" s="3815"/>
      <c r="C100" s="3090" t="s">
        <v>2700</v>
      </c>
      <c r="D100" s="3090" t="s">
        <v>2701</v>
      </c>
      <c r="E100" s="3116">
        <v>0.1</v>
      </c>
      <c r="F100" s="3116">
        <v>15</v>
      </c>
    </row>
    <row r="101" spans="1:6" ht="24">
      <c r="A101" s="3116">
        <v>27</v>
      </c>
      <c r="B101" s="3815"/>
      <c r="C101" s="3090" t="s">
        <v>2702</v>
      </c>
      <c r="D101" s="3090" t="s">
        <v>2703</v>
      </c>
      <c r="E101" s="3116">
        <v>0.1</v>
      </c>
      <c r="F101" s="3116">
        <v>15</v>
      </c>
    </row>
    <row r="102" spans="1:6" ht="13.5">
      <c r="A102" s="3116">
        <v>28</v>
      </c>
      <c r="B102" s="3815"/>
      <c r="C102" s="3090" t="s">
        <v>2704</v>
      </c>
      <c r="D102" s="3090" t="s">
        <v>2705</v>
      </c>
      <c r="E102" s="3116">
        <v>0.1</v>
      </c>
      <c r="F102" s="3116">
        <v>15</v>
      </c>
    </row>
    <row r="103" spans="1:6" ht="13.5">
      <c r="A103" s="3116">
        <v>29</v>
      </c>
      <c r="B103" s="3815"/>
      <c r="C103" s="3090" t="s">
        <v>2706</v>
      </c>
      <c r="D103" s="3090" t="s">
        <v>2707</v>
      </c>
      <c r="E103" s="3116">
        <v>0.1</v>
      </c>
      <c r="F103" s="3116">
        <v>15</v>
      </c>
    </row>
    <row r="104" spans="1:6" ht="13.5">
      <c r="A104" s="3116">
        <v>30</v>
      </c>
      <c r="B104" s="3815"/>
      <c r="C104" s="3090" t="s">
        <v>2708</v>
      </c>
      <c r="D104" s="3090" t="s">
        <v>2709</v>
      </c>
      <c r="E104" s="3116">
        <v>0.1</v>
      </c>
      <c r="F104" s="3116">
        <v>15</v>
      </c>
    </row>
    <row r="105" spans="1:6" ht="24">
      <c r="A105" s="3116">
        <v>31</v>
      </c>
      <c r="B105" s="3815"/>
      <c r="C105" s="3090" t="s">
        <v>2710</v>
      </c>
      <c r="D105" s="3090" t="s">
        <v>2711</v>
      </c>
      <c r="E105" s="3116">
        <v>0.1</v>
      </c>
      <c r="F105" s="3116">
        <v>15</v>
      </c>
    </row>
    <row r="106" spans="1:6" ht="24">
      <c r="A106" s="3116">
        <v>32</v>
      </c>
      <c r="B106" s="3815"/>
      <c r="C106" s="3090" t="s">
        <v>2712</v>
      </c>
      <c r="D106" s="3090" t="s">
        <v>2713</v>
      </c>
      <c r="E106" s="3116">
        <v>0.1</v>
      </c>
      <c r="F106" s="3116">
        <v>15</v>
      </c>
    </row>
    <row r="107" spans="1:6" ht="24">
      <c r="A107" s="3116">
        <v>33</v>
      </c>
      <c r="B107" s="3815"/>
      <c r="C107" s="3090" t="s">
        <v>2714</v>
      </c>
      <c r="D107" s="3090" t="s">
        <v>2715</v>
      </c>
      <c r="E107" s="3116">
        <v>0.1</v>
      </c>
      <c r="F107" s="3116">
        <v>15</v>
      </c>
    </row>
    <row r="108" spans="1:6" ht="24">
      <c r="A108" s="3116">
        <v>34</v>
      </c>
      <c r="B108" s="3814"/>
      <c r="C108" s="3090" t="s">
        <v>2716</v>
      </c>
      <c r="D108" s="3090" t="s">
        <v>2717</v>
      </c>
      <c r="E108" s="3116">
        <v>0.1</v>
      </c>
      <c r="F108" s="3116">
        <v>15</v>
      </c>
    </row>
    <row r="109" spans="1:6" ht="24">
      <c r="A109" s="3116">
        <v>35</v>
      </c>
      <c r="B109" s="3813" t="s">
        <v>2718</v>
      </c>
      <c r="C109" s="3116" t="s">
        <v>2719</v>
      </c>
      <c r="D109" s="3090" t="s">
        <v>2720</v>
      </c>
      <c r="E109" s="3116">
        <v>0.15</v>
      </c>
      <c r="F109" s="3116">
        <v>20</v>
      </c>
    </row>
    <row r="110" spans="1:6" ht="13.5">
      <c r="A110" s="3116">
        <v>36</v>
      </c>
      <c r="B110" s="3815"/>
      <c r="C110" s="3116" t="s">
        <v>2721</v>
      </c>
      <c r="D110" s="3090" t="s">
        <v>2722</v>
      </c>
      <c r="E110" s="3116">
        <v>0.15</v>
      </c>
      <c r="F110" s="3116">
        <v>20</v>
      </c>
    </row>
    <row r="111" spans="1:6" ht="13.5">
      <c r="A111" s="3116">
        <v>37</v>
      </c>
      <c r="B111" s="3815"/>
      <c r="C111" s="3116" t="s">
        <v>2723</v>
      </c>
      <c r="D111" s="3090" t="s">
        <v>2724</v>
      </c>
      <c r="E111" s="3116">
        <v>0.15</v>
      </c>
      <c r="F111" s="3116">
        <v>20</v>
      </c>
    </row>
    <row r="112" spans="1:6" ht="13.5">
      <c r="A112" s="3116">
        <v>38</v>
      </c>
      <c r="B112" s="3815"/>
      <c r="C112" s="3116" t="s">
        <v>2725</v>
      </c>
      <c r="D112" s="3090" t="s">
        <v>2726</v>
      </c>
      <c r="E112" s="3116">
        <v>0.1</v>
      </c>
      <c r="F112" s="3116">
        <v>15</v>
      </c>
    </row>
    <row r="113" spans="1:6" ht="24">
      <c r="A113" s="3116">
        <v>39</v>
      </c>
      <c r="B113" s="3815"/>
      <c r="C113" s="3116" t="s">
        <v>2727</v>
      </c>
      <c r="D113" s="3090" t="s">
        <v>2728</v>
      </c>
      <c r="E113" s="3116">
        <v>0.1</v>
      </c>
      <c r="F113" s="3116">
        <v>15</v>
      </c>
    </row>
    <row r="114" spans="1:6" ht="24">
      <c r="A114" s="3116">
        <v>40</v>
      </c>
      <c r="B114" s="3814"/>
      <c r="C114" s="3116" t="s">
        <v>2729</v>
      </c>
      <c r="D114" s="3090" t="s">
        <v>2730</v>
      </c>
      <c r="E114" s="3116">
        <v>0.1</v>
      </c>
      <c r="F114" s="3116">
        <v>15</v>
      </c>
    </row>
    <row r="115" spans="1:6" ht="13.5">
      <c r="A115" s="3116">
        <v>41</v>
      </c>
      <c r="B115" s="3812" t="s">
        <v>2731</v>
      </c>
      <c r="C115" s="3116" t="s">
        <v>2732</v>
      </c>
      <c r="D115" s="3090" t="s">
        <v>2733</v>
      </c>
      <c r="E115" s="3116">
        <v>0.1</v>
      </c>
      <c r="F115" s="3116">
        <v>15</v>
      </c>
    </row>
    <row r="116" spans="1:6" ht="13.5">
      <c r="A116" s="3116">
        <v>42</v>
      </c>
      <c r="B116" s="3812"/>
      <c r="C116" s="3116" t="s">
        <v>2734</v>
      </c>
      <c r="D116" s="3090" t="s">
        <v>2735</v>
      </c>
      <c r="E116" s="3116">
        <v>0.1</v>
      </c>
      <c r="F116" s="3116">
        <v>15</v>
      </c>
    </row>
    <row r="117" spans="1:6" ht="24">
      <c r="A117" s="3116">
        <v>43</v>
      </c>
      <c r="B117" s="3812"/>
      <c r="C117" s="3116" t="s">
        <v>2736</v>
      </c>
      <c r="D117" s="3090" t="s">
        <v>2737</v>
      </c>
      <c r="E117" s="3116">
        <v>0.1</v>
      </c>
      <c r="F117" s="3116">
        <v>15</v>
      </c>
    </row>
    <row r="118" spans="1:6" ht="13.5">
      <c r="A118" s="3116">
        <v>44</v>
      </c>
      <c r="B118" s="3813" t="s">
        <v>2738</v>
      </c>
      <c r="C118" s="3116" t="s">
        <v>2739</v>
      </c>
      <c r="D118" s="3090" t="s">
        <v>2740</v>
      </c>
      <c r="E118" s="3116">
        <v>0.1</v>
      </c>
      <c r="F118" s="3116">
        <v>15</v>
      </c>
    </row>
    <row r="119" spans="1:6" ht="24">
      <c r="A119" s="3116">
        <v>45</v>
      </c>
      <c r="B119" s="3814"/>
      <c r="C119" s="3090" t="s">
        <v>2741</v>
      </c>
      <c r="D119" s="3090" t="s">
        <v>2742</v>
      </c>
      <c r="E119" s="3116">
        <v>0.1</v>
      </c>
      <c r="F119" s="3116">
        <v>15</v>
      </c>
    </row>
    <row r="120" spans="1:6" ht="24">
      <c r="A120" s="3116">
        <v>46</v>
      </c>
      <c r="B120" s="3813" t="s">
        <v>2743</v>
      </c>
      <c r="C120" s="3116" t="s">
        <v>2744</v>
      </c>
      <c r="D120" s="3090" t="s">
        <v>2745</v>
      </c>
      <c r="E120" s="3116">
        <v>0.1</v>
      </c>
      <c r="F120" s="3116">
        <v>15</v>
      </c>
    </row>
    <row r="121" spans="1:6" ht="24">
      <c r="A121" s="3116">
        <v>47</v>
      </c>
      <c r="B121" s="3814"/>
      <c r="C121" s="3116" t="s">
        <v>2746</v>
      </c>
      <c r="D121" s="3090" t="s">
        <v>2747</v>
      </c>
      <c r="E121" s="3116">
        <v>0.1</v>
      </c>
      <c r="F121" s="3116">
        <v>15</v>
      </c>
    </row>
    <row r="122" spans="1:6" ht="13.5">
      <c r="A122" s="3116">
        <v>48</v>
      </c>
      <c r="B122" s="3813" t="s">
        <v>2748</v>
      </c>
      <c r="C122" s="3116" t="s">
        <v>2749</v>
      </c>
      <c r="D122" s="3090" t="s">
        <v>2750</v>
      </c>
      <c r="E122" s="3116">
        <v>0.1</v>
      </c>
      <c r="F122" s="3116">
        <v>15</v>
      </c>
    </row>
    <row r="123" spans="1:6" ht="13.5">
      <c r="A123" s="3116">
        <v>49</v>
      </c>
      <c r="B123" s="3814"/>
      <c r="C123" s="3116" t="s">
        <v>2751</v>
      </c>
      <c r="D123" s="3090" t="s">
        <v>2752</v>
      </c>
      <c r="E123" s="3116">
        <v>0.1</v>
      </c>
      <c r="F123" s="3116">
        <v>15</v>
      </c>
    </row>
    <row r="124" spans="1:6" ht="24">
      <c r="A124" s="3116">
        <v>50</v>
      </c>
      <c r="B124" s="3812" t="s">
        <v>2753</v>
      </c>
      <c r="C124" s="3116" t="s">
        <v>2754</v>
      </c>
      <c r="D124" s="3090" t="s">
        <v>2755</v>
      </c>
      <c r="E124" s="3116">
        <v>0.1</v>
      </c>
      <c r="F124" s="3116">
        <v>15</v>
      </c>
    </row>
    <row r="125" spans="1:6" ht="24">
      <c r="A125" s="3116">
        <v>51</v>
      </c>
      <c r="B125" s="3812"/>
      <c r="C125" s="3116" t="s">
        <v>2756</v>
      </c>
      <c r="D125" s="3090" t="s">
        <v>2757</v>
      </c>
      <c r="E125" s="3116">
        <v>0.1</v>
      </c>
      <c r="F125" s="3116">
        <v>15</v>
      </c>
    </row>
    <row r="126" spans="1:6" ht="24">
      <c r="A126" s="3116">
        <v>52</v>
      </c>
      <c r="B126" s="3812" t="s">
        <v>2758</v>
      </c>
      <c r="C126" s="3116" t="s">
        <v>2759</v>
      </c>
      <c r="D126" s="3090" t="s">
        <v>2760</v>
      </c>
      <c r="E126" s="3116">
        <v>0.1</v>
      </c>
      <c r="F126" s="3116">
        <v>15</v>
      </c>
    </row>
    <row r="127" spans="1:6" ht="24">
      <c r="A127" s="3116">
        <v>53</v>
      </c>
      <c r="B127" s="3812"/>
      <c r="C127" s="3116" t="s">
        <v>2761</v>
      </c>
      <c r="D127" s="3090" t="s">
        <v>2762</v>
      </c>
      <c r="E127" s="3116">
        <v>0.1</v>
      </c>
      <c r="F127" s="3116">
        <v>15</v>
      </c>
    </row>
    <row r="128" spans="1:6" ht="13.5">
      <c r="A128" s="3116">
        <v>54</v>
      </c>
      <c r="B128" s="3116" t="s">
        <v>2763</v>
      </c>
      <c r="C128" s="3116" t="s">
        <v>2764</v>
      </c>
      <c r="D128" s="3090" t="s">
        <v>2765</v>
      </c>
      <c r="E128" s="3116">
        <v>0.1</v>
      </c>
      <c r="F128" s="3116">
        <v>15</v>
      </c>
    </row>
    <row r="129" spans="1:6" ht="13.5">
      <c r="A129" s="3116">
        <v>55</v>
      </c>
      <c r="B129" s="3812" t="s">
        <v>2766</v>
      </c>
      <c r="C129" s="3116" t="s">
        <v>2767</v>
      </c>
      <c r="D129" s="3090" t="s">
        <v>2768</v>
      </c>
      <c r="E129" s="3116">
        <v>0.1</v>
      </c>
      <c r="F129" s="3116">
        <v>15</v>
      </c>
    </row>
    <row r="130" spans="1:6" ht="13.5">
      <c r="A130" s="3116">
        <v>56</v>
      </c>
      <c r="B130" s="3812"/>
      <c r="C130" s="3116" t="s">
        <v>2769</v>
      </c>
      <c r="D130" s="3090" t="s">
        <v>2770</v>
      </c>
      <c r="E130" s="3116">
        <v>0.1</v>
      </c>
      <c r="F130" s="3116">
        <v>15</v>
      </c>
    </row>
    <row r="131" spans="1:6" ht="24">
      <c r="A131" s="3116">
        <v>57</v>
      </c>
      <c r="B131" s="3812"/>
      <c r="C131" s="3116" t="s">
        <v>2771</v>
      </c>
      <c r="D131" s="3090" t="s">
        <v>2772</v>
      </c>
      <c r="E131" s="3116">
        <v>0.1</v>
      </c>
      <c r="F131" s="3116">
        <v>15</v>
      </c>
    </row>
    <row r="132" spans="1:6" ht="24">
      <c r="A132" s="3116">
        <v>58</v>
      </c>
      <c r="B132" s="3812" t="s">
        <v>2773</v>
      </c>
      <c r="C132" s="3116" t="s">
        <v>2774</v>
      </c>
      <c r="D132" s="3090" t="s">
        <v>2775</v>
      </c>
      <c r="E132" s="3116">
        <v>0.1</v>
      </c>
      <c r="F132" s="3116">
        <v>15</v>
      </c>
    </row>
    <row r="133" spans="1:6" ht="13.5">
      <c r="A133" s="3116">
        <v>59</v>
      </c>
      <c r="B133" s="3812"/>
      <c r="C133" s="3116" t="s">
        <v>2776</v>
      </c>
      <c r="D133" s="3090" t="s">
        <v>2777</v>
      </c>
      <c r="E133" s="3116">
        <v>0.1</v>
      </c>
      <c r="F133" s="3116">
        <v>15</v>
      </c>
    </row>
    <row r="134" spans="1:6" ht="13.5">
      <c r="A134" s="3116">
        <v>60</v>
      </c>
      <c r="B134" s="3813" t="s">
        <v>2778</v>
      </c>
      <c r="C134" s="3116" t="s">
        <v>2779</v>
      </c>
      <c r="D134" s="3090" t="s">
        <v>2780</v>
      </c>
      <c r="E134" s="3116">
        <v>0.1</v>
      </c>
      <c r="F134" s="3116">
        <v>15</v>
      </c>
    </row>
    <row r="135" spans="1:6" ht="13.5">
      <c r="A135" s="3116">
        <v>61</v>
      </c>
      <c r="B135" s="3814"/>
      <c r="C135" s="3116" t="s">
        <v>2781</v>
      </c>
      <c r="D135" s="3090" t="s">
        <v>2782</v>
      </c>
      <c r="E135" s="3116">
        <v>0.1</v>
      </c>
      <c r="F135" s="3116">
        <v>15</v>
      </c>
    </row>
    <row r="136" spans="1:6" ht="24">
      <c r="A136" s="3116">
        <v>62</v>
      </c>
      <c r="B136" s="3116" t="s">
        <v>2783</v>
      </c>
      <c r="C136" s="3116" t="s">
        <v>2784</v>
      </c>
      <c r="D136" s="3090" t="s">
        <v>2785</v>
      </c>
      <c r="E136" s="3116">
        <v>0.1</v>
      </c>
      <c r="F136" s="3116">
        <v>15</v>
      </c>
    </row>
    <row r="137" spans="1:6" ht="13.5">
      <c r="A137" s="3116">
        <v>63</v>
      </c>
      <c r="B137" s="3812" t="s">
        <v>2786</v>
      </c>
      <c r="C137" s="3116" t="s">
        <v>2787</v>
      </c>
      <c r="D137" s="3090" t="s">
        <v>2788</v>
      </c>
      <c r="E137" s="3116">
        <v>0.1</v>
      </c>
      <c r="F137" s="3116">
        <v>15</v>
      </c>
    </row>
    <row r="138" spans="1:6" ht="13.5">
      <c r="A138" s="3116">
        <v>64</v>
      </c>
      <c r="B138" s="3812"/>
      <c r="C138" s="3116" t="s">
        <v>2789</v>
      </c>
      <c r="D138" s="3090" t="s">
        <v>2790</v>
      </c>
      <c r="E138" s="3116">
        <v>0.1</v>
      </c>
      <c r="F138" s="3116">
        <v>15</v>
      </c>
    </row>
    <row r="139" spans="1:6" ht="13.5">
      <c r="A139" s="3116">
        <v>65</v>
      </c>
      <c r="B139" s="3116" t="s">
        <v>2791</v>
      </c>
      <c r="C139" s="3116" t="s">
        <v>2792</v>
      </c>
      <c r="D139" s="3090" t="s">
        <v>2793</v>
      </c>
      <c r="E139" s="3116">
        <v>0.1</v>
      </c>
      <c r="F139" s="3116">
        <v>15</v>
      </c>
    </row>
    <row r="140" spans="1:6" ht="13.5">
      <c r="A140" s="3116"/>
      <c r="B140" s="3116"/>
      <c r="C140" s="3116"/>
      <c r="D140" s="3116"/>
      <c r="E140" s="3116" t="s">
        <v>2794</v>
      </c>
      <c r="F140" s="3116"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1"/>
      <c r="B4" s="3507" t="s">
        <v>917</v>
      </c>
      <c r="C4" s="3507"/>
      <c r="D4" s="3507"/>
      <c r="E4" s="1491"/>
    </row>
    <row r="5" spans="1:5" ht="16.5" thickTop="1">
      <c r="A5" s="1489"/>
      <c r="B5" s="3505" t="s">
        <v>909</v>
      </c>
      <c r="C5" s="1492" t="s">
        <v>910</v>
      </c>
      <c r="D5" s="848">
        <f ca="1">结果表!H101</f>
        <v>844</v>
      </c>
      <c r="E5" s="1489"/>
    </row>
    <row r="6" spans="1:5" ht="15.75">
      <c r="A6" s="1489"/>
      <c r="B6" s="3505"/>
      <c r="C6" s="1492" t="s">
        <v>911</v>
      </c>
      <c r="D6" s="848" t="str">
        <f ca="1">NUMBERSTRING(INT(D5*10000),2)&amp;"元整"</f>
        <v>捌佰肆拾肆万元整</v>
      </c>
      <c r="E6" s="1489"/>
    </row>
    <row r="7" spans="1:5" ht="15.75">
      <c r="A7" s="1489"/>
      <c r="B7" s="3510"/>
      <c r="C7" s="1493" t="s">
        <v>912</v>
      </c>
      <c r="D7" s="849">
        <f ca="1">结果表!H102</f>
        <v>30180</v>
      </c>
      <c r="E7" s="1489"/>
    </row>
    <row r="8" spans="1:5" ht="15.75">
      <c r="A8" s="1489"/>
      <c r="B8" s="3511" t="str">
        <f>结果表!E103</f>
        <v>2.估价师知悉的法定优先受偿款</v>
      </c>
      <c r="C8" s="1494" t="s">
        <v>913</v>
      </c>
      <c r="D8" s="849">
        <f>结果表!H103</f>
        <v>0</v>
      </c>
      <c r="E8" s="1489"/>
    </row>
    <row r="9" spans="1:5" ht="15.75">
      <c r="A9" s="1489"/>
      <c r="B9" s="351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4" t="str">
        <f>结果表!E107</f>
        <v>3.房地产抵押价值</v>
      </c>
      <c r="C13" s="1497" t="s">
        <v>910</v>
      </c>
      <c r="D13" s="851">
        <f ca="1">结果表!H107</f>
        <v>844</v>
      </c>
      <c r="E13" s="1489"/>
    </row>
    <row r="14" spans="1:5" ht="15.75">
      <c r="A14" s="1489"/>
      <c r="B14" s="3505"/>
      <c r="C14" s="1492" t="s">
        <v>911</v>
      </c>
      <c r="D14" s="848" t="str">
        <f ca="1">NUMBERSTRING(INT(D13*10000),2)&amp;"元整"</f>
        <v>捌佰肆拾肆万元整</v>
      </c>
      <c r="E14" s="1489"/>
    </row>
    <row r="15" spans="1:5" ht="15">
      <c r="A15" s="1489"/>
      <c r="B15" s="3510"/>
      <c r="C15" s="1493" t="s">
        <v>921</v>
      </c>
      <c r="D15" s="857">
        <f ca="1">结果表!H108</f>
        <v>30180</v>
      </c>
      <c r="E15" s="1489"/>
    </row>
    <row r="16" spans="1:5" ht="15">
      <c r="A16" s="1489"/>
      <c r="B16" s="3511" t="str">
        <f>结果表!E109</f>
        <v>——</v>
      </c>
      <c r="C16" s="1497" t="s">
        <v>922</v>
      </c>
      <c r="D16" s="1498" t="str">
        <f>结果表!H109</f>
        <v>——</v>
      </c>
      <c r="E16" s="1489"/>
    </row>
    <row r="17" spans="1:5" ht="15.75">
      <c r="A17" s="1489"/>
      <c r="B17" s="3512"/>
      <c r="C17" s="1492" t="s">
        <v>923</v>
      </c>
      <c r="D17" s="848" t="e">
        <f>NUMBERSTRING(INT(D16*10000),2)&amp;"元整"</f>
        <v>#VALUE!</v>
      </c>
      <c r="E17" s="1489"/>
    </row>
    <row r="18" spans="1:5" ht="15">
      <c r="A18" s="1489"/>
      <c r="B18" s="3513"/>
      <c r="C18" s="1493" t="s">
        <v>912</v>
      </c>
      <c r="D18" s="857" t="str">
        <f>结果表!H110</f>
        <v>——</v>
      </c>
      <c r="E18" s="1489"/>
    </row>
    <row r="19" spans="1:5" ht="15.75">
      <c r="A19" s="1489"/>
      <c r="B19" s="3504" t="str">
        <f>结果表!E111</f>
        <v>——</v>
      </c>
      <c r="C19" s="1497" t="s">
        <v>910</v>
      </c>
      <c r="D19" s="849" t="str">
        <f>结果表!H111</f>
        <v>——</v>
      </c>
      <c r="E19" s="1489"/>
    </row>
    <row r="20" spans="1:5" ht="15.75">
      <c r="A20" s="1489"/>
      <c r="B20" s="3505"/>
      <c r="C20" s="1492" t="s">
        <v>923</v>
      </c>
      <c r="D20" s="848" t="e">
        <f>NUMBERSTRING(INT(D19*10000),2)&amp;"元整"</f>
        <v>#VALUE!</v>
      </c>
      <c r="E20" s="1489"/>
    </row>
    <row r="21" spans="1:5" ht="15.75" thickBot="1">
      <c r="A21" s="1489"/>
      <c r="B21" s="350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2795</v>
      </c>
      <c r="B1" s="3125"/>
      <c r="C1" s="3125"/>
      <c r="D1" s="3125"/>
      <c r="E1" s="3125"/>
      <c r="F1" s="3125"/>
      <c r="G1" s="3125"/>
      <c r="H1" s="3125"/>
      <c r="I1" s="3125"/>
      <c r="J1" s="3125"/>
      <c r="K1" s="3125"/>
      <c r="L1" s="3125"/>
      <c r="M1" s="3125"/>
      <c r="N1" s="747"/>
    </row>
    <row r="2" spans="1:20">
      <c r="A2" s="3126" t="s">
        <v>2796</v>
      </c>
      <c r="B2" s="3127" t="s">
        <v>2592</v>
      </c>
      <c r="C2" s="3127" t="s">
        <v>2593</v>
      </c>
      <c r="D2" s="3127" t="s">
        <v>2594</v>
      </c>
      <c r="E2" s="3127" t="s">
        <v>2595</v>
      </c>
      <c r="F2" s="3127" t="s">
        <v>2596</v>
      </c>
      <c r="G2" s="3127" t="s">
        <v>2597</v>
      </c>
      <c r="H2" s="3128" t="s">
        <v>2598</v>
      </c>
      <c r="I2" s="3128" t="s">
        <v>2599</v>
      </c>
      <c r="J2" s="3129" t="s">
        <v>2600</v>
      </c>
      <c r="K2" s="3129" t="s">
        <v>2601</v>
      </c>
      <c r="L2" s="3129" t="s">
        <v>2602</v>
      </c>
      <c r="M2" s="3130" t="s">
        <v>2603</v>
      </c>
      <c r="Q2" s="3140" t="s">
        <v>2801</v>
      </c>
      <c r="R2" s="3140" t="s">
        <v>2802</v>
      </c>
      <c r="S2" s="3140" t="s">
        <v>2803</v>
      </c>
      <c r="T2" s="3140" t="s">
        <v>2804</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2797</v>
      </c>
      <c r="B93" s="3125"/>
      <c r="C93" s="3125"/>
      <c r="D93" s="3125"/>
      <c r="E93" s="3125"/>
      <c r="F93" s="3125"/>
      <c r="G93" s="3125"/>
      <c r="H93" s="3125"/>
      <c r="I93" s="3125"/>
      <c r="J93" s="3125"/>
      <c r="K93" s="3125"/>
      <c r="L93" s="3125"/>
      <c r="M93" s="3125"/>
    </row>
    <row r="94" spans="1:20">
      <c r="A94" s="3126" t="s">
        <v>2796</v>
      </c>
      <c r="B94" s="3127" t="s">
        <v>2592</v>
      </c>
      <c r="C94" s="3127" t="s">
        <v>2593</v>
      </c>
      <c r="D94" s="3127" t="s">
        <v>2594</v>
      </c>
      <c r="E94" s="3127" t="s">
        <v>2595</v>
      </c>
      <c r="F94" s="3127" t="s">
        <v>2596</v>
      </c>
      <c r="G94" s="3127" t="s">
        <v>2597</v>
      </c>
      <c r="H94" s="3128" t="s">
        <v>2598</v>
      </c>
      <c r="I94" s="3128" t="s">
        <v>2599</v>
      </c>
      <c r="J94" s="3129" t="s">
        <v>2600</v>
      </c>
      <c r="K94" s="3129" t="s">
        <v>2601</v>
      </c>
      <c r="L94" s="3129" t="s">
        <v>2602</v>
      </c>
      <c r="M94" s="3130" t="s">
        <v>2603</v>
      </c>
      <c r="N94" s="748">
        <f>SUMPRODUCT((A95:A184=ROUNDDOWN(基准地价修正!G3,1))*(B94:M94=基准地价修正!G2)*(B95:M184))</f>
        <v>0</v>
      </c>
      <c r="Q94" s="3140" t="s">
        <v>2801</v>
      </c>
      <c r="R94" s="3140" t="s">
        <v>2802</v>
      </c>
      <c r="S94" s="3140" t="s">
        <v>2803</v>
      </c>
      <c r="T94" s="3140" t="s">
        <v>2804</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2798</v>
      </c>
      <c r="B185" s="3125"/>
      <c r="C185" s="3125"/>
      <c r="D185" s="3125"/>
      <c r="E185" s="3125"/>
      <c r="F185" s="3125"/>
      <c r="G185" s="3125"/>
      <c r="H185" s="3125"/>
      <c r="I185" s="3125"/>
      <c r="J185" s="3125"/>
      <c r="K185" s="3125"/>
      <c r="L185" s="3125"/>
      <c r="M185" s="3125"/>
    </row>
    <row r="186" spans="1:20">
      <c r="A186" s="3126" t="s">
        <v>2796</v>
      </c>
      <c r="B186" s="3127" t="s">
        <v>2592</v>
      </c>
      <c r="C186" s="3127" t="s">
        <v>2593</v>
      </c>
      <c r="D186" s="3127" t="s">
        <v>2594</v>
      </c>
      <c r="E186" s="3127" t="s">
        <v>2595</v>
      </c>
      <c r="F186" s="3127" t="s">
        <v>2596</v>
      </c>
      <c r="G186" s="3127" t="s">
        <v>2597</v>
      </c>
      <c r="H186" s="3128" t="s">
        <v>2598</v>
      </c>
      <c r="I186" s="3128" t="s">
        <v>2599</v>
      </c>
      <c r="J186" s="3129" t="s">
        <v>2600</v>
      </c>
      <c r="K186" s="3129" t="s">
        <v>2601</v>
      </c>
      <c r="L186" s="3129" t="s">
        <v>2602</v>
      </c>
      <c r="M186" s="3130" t="s">
        <v>2603</v>
      </c>
      <c r="Q186" s="3140" t="s">
        <v>2801</v>
      </c>
      <c r="R186" s="3140" t="s">
        <v>2802</v>
      </c>
      <c r="S186" s="3140" t="s">
        <v>2803</v>
      </c>
      <c r="T186" s="3140" t="s">
        <v>2804</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2799</v>
      </c>
      <c r="B277" s="3125"/>
      <c r="C277" s="3125"/>
      <c r="D277" s="3125"/>
      <c r="E277" s="3125"/>
      <c r="F277" s="3125"/>
      <c r="G277" s="3125"/>
      <c r="H277" s="3125"/>
      <c r="I277" s="3125"/>
      <c r="J277" s="3125"/>
      <c r="K277" s="3125"/>
      <c r="L277" s="3125"/>
      <c r="M277" s="3125"/>
    </row>
    <row r="278" spans="1:21">
      <c r="A278" s="3126" t="s">
        <v>2796</v>
      </c>
      <c r="B278" s="3127" t="s">
        <v>2592</v>
      </c>
      <c r="C278" s="3127" t="s">
        <v>2593</v>
      </c>
      <c r="D278" s="3127" t="s">
        <v>2594</v>
      </c>
      <c r="E278" s="3127" t="s">
        <v>2595</v>
      </c>
      <c r="F278" s="3127" t="s">
        <v>2596</v>
      </c>
      <c r="G278" s="3127" t="s">
        <v>2597</v>
      </c>
      <c r="H278" s="3128" t="s">
        <v>2598</v>
      </c>
      <c r="I278" s="3128" t="s">
        <v>2599</v>
      </c>
      <c r="J278" s="3129" t="s">
        <v>2600</v>
      </c>
      <c r="K278" s="3129" t="s">
        <v>2601</v>
      </c>
      <c r="L278" s="3129" t="s">
        <v>2602</v>
      </c>
      <c r="M278" s="3130" t="s">
        <v>2603</v>
      </c>
      <c r="Q278" s="3140" t="s">
        <v>2801</v>
      </c>
      <c r="R278" s="3140" t="s">
        <v>2802</v>
      </c>
      <c r="S278" s="3140" t="s">
        <v>2805</v>
      </c>
      <c r="T278" s="3140" t="s">
        <v>2806</v>
      </c>
      <c r="U278" s="3140" t="s">
        <v>2804</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2800</v>
      </c>
      <c r="B369" s="3138"/>
      <c r="C369" s="3138"/>
      <c r="D369" s="3138"/>
      <c r="E369" s="3138"/>
      <c r="F369" s="3138"/>
      <c r="G369" s="3138"/>
      <c r="H369" s="3138"/>
      <c r="I369" s="3138"/>
      <c r="J369" s="3138"/>
      <c r="K369" s="3138"/>
      <c r="L369" s="3138"/>
      <c r="M369" s="3138"/>
    </row>
    <row r="370" spans="1:20">
      <c r="A370" s="3126" t="s">
        <v>2796</v>
      </c>
      <c r="B370" s="3127" t="s">
        <v>2592</v>
      </c>
      <c r="C370" s="3127" t="s">
        <v>2593</v>
      </c>
      <c r="D370" s="3127" t="s">
        <v>2594</v>
      </c>
      <c r="E370" s="3127" t="s">
        <v>2595</v>
      </c>
      <c r="F370" s="3127" t="s">
        <v>2596</v>
      </c>
      <c r="G370" s="3127" t="s">
        <v>2597</v>
      </c>
      <c r="H370" s="3128" t="s">
        <v>2598</v>
      </c>
      <c r="I370" s="3128" t="s">
        <v>2599</v>
      </c>
      <c r="J370" s="3129" t="s">
        <v>2600</v>
      </c>
      <c r="K370" s="3129" t="s">
        <v>2601</v>
      </c>
      <c r="L370" s="3129" t="s">
        <v>2602</v>
      </c>
      <c r="M370" s="3130" t="s">
        <v>2603</v>
      </c>
      <c r="N370" s="748">
        <f>SUMPRODUCT((A371:A460=ROUNDDOWN(基准地价修正!G3,1))*(B370:M370=基准地价修正!G2)*(B371:M460))</f>
        <v>0</v>
      </c>
      <c r="Q370" s="3140" t="s">
        <v>2801</v>
      </c>
      <c r="R370" s="3140" t="s">
        <v>2802</v>
      </c>
      <c r="S370" s="3140" t="s">
        <v>2803</v>
      </c>
      <c r="T370" s="3140" t="s">
        <v>2804</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28066</v>
      </c>
      <c r="C2" s="2" t="s">
        <v>106</v>
      </c>
      <c r="D2" s="199"/>
      <c r="E2" s="199"/>
      <c r="F2" s="199"/>
      <c r="G2" s="199"/>
    </row>
    <row r="3" spans="1:7" s="200" customFormat="1" ht="18" customHeight="1" thickBot="1">
      <c r="A3" s="203" t="s">
        <v>58</v>
      </c>
      <c r="B3" s="204">
        <f ca="1">ROUND(B2*10000/'数据-汇总表'!E3,0)</f>
        <v>1004042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v>
      </c>
      <c r="D10" s="843">
        <f>'数据-汇总表'!E6</f>
        <v>279.52999999999997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v>
      </c>
      <c r="D19" s="847">
        <f>'数据-汇总表'!E3</f>
        <v>279.52999999999997</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1329</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3185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3185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162</v>
      </c>
      <c r="D34" s="217"/>
      <c r="E34" s="220"/>
      <c r="F34" s="257">
        <f>IF('数据-取费表'!B24=0,1,'数据-取费表'!N16)</f>
        <v>1</v>
      </c>
      <c r="G34" s="219" t="s">
        <v>89</v>
      </c>
    </row>
    <row r="35" spans="1:7" ht="13.5" customHeight="1">
      <c r="A35" s="778" t="s">
        <v>351</v>
      </c>
      <c r="B35" s="215" t="s">
        <v>33</v>
      </c>
      <c r="C35" s="220">
        <f>ROUND(C34*F35,0)</f>
        <v>8</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v>
      </c>
      <c r="D37" s="217">
        <f>'数据-汇总表'!E3</f>
        <v>279.52999999999997</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86" t="s">
        <v>94</v>
      </c>
    </row>
    <row r="43" spans="1:7" ht="13.5" customHeight="1">
      <c r="A43" s="778" t="s">
        <v>347</v>
      </c>
      <c r="B43" s="215" t="s">
        <v>426</v>
      </c>
      <c r="C43" s="238">
        <f ca="1">ROUND(IF('数据-取费表'!B22&lt;=1,C39*F22*'数据-取费表'!B21/2,C39*(POWER((1+F22),'数据-取费表'!B21/2)-1)),0)</f>
        <v>0</v>
      </c>
      <c r="D43" s="238"/>
      <c r="E43" s="238"/>
      <c r="F43" s="239"/>
      <c r="G43" s="3687"/>
    </row>
    <row r="44" spans="1:7" ht="13.5" customHeight="1">
      <c r="A44" s="778" t="s">
        <v>348</v>
      </c>
      <c r="B44" s="215" t="s">
        <v>428</v>
      </c>
      <c r="C44" s="238">
        <f ca="1">ROUND(IF('数据-取费表'!B22&lt;=1,C40*F22*'数据-取费表'!B21/2,C40*(POWER((1+F22),'数据-取费表'!B21/2)-1)),4)</f>
        <v>5.9999999999999995E-4</v>
      </c>
      <c r="D44" s="238"/>
      <c r="E44" s="238"/>
      <c r="F44" s="239"/>
      <c r="G44" s="3688"/>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236</v>
      </c>
      <c r="D49" s="232"/>
      <c r="E49" s="232"/>
      <c r="F49" s="264"/>
      <c r="G49" s="234" t="s">
        <v>435</v>
      </c>
    </row>
    <row r="50" spans="1:7" s="258" customFormat="1" ht="24">
      <c r="A50" s="775" t="s">
        <v>344</v>
      </c>
      <c r="B50" s="210" t="s">
        <v>97</v>
      </c>
      <c r="C50" s="232"/>
      <c r="D50" s="232"/>
      <c r="E50" s="232"/>
      <c r="F50" s="264">
        <f>IF('数据-取费表'!B24=0,'数据-取费表'!N16,1)</f>
        <v>0.73</v>
      </c>
      <c r="G50" s="247" t="s">
        <v>98</v>
      </c>
    </row>
    <row r="51" spans="1:7" ht="16.5" customHeight="1">
      <c r="A51" s="775" t="s">
        <v>345</v>
      </c>
      <c r="B51" s="210" t="s">
        <v>105</v>
      </c>
      <c r="C51" s="232">
        <f ca="1">ROUND(C49*F50,0)</f>
        <v>172</v>
      </c>
      <c r="D51" s="232"/>
      <c r="E51" s="232"/>
      <c r="F51" s="264"/>
      <c r="G51" s="234" t="s">
        <v>37</v>
      </c>
    </row>
    <row r="52" spans="1:7" s="208" customFormat="1" ht="16.5" thickBot="1">
      <c r="A52" s="265" t="s">
        <v>38</v>
      </c>
      <c r="B52" s="266"/>
      <c r="C52" s="267">
        <f ca="1">C31+C51</f>
        <v>28066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26" t="s">
        <v>3178</v>
      </c>
      <c r="B1" s="3826"/>
    </row>
    <row r="2" spans="1:7" ht="14.25" thickBot="1">
      <c r="A2" s="3253"/>
      <c r="B2" s="3253"/>
    </row>
    <row r="3" spans="1:7" ht="14.25" thickBot="1">
      <c r="A3" s="3253"/>
      <c r="B3" s="3253"/>
      <c r="C3" s="3254" t="s">
        <v>2808</v>
      </c>
      <c r="D3" s="3254" t="s">
        <v>2864</v>
      </c>
      <c r="E3" s="3254" t="s">
        <v>2810</v>
      </c>
      <c r="F3" s="3254" t="s">
        <v>2865</v>
      </c>
      <c r="G3" s="3254" t="s">
        <v>2628</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7" t="s">
        <v>3229</v>
      </c>
      <c r="B1" s="3827"/>
      <c r="C1" s="3827"/>
      <c r="D1" s="3827"/>
      <c r="E1" s="3827"/>
      <c r="F1" s="3828"/>
    </row>
    <row r="2" spans="1:6">
      <c r="A2" s="3289" t="s">
        <v>3230</v>
      </c>
      <c r="B2" s="3290"/>
      <c r="C2" s="3290"/>
      <c r="D2" s="3290"/>
      <c r="E2" s="3290"/>
      <c r="F2" s="3290"/>
    </row>
    <row r="3" spans="1:6">
      <c r="A3" s="3289" t="s">
        <v>3231</v>
      </c>
      <c r="B3" s="3290"/>
      <c r="C3" s="3290"/>
      <c r="D3" s="3290"/>
      <c r="E3" s="3290"/>
      <c r="F3" s="3291" t="s">
        <v>3232</v>
      </c>
    </row>
    <row r="4" spans="1:6">
      <c r="A4" s="3292" t="s">
        <v>672</v>
      </c>
      <c r="B4" s="3292" t="s">
        <v>673</v>
      </c>
      <c r="C4" s="3292" t="s">
        <v>21</v>
      </c>
      <c r="D4" s="3292" t="s">
        <v>674</v>
      </c>
      <c r="E4" s="3292" t="s">
        <v>3</v>
      </c>
      <c r="F4" s="3292" t="s">
        <v>3233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45965</v>
      </c>
      <c r="B1" s="3208" t="s">
        <v>3373</v>
      </c>
      <c r="C1" s="3209"/>
      <c r="D1" s="3209"/>
      <c r="E1" s="3209"/>
      <c r="F1" s="3209"/>
      <c r="G1" s="3209"/>
      <c r="H1" s="3209"/>
      <c r="I1" s="3209"/>
      <c r="J1" s="3163"/>
      <c r="K1" s="3209" t="s">
        <v>454</v>
      </c>
      <c r="L1" s="3209"/>
      <c r="M1" s="3209"/>
      <c r="N1" s="3209"/>
      <c r="O1" s="3209"/>
      <c r="P1" s="3209"/>
      <c r="Q1" s="3163"/>
      <c r="R1" s="3829" t="s">
        <v>456</v>
      </c>
      <c r="S1" s="3830"/>
      <c r="T1" s="3830"/>
      <c r="U1" s="3830"/>
      <c r="V1" s="3830"/>
      <c r="W1" s="3830"/>
      <c r="X1" s="3163"/>
      <c r="Y1" s="3829" t="s">
        <v>457</v>
      </c>
      <c r="Z1" s="3830"/>
      <c r="AA1" s="3830"/>
      <c r="AB1" s="3830"/>
      <c r="AC1" s="3830"/>
      <c r="AD1" s="3830"/>
    </row>
    <row r="2" spans="1:44" s="3141" customFormat="1" ht="14.25" thickBot="1">
      <c r="B2" s="3142"/>
      <c r="C2" s="3143"/>
      <c r="D2" s="3144" t="s">
        <v>2807</v>
      </c>
      <c r="E2" s="3145" t="s">
        <v>2808</v>
      </c>
      <c r="F2" s="3145" t="s">
        <v>2809</v>
      </c>
      <c r="G2" s="3145" t="s">
        <v>2810</v>
      </c>
      <c r="H2" s="3145" t="s">
        <v>2811</v>
      </c>
      <c r="I2" s="3145" t="s">
        <v>2628</v>
      </c>
      <c r="J2" s="3146"/>
      <c r="K2" s="3144" t="s">
        <v>2807</v>
      </c>
      <c r="L2" s="3145" t="s">
        <v>2808</v>
      </c>
      <c r="M2" s="3145" t="s">
        <v>2809</v>
      </c>
      <c r="N2" s="3145" t="s">
        <v>2810</v>
      </c>
      <c r="O2" s="3145" t="s">
        <v>2812</v>
      </c>
      <c r="P2" s="3145" t="s">
        <v>2628</v>
      </c>
      <c r="Q2" s="3146"/>
      <c r="R2" s="3144" t="s">
        <v>2807</v>
      </c>
      <c r="S2" s="3145" t="s">
        <v>2808</v>
      </c>
      <c r="T2" s="3145" t="s">
        <v>2809</v>
      </c>
      <c r="U2" s="3145" t="s">
        <v>2813</v>
      </c>
      <c r="V2" s="3145" t="s">
        <v>2814</v>
      </c>
      <c r="W2" s="3145" t="s">
        <v>2628</v>
      </c>
      <c r="X2" s="3146"/>
      <c r="Y2" s="3144" t="s">
        <v>2807</v>
      </c>
      <c r="Z2" s="3145" t="s">
        <v>2808</v>
      </c>
      <c r="AA2" s="3145" t="s">
        <v>2809</v>
      </c>
      <c r="AB2" s="3145" t="s">
        <v>2815</v>
      </c>
      <c r="AC2" s="3145" t="s">
        <v>2814</v>
      </c>
      <c r="AD2" s="3145" t="s">
        <v>2628</v>
      </c>
      <c r="AF2" t="s">
        <v>3398</v>
      </c>
      <c r="AG2" t="s">
        <v>673</v>
      </c>
      <c r="AH2" t="s">
        <v>21</v>
      </c>
      <c r="AI2" t="s">
        <v>3399</v>
      </c>
      <c r="AJ2" t="s">
        <v>3</v>
      </c>
      <c r="AK2" t="s">
        <v>3400</v>
      </c>
      <c r="AM2" t="s">
        <v>3398</v>
      </c>
      <c r="AN2" t="s">
        <v>673</v>
      </c>
      <c r="AO2" t="s">
        <v>21</v>
      </c>
      <c r="AP2" t="s">
        <v>3399</v>
      </c>
      <c r="AQ2" t="s">
        <v>3</v>
      </c>
      <c r="AR2" t="s">
        <v>3400</v>
      </c>
    </row>
    <row r="3" spans="1:44" s="3159" customFormat="1" ht="12.75">
      <c r="A3" s="3147" t="s">
        <v>2816</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3397</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3411</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3" t="s">
        <v>3412</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3" t="s">
        <v>3403</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3" t="s">
        <v>3402</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3" t="s">
        <v>3377</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3371</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3370</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3366</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3365</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3363</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3362</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3361</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3359</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3350</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2817</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2818</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2819</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2820</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2821</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3376</v>
      </c>
    </row>
    <row r="27" spans="1:44" s="3007" customFormat="1">
      <c r="I27" s="3206" t="s">
        <v>2822</v>
      </c>
    </row>
    <row r="28" spans="1:44" s="3007" customFormat="1"/>
    <row r="29" spans="1:44" s="3207" customFormat="1" ht="12.75">
      <c r="B29" s="3208" t="s">
        <v>3374</v>
      </c>
      <c r="C29" s="3209"/>
      <c r="D29" s="3209"/>
      <c r="E29" s="3209"/>
      <c r="F29" s="3209"/>
      <c r="G29" s="3209"/>
      <c r="H29" s="3209"/>
      <c r="I29" s="3209"/>
      <c r="J29" s="3163"/>
      <c r="K29" s="3209" t="s">
        <v>2823</v>
      </c>
      <c r="L29" s="3209"/>
      <c r="M29" s="3209"/>
      <c r="N29" s="3209"/>
      <c r="O29" s="3209"/>
      <c r="P29" s="3209"/>
      <c r="Q29" s="3163"/>
      <c r="R29" s="3829" t="s">
        <v>2824</v>
      </c>
      <c r="S29" s="3830"/>
      <c r="T29" s="3830"/>
      <c r="U29" s="3830"/>
      <c r="V29" s="3830"/>
      <c r="W29" s="3830"/>
      <c r="X29" s="3163"/>
      <c r="Y29" s="3829" t="s">
        <v>2825</v>
      </c>
      <c r="Z29" s="3830"/>
      <c r="AA29" s="3830"/>
      <c r="AB29" s="3830"/>
      <c r="AC29" s="3830"/>
      <c r="AD29" s="3830"/>
    </row>
    <row r="30" spans="1:44" s="3141" customFormat="1" ht="14.25" thickBot="1">
      <c r="B30" s="3142"/>
      <c r="C30" s="3143"/>
      <c r="D30" s="3144" t="s">
        <v>2826</v>
      </c>
      <c r="E30" s="3145" t="s">
        <v>2827</v>
      </c>
      <c r="F30" s="3145" t="s">
        <v>2828</v>
      </c>
      <c r="G30" s="3145" t="s">
        <v>2829</v>
      </c>
      <c r="H30" s="3145"/>
      <c r="I30" s="3145" t="s">
        <v>2830</v>
      </c>
      <c r="J30" s="3146"/>
      <c r="K30" s="3144" t="s">
        <v>2826</v>
      </c>
      <c r="L30" s="3145" t="s">
        <v>2827</v>
      </c>
      <c r="M30" s="3145" t="s">
        <v>2828</v>
      </c>
      <c r="N30" s="3145" t="s">
        <v>2829</v>
      </c>
      <c r="O30" s="3145"/>
      <c r="P30" s="3145" t="s">
        <v>2830</v>
      </c>
      <c r="Q30" s="3146"/>
      <c r="R30" s="3144" t="s">
        <v>2826</v>
      </c>
      <c r="S30" s="3145" t="s">
        <v>2827</v>
      </c>
      <c r="T30" s="3145" t="s">
        <v>2828</v>
      </c>
      <c r="U30" s="3145" t="s">
        <v>2829</v>
      </c>
      <c r="V30" s="3145"/>
      <c r="W30" s="3145" t="s">
        <v>2830</v>
      </c>
      <c r="X30" s="3146"/>
      <c r="Y30" s="3144" t="s">
        <v>2826</v>
      </c>
      <c r="Z30" s="3145" t="s">
        <v>2827</v>
      </c>
      <c r="AA30" s="3145" t="s">
        <v>2828</v>
      </c>
      <c r="AB30" s="3145" t="s">
        <v>2829</v>
      </c>
      <c r="AC30" s="3145"/>
      <c r="AD30" s="3145" t="s">
        <v>2830</v>
      </c>
      <c r="AG30" t="s">
        <v>673</v>
      </c>
      <c r="AH30" t="s">
        <v>21</v>
      </c>
      <c r="AI30" t="s">
        <v>3399</v>
      </c>
      <c r="AJ30"/>
      <c r="AK30" t="s">
        <v>3400</v>
      </c>
      <c r="AN30" t="s">
        <v>673</v>
      </c>
      <c r="AO30" t="s">
        <v>21</v>
      </c>
      <c r="AP30" t="s">
        <v>3399</v>
      </c>
      <c r="AQ30"/>
      <c r="AR30" t="s">
        <v>3400</v>
      </c>
    </row>
    <row r="31" spans="1:44" s="3159" customFormat="1" ht="12.75">
      <c r="A31" s="3147" t="s">
        <v>2831</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3397</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3413</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3" t="s">
        <v>3412</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3" t="s">
        <v>3401</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3" t="s">
        <v>3402</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3" t="s">
        <v>3368</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3372</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3369</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3367</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3365</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3364</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3362</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3361</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3360</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3350</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2832</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2833</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2834</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2835</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2821</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3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4" t="s">
        <v>2836</v>
      </c>
      <c r="B1" s="3844"/>
      <c r="C1" s="3844"/>
      <c r="D1" s="3844"/>
      <c r="E1" s="3844"/>
      <c r="F1" s="3844"/>
      <c r="G1" s="3845"/>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842" t="s">
        <v>2863</v>
      </c>
      <c r="B3" s="3228"/>
      <c r="C3" s="3229" t="s">
        <v>2808</v>
      </c>
      <c r="D3" s="3229" t="s">
        <v>2864</v>
      </c>
      <c r="E3" s="3229" t="s">
        <v>2810</v>
      </c>
      <c r="F3" s="3229" t="s">
        <v>2865</v>
      </c>
      <c r="G3" s="3229" t="s">
        <v>2628</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843"/>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45965</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45797</v>
      </c>
      <c r="D13" s="2820">
        <v>3</v>
      </c>
      <c r="E13" s="2820">
        <v>3</v>
      </c>
      <c r="F13" s="2820">
        <f t="shared" ref="F13:F18" si="0">D13</f>
        <v>3</v>
      </c>
      <c r="G13" s="2820">
        <f t="shared" ref="G13:G18" si="1">D13</f>
        <v>3</v>
      </c>
      <c r="H13" s="2820">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45586</v>
      </c>
      <c r="D14" s="2815">
        <v>3.1</v>
      </c>
      <c r="E14" s="2815">
        <f>D14</f>
        <v>3.1</v>
      </c>
      <c r="F14" s="2815">
        <f t="shared" si="0"/>
        <v>3.1</v>
      </c>
      <c r="G14" s="2815">
        <f t="shared" si="1"/>
        <v>3.1</v>
      </c>
      <c r="H14" s="2815">
        <v>3.6</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45495</v>
      </c>
      <c r="D15" s="2815">
        <v>3.35</v>
      </c>
      <c r="E15" s="2815">
        <f>D15</f>
        <v>3.35</v>
      </c>
      <c r="F15" s="2815">
        <f t="shared" si="0"/>
        <v>3.35</v>
      </c>
      <c r="G15" s="2815">
        <f t="shared" si="1"/>
        <v>3.35</v>
      </c>
      <c r="H15" s="2815">
        <v>3.85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45342</v>
      </c>
      <c r="D16" s="2815">
        <v>3.45</v>
      </c>
      <c r="E16" s="2815">
        <f>D16</f>
        <v>3.45</v>
      </c>
      <c r="F16" s="2815">
        <f t="shared" si="0"/>
        <v>3.45</v>
      </c>
      <c r="G16" s="2815">
        <f t="shared" si="1"/>
        <v>3.45</v>
      </c>
      <c r="H16" s="2815">
        <v>3.95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45159</v>
      </c>
      <c r="D17" s="2815">
        <v>3.45</v>
      </c>
      <c r="E17" s="2815">
        <f>D17</f>
        <v>3.45</v>
      </c>
      <c r="F17" s="2815">
        <f t="shared" si="0"/>
        <v>3.45</v>
      </c>
      <c r="G17" s="2815">
        <f t="shared" si="1"/>
        <v>3.45</v>
      </c>
      <c r="H17" s="2815">
        <v>4.2</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44795</v>
      </c>
      <c r="D19" s="2815">
        <v>3.65</v>
      </c>
      <c r="E19" s="2815">
        <v>3.65</v>
      </c>
      <c r="F19" s="2815">
        <v>3.65</v>
      </c>
      <c r="G19" s="2815">
        <v>3.65</v>
      </c>
      <c r="H19" s="2815">
        <v>4.3</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6">
        <v>44701</v>
      </c>
      <c r="D20" s="2815">
        <v>3.7</v>
      </c>
      <c r="E20" s="2815">
        <f>D20</f>
        <v>3.7</v>
      </c>
      <c r="F20" s="2815">
        <f>D20</f>
        <v>3.7</v>
      </c>
      <c r="G20" s="2815">
        <f>D20</f>
        <v>3.7</v>
      </c>
      <c r="H20" s="2815">
        <v>4.45</v>
      </c>
      <c r="I20" s="2820"/>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6">
        <v>44581</v>
      </c>
      <c r="D21" s="2815">
        <v>3.7</v>
      </c>
      <c r="E21" s="2815">
        <f>D21</f>
        <v>3.7</v>
      </c>
      <c r="F21" s="2815">
        <f>D21</f>
        <v>3.7</v>
      </c>
      <c r="G21" s="2815">
        <f>D21</f>
        <v>3.7</v>
      </c>
      <c r="H21" s="2815">
        <v>4.5999999999999996</v>
      </c>
      <c r="I21" s="2820"/>
      <c r="J21" s="282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44550</v>
      </c>
      <c r="D22" s="2815">
        <v>3.8</v>
      </c>
      <c r="E22" s="2815">
        <f>D22</f>
        <v>3.8</v>
      </c>
      <c r="F22" s="2815">
        <f>D22</f>
        <v>3.8</v>
      </c>
      <c r="G22" s="2815">
        <f>D22</f>
        <v>3.8</v>
      </c>
      <c r="H22" s="2815">
        <v>4.6500000000000004</v>
      </c>
      <c r="I22" s="2815"/>
      <c r="J22" s="282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43941</v>
      </c>
      <c r="D23" s="2815">
        <v>3.85</v>
      </c>
      <c r="E23" s="2815">
        <v>3.85</v>
      </c>
      <c r="F23" s="2815">
        <v>3.85</v>
      </c>
      <c r="G23" s="2815">
        <v>3.85</v>
      </c>
      <c r="H23" s="2815">
        <v>4.6500000000000004</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43881</v>
      </c>
      <c r="D24" s="2815">
        <v>4.05</v>
      </c>
      <c r="E24" s="2815">
        <v>4.05</v>
      </c>
      <c r="F24" s="2815">
        <v>4.05</v>
      </c>
      <c r="G24" s="2815">
        <v>4.05</v>
      </c>
      <c r="H24" s="2815">
        <v>4.75</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5"/>
      <c r="C25" s="2816">
        <v>43789</v>
      </c>
      <c r="D25" s="2815">
        <v>4.1500000000000004</v>
      </c>
      <c r="E25" s="2815">
        <v>4.1500000000000004</v>
      </c>
      <c r="F25" s="2815">
        <v>4.1500000000000004</v>
      </c>
      <c r="G25" s="2815">
        <v>4.1500000000000004</v>
      </c>
      <c r="H25" s="2815">
        <v>4.8</v>
      </c>
      <c r="I25" s="2815"/>
      <c r="J25" s="2815"/>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5"/>
      <c r="C26" s="2816">
        <v>43728</v>
      </c>
      <c r="D26" s="2815">
        <v>4.2</v>
      </c>
      <c r="E26" s="2815">
        <v>4.2</v>
      </c>
      <c r="F26" s="2815">
        <v>4.2</v>
      </c>
      <c r="G26" s="2815">
        <v>4.2</v>
      </c>
      <c r="H26" s="2815">
        <v>4.8499999999999996</v>
      </c>
      <c r="I26" s="2815"/>
      <c r="J26" s="281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4" t="s">
        <v>2306</v>
      </c>
      <c r="C27" s="2817">
        <v>43697</v>
      </c>
      <c r="D27" s="2818">
        <v>4.25</v>
      </c>
      <c r="E27" s="2818">
        <v>4.25</v>
      </c>
      <c r="F27" s="2818">
        <v>4.25</v>
      </c>
      <c r="G27" s="2818">
        <v>4.25</v>
      </c>
      <c r="H27" s="2818">
        <v>4.8499999999999996</v>
      </c>
      <c r="I27" s="2818"/>
      <c r="J27" s="281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2"/>
      <c r="C28" s="2823">
        <v>42301</v>
      </c>
      <c r="D28" s="2824">
        <v>4.3499999999999996</v>
      </c>
      <c r="E28" s="2824">
        <v>4.3499999999999996</v>
      </c>
      <c r="F28" s="2824">
        <v>4.75</v>
      </c>
      <c r="G28" s="2824">
        <v>4.75</v>
      </c>
      <c r="H28" s="2824">
        <v>4.9000000000000004</v>
      </c>
      <c r="I28" s="2824"/>
      <c r="J28" s="2824"/>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workbookViewId="0">
      <selection activeCell="U42" sqref="U42"/>
    </sheetView>
  </sheetViews>
  <sheetFormatPr defaultRowHeight="13.5"/>
  <sheetData>
    <row r="5" spans="4:4">
      <c r="D5" s="3499"/>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9" sqref="O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2" t="s">
        <v>925</v>
      </c>
      <c r="E3" s="852" t="s">
        <v>931</v>
      </c>
      <c r="F3" s="852" t="s">
        <v>925</v>
      </c>
      <c r="G3" s="852" t="s">
        <v>926</v>
      </c>
      <c r="H3" s="852" t="s">
        <v>925</v>
      </c>
      <c r="I3" s="852" t="s">
        <v>926</v>
      </c>
    </row>
    <row r="4" spans="1:9" ht="45">
      <c r="A4" s="1503" t="str">
        <f>项目基本情况!S2</f>
        <v>北京市朝阳区东三环中路39号院23号楼3层0302办公用房房地产</v>
      </c>
      <c r="B4" s="852">
        <f>项目基本情况!C17</f>
        <v>279.52999999999997</v>
      </c>
      <c r="C4" s="852">
        <f>项目基本情况!C18</f>
        <v>0</v>
      </c>
      <c r="D4" s="852">
        <f ca="1">结果表!D118</f>
        <v>624</v>
      </c>
      <c r="E4" s="852">
        <f ca="1">结果表!E118</f>
        <v>22333</v>
      </c>
      <c r="F4" s="852">
        <f ca="1">结果表!F118</f>
        <v>219</v>
      </c>
      <c r="G4" s="852">
        <f ca="1">结果表!G118</f>
        <v>7847</v>
      </c>
      <c r="H4" s="852">
        <f ca="1">结果表!H118</f>
        <v>844</v>
      </c>
      <c r="I4" s="852">
        <f ca="1">结果表!I118</f>
        <v>30180</v>
      </c>
    </row>
    <row r="5" spans="1:9" ht="30" customHeight="1">
      <c r="A5" s="3517" t="s">
        <v>927</v>
      </c>
      <c r="B5" s="3517"/>
      <c r="C5" s="3517"/>
      <c r="D5" s="3517" t="str">
        <f ca="1">结果表!D119</f>
        <v>陆佰贰拾肆万元整</v>
      </c>
      <c r="E5" s="3517"/>
      <c r="F5" s="3517" t="str">
        <f ca="1">结果表!F119</f>
        <v>贰佰壹拾玖万元整</v>
      </c>
      <c r="G5" s="3517"/>
      <c r="H5" s="3517" t="str">
        <f ca="1">结果表!H119</f>
        <v>捌佰肆拾肆万元整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844</v>
      </c>
      <c r="E8" s="3516"/>
      <c r="F8" s="3516"/>
      <c r="G8" s="3516"/>
      <c r="H8" s="3516"/>
      <c r="I8" s="3516"/>
    </row>
    <row r="9" spans="1:9" ht="15">
      <c r="A9" s="3517" t="s">
        <v>927</v>
      </c>
      <c r="B9" s="3517"/>
      <c r="C9" s="3517"/>
      <c r="D9" s="3517" t="str">
        <f ca="1">结果表!D123</f>
        <v>捌佰肆拾肆万元整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9" t="s">
        <v>949</v>
      </c>
      <c r="B1" s="3529"/>
      <c r="C1" s="3529"/>
      <c r="D1" s="3529"/>
    </row>
    <row r="2" spans="1:4" ht="18">
      <c r="A2" s="3530" t="s">
        <v>933</v>
      </c>
      <c r="B2" s="3530"/>
      <c r="C2" s="3530"/>
      <c r="D2" s="353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0" t="s">
        <v>939</v>
      </c>
      <c r="B6" s="3530"/>
      <c r="C6" s="3530"/>
      <c r="D6" s="353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7" t="s">
        <v>956</v>
      </c>
      <c r="B15" s="3532" t="s">
        <v>109</v>
      </c>
      <c r="C15" s="3533"/>
    </row>
    <row r="16" spans="1:7" ht="13.5">
      <c r="A16" s="3538"/>
      <c r="B16" s="3532" t="s">
        <v>42</v>
      </c>
      <c r="C16" s="3533"/>
    </row>
    <row r="17" spans="1:3" ht="13.5">
      <c r="A17" s="3538"/>
      <c r="B17" s="3535" t="s">
        <v>957</v>
      </c>
      <c r="C17" s="1530" t="s">
        <v>956</v>
      </c>
    </row>
    <row r="18" spans="1:3" ht="13.5">
      <c r="A18" s="3538"/>
      <c r="B18" s="3535"/>
      <c r="C18" s="1530" t="s">
        <v>958</v>
      </c>
    </row>
    <row r="19" spans="1:3" ht="13.5">
      <c r="A19" s="3538"/>
      <c r="B19" s="3535"/>
      <c r="C19" s="1530" t="s">
        <v>959</v>
      </c>
    </row>
    <row r="20" spans="1:3" ht="13.5">
      <c r="A20" s="3539"/>
      <c r="B20" s="3534" t="s">
        <v>960</v>
      </c>
      <c r="C20" s="3533"/>
    </row>
    <row r="21" spans="1:3" ht="13.5">
      <c r="A21" s="1531" t="s">
        <v>961</v>
      </c>
      <c r="B21" s="1532"/>
      <c r="C21" s="1533"/>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0" t="s">
        <v>967</v>
      </c>
    </row>
    <row r="26" spans="1:3" ht="13.5">
      <c r="A26" s="3536"/>
      <c r="B26" s="3535"/>
      <c r="C26" s="1530" t="s">
        <v>968</v>
      </c>
    </row>
    <row r="27" spans="1:3" ht="13.5">
      <c r="A27" s="3536"/>
      <c r="B27" s="3535"/>
      <c r="C27" s="1530" t="s">
        <v>969</v>
      </c>
    </row>
    <row r="28" spans="1:3" ht="13.5">
      <c r="A28" s="3536"/>
      <c r="B28" s="3535"/>
      <c r="C28" s="1530" t="s">
        <v>970</v>
      </c>
    </row>
    <row r="29" spans="1:3" ht="13.5">
      <c r="A29" s="3536"/>
      <c r="B29" s="3535"/>
      <c r="C29" s="1530" t="s">
        <v>971</v>
      </c>
    </row>
    <row r="30" spans="1:3" ht="13.5">
      <c r="A30" s="3536"/>
      <c r="B30" s="3535"/>
      <c r="C30" s="1530" t="s">
        <v>972</v>
      </c>
    </row>
    <row r="31" spans="1:3" ht="13.5">
      <c r="A31" s="3536"/>
      <c r="B31" s="3535"/>
      <c r="C31" s="1530" t="s">
        <v>973</v>
      </c>
    </row>
    <row r="32" spans="1:3" ht="13.5">
      <c r="A32" s="3536"/>
      <c r="B32" s="3535"/>
      <c r="C32" s="1530" t="s">
        <v>974</v>
      </c>
    </row>
    <row r="33" spans="1:3" ht="13.5">
      <c r="A33" s="3536"/>
      <c r="B33" s="353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45966</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0" t="s">
        <v>2157</v>
      </c>
      <c r="B17" s="3540"/>
      <c r="C17" s="3540"/>
      <c r="D17" s="3540"/>
      <c r="E17" s="3540"/>
      <c r="F17" s="3540"/>
      <c r="G17" s="3540"/>
      <c r="H17" s="3540"/>
    </row>
    <row r="18" spans="1:8" ht="24" customHeight="1">
      <c r="A18" s="3541" t="s">
        <v>2158</v>
      </c>
      <c r="B18" s="3541"/>
      <c r="C18" s="3541"/>
      <c r="D18" s="2341"/>
      <c r="E18" s="3542" t="s">
        <v>2159</v>
      </c>
      <c r="F18" s="3541"/>
      <c r="G18" s="354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2025-11-05T02:16:49Z</dcterms:modified>
</cp:coreProperties>
</file>