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王曦\☆报告☆\2017\2017古北水镇\"/>
    </mc:Choice>
  </mc:AlternateContent>
  <bookViews>
    <workbookView xWindow="480" yWindow="210" windowWidth="12120" windowHeight="7620" tabRatio="786" firstSheet="10" activeTab="1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面积房号清单" sheetId="76" state="hidden" r:id="rId12"/>
    <sheet name="面积表" sheetId="77" r:id="rId13"/>
    <sheet name="Sheet2" sheetId="79" state="hidden" r:id="rId14"/>
    <sheet name="数据-基础表" sheetId="3" r:id="rId15"/>
    <sheet name="抵押物清单（分楼）" sheetId="42" state="hidden" r:id="rId16"/>
    <sheet name="数据-汇总表" sheetId="6" r:id="rId17"/>
    <sheet name="数据-取费表" sheetId="1" r:id="rId18"/>
    <sheet name="估价对象房地状况" sheetId="20" r:id="rId19"/>
    <sheet name="系统读取表" sheetId="74" r:id="rId20"/>
    <sheet name="结果表" sheetId="9" r:id="rId21"/>
    <sheet name="成本法" sheetId="68" r:id="rId22"/>
    <sheet name="成本法 (元)" sheetId="69" state="hidden" r:id="rId23"/>
    <sheet name="假设开发法" sheetId="12" r:id="rId24"/>
    <sheet name="收益法" sheetId="15" r:id="rId25"/>
    <sheet name="收益法 (元)" sheetId="67" state="hidden" r:id="rId26"/>
    <sheet name="收益法（汇总）" sheetId="70" state="hidden"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修正" sheetId="45" state="hidden" r:id="rId38"/>
    <sheet name="容积率修正" sheetId="4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13" hidden="1">Sheet2!$A$1:$L$384</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面积表!$A$1:$O$387</definedName>
    <definedName name="_xlnm._FilterDatabase" localSheetId="11" hidden="1">面积房号清单!$A$1:$O$363</definedName>
    <definedName name="_xlnm._FilterDatabase" localSheetId="14"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估价师及机构信息!$A$1:$F$24</definedName>
    <definedName name="_xlnm.Print_Area" localSheetId="24">收益法!$A$1:$AK$69</definedName>
    <definedName name="_xlnm.Print_Area" localSheetId="25">'收益法 (元)'!$A$1:$AK$69</definedName>
    <definedName name="_xlnm.Print_Area" localSheetId="16">'数据-汇总表'!$A$1:$P$32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concurrentCalc="0"/>
</workbook>
</file>

<file path=xl/calcChain.xml><?xml version="1.0" encoding="utf-8"?>
<calcChain xmlns="http://schemas.openxmlformats.org/spreadsheetml/2006/main">
  <c r="B28" i="1" l="1"/>
  <c r="D4" i="73"/>
  <c r="E20" i="43"/>
  <c r="M17" i="43"/>
  <c r="G20" i="43"/>
  <c r="C20" i="43"/>
  <c r="C29" i="43"/>
  <c r="E29" i="43"/>
  <c r="C33" i="43"/>
  <c r="E33" i="43"/>
  <c r="C34" i="43"/>
  <c r="E34" i="43"/>
  <c r="C35" i="43"/>
  <c r="E35" i="43"/>
  <c r="C36" i="43"/>
  <c r="E36" i="43"/>
  <c r="C37" i="43"/>
  <c r="E37" i="43"/>
  <c r="C38" i="43"/>
  <c r="E38" i="43"/>
  <c r="C39" i="43"/>
  <c r="E39" i="43"/>
  <c r="C26" i="43"/>
  <c r="B2" i="43"/>
  <c r="C6" i="68"/>
  <c r="C7" i="68"/>
  <c r="C5" i="68"/>
  <c r="C20" i="68"/>
  <c r="D6"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C4" i="12"/>
  <c r="C11" i="12"/>
  <c r="C12" i="12"/>
  <c r="C13" i="12"/>
  <c r="D14" i="12"/>
  <c r="F11" i="12"/>
  <c r="C14" i="12"/>
  <c r="C15" i="12"/>
  <c r="C16" i="12"/>
  <c r="D17" i="12"/>
  <c r="C17" i="12"/>
  <c r="D19" i="12"/>
  <c r="E19" i="12"/>
  <c r="C19" i="12"/>
  <c r="D20" i="12"/>
  <c r="E20" i="12"/>
  <c r="C20" i="12"/>
  <c r="C18" i="12"/>
  <c r="C21" i="12"/>
  <c r="C22" i="12"/>
  <c r="C23" i="12"/>
  <c r="F25" i="12"/>
  <c r="C27" i="12"/>
  <c r="C25" i="12"/>
  <c r="F28" i="12"/>
  <c r="C30" i="12"/>
  <c r="C28" i="12"/>
  <c r="C31" i="12"/>
  <c r="C26" i="12"/>
  <c r="D25" i="12"/>
  <c r="C29" i="12"/>
  <c r="D28" i="12"/>
  <c r="C32" i="12"/>
  <c r="B2" i="12"/>
  <c r="D19" i="9"/>
  <c r="G19" i="9"/>
  <c r="F35" i="9"/>
  <c r="F34" i="9"/>
  <c r="H385" i="77"/>
  <c r="B411" i="77"/>
  <c r="D411" i="77"/>
  <c r="G411" i="77"/>
  <c r="O14" i="1"/>
  <c r="B390" i="77"/>
  <c r="D390" i="77"/>
  <c r="G390" i="77"/>
  <c r="B391" i="77"/>
  <c r="D391" i="77"/>
  <c r="G391" i="77"/>
  <c r="B392" i="77"/>
  <c r="D392" i="77"/>
  <c r="G392" i="77"/>
  <c r="B393" i="77"/>
  <c r="D393" i="77"/>
  <c r="G393" i="77"/>
  <c r="B394" i="77"/>
  <c r="D394" i="77"/>
  <c r="G394" i="77"/>
  <c r="B395" i="77"/>
  <c r="D395" i="77"/>
  <c r="G395" i="77"/>
  <c r="B396" i="77"/>
  <c r="D396" i="77"/>
  <c r="G396" i="77"/>
  <c r="B397" i="77"/>
  <c r="D397" i="77"/>
  <c r="G397" i="77"/>
  <c r="B398" i="77"/>
  <c r="D398" i="77"/>
  <c r="G398" i="77"/>
  <c r="B399" i="77"/>
  <c r="D399" i="77"/>
  <c r="G399" i="77"/>
  <c r="B400" i="77"/>
  <c r="D400" i="77"/>
  <c r="G400" i="77"/>
  <c r="I67" i="77"/>
  <c r="I69" i="77"/>
  <c r="I70" i="77"/>
  <c r="I72" i="77"/>
  <c r="I73" i="77"/>
  <c r="I74" i="77"/>
  <c r="I77" i="77"/>
  <c r="I79" i="77"/>
  <c r="I80" i="77"/>
  <c r="I81" i="77"/>
  <c r="I83" i="77"/>
  <c r="I85" i="77"/>
  <c r="I86" i="77"/>
  <c r="I87" i="77"/>
  <c r="I88" i="77"/>
  <c r="I89" i="77"/>
  <c r="I90" i="77"/>
  <c r="I91" i="77"/>
  <c r="I92" i="77"/>
  <c r="I93" i="77"/>
  <c r="B401" i="77"/>
  <c r="D401" i="77"/>
  <c r="G401" i="77"/>
  <c r="I94" i="77"/>
  <c r="I95" i="77"/>
  <c r="I96" i="77"/>
  <c r="I98" i="77"/>
  <c r="I99" i="77"/>
  <c r="I100" i="77"/>
  <c r="I101" i="77"/>
  <c r="I103" i="77"/>
  <c r="I104" i="77"/>
  <c r="I105" i="77"/>
  <c r="I106" i="77"/>
  <c r="I107" i="77"/>
  <c r="I109" i="77"/>
  <c r="I110" i="77"/>
  <c r="I112" i="77"/>
  <c r="I113" i="77"/>
  <c r="I114" i="77"/>
  <c r="I115" i="77"/>
  <c r="I116" i="77"/>
  <c r="I117" i="77"/>
  <c r="I118" i="77"/>
  <c r="I120" i="77"/>
  <c r="I121" i="77"/>
  <c r="I123" i="77"/>
  <c r="I124" i="77"/>
  <c r="I125" i="77"/>
  <c r="I127" i="77"/>
  <c r="I128" i="77"/>
  <c r="I130" i="77"/>
  <c r="I132" i="77"/>
  <c r="I133" i="77"/>
  <c r="I134" i="77"/>
  <c r="I135" i="77"/>
  <c r="I136" i="77"/>
  <c r="I137" i="77"/>
  <c r="I138" i="77"/>
  <c r="I139" i="77"/>
  <c r="I140" i="77"/>
  <c r="I141" i="77"/>
  <c r="I142" i="77"/>
  <c r="I143" i="77"/>
  <c r="I144" i="77"/>
  <c r="I145" i="77"/>
  <c r="I146" i="77"/>
  <c r="I147" i="77"/>
  <c r="I148" i="77"/>
  <c r="I149" i="77"/>
  <c r="I150" i="77"/>
  <c r="I152" i="77"/>
  <c r="I154" i="77"/>
  <c r="I155" i="77"/>
  <c r="I156" i="77"/>
  <c r="I157" i="77"/>
  <c r="I160" i="77"/>
  <c r="I161" i="77"/>
  <c r="I162" i="77"/>
  <c r="I163" i="77"/>
  <c r="B402" i="77"/>
  <c r="D402" i="77"/>
  <c r="G402" i="77"/>
  <c r="B403" i="77"/>
  <c r="D403" i="77"/>
  <c r="G403" i="77"/>
  <c r="B404" i="77"/>
  <c r="D404" i="77"/>
  <c r="G404" i="77"/>
  <c r="B405" i="77"/>
  <c r="D405" i="77"/>
  <c r="G405" i="77"/>
  <c r="I221" i="77"/>
  <c r="I222" i="77"/>
  <c r="I223" i="77"/>
  <c r="I224" i="77"/>
  <c r="I225" i="77"/>
  <c r="I226" i="77"/>
  <c r="I227" i="77"/>
  <c r="I228" i="77"/>
  <c r="I229" i="77"/>
  <c r="I230" i="77"/>
  <c r="I232" i="77"/>
  <c r="I233" i="77"/>
  <c r="I234" i="77"/>
  <c r="I235" i="77"/>
  <c r="I236" i="77"/>
  <c r="I237" i="77"/>
  <c r="I238" i="77"/>
  <c r="I239" i="77"/>
  <c r="I240" i="77"/>
  <c r="I241" i="77"/>
  <c r="I242" i="77"/>
  <c r="I243" i="77"/>
  <c r="I244" i="77"/>
  <c r="I245" i="77"/>
  <c r="I246" i="77"/>
  <c r="I247" i="77"/>
  <c r="I248" i="77"/>
  <c r="I249" i="77"/>
  <c r="I250" i="77"/>
  <c r="I251" i="77"/>
  <c r="I252" i="77"/>
  <c r="I253" i="77"/>
  <c r="I254" i="77"/>
  <c r="I256" i="77"/>
  <c r="I257" i="77"/>
  <c r="I260" i="77"/>
  <c r="I261" i="77"/>
  <c r="I262" i="77"/>
  <c r="I263" i="77"/>
  <c r="I264" i="77"/>
  <c r="I265" i="77"/>
  <c r="I266" i="77"/>
  <c r="I267" i="77"/>
  <c r="I268" i="77"/>
  <c r="I269" i="77"/>
  <c r="I270" i="77"/>
  <c r="I271" i="77"/>
  <c r="I273" i="77"/>
  <c r="I275" i="77"/>
  <c r="I276" i="77"/>
  <c r="I277" i="77"/>
  <c r="I278" i="77"/>
  <c r="I279" i="77"/>
  <c r="I280" i="77"/>
  <c r="I281" i="77"/>
  <c r="I282" i="77"/>
  <c r="I283" i="77"/>
  <c r="I284" i="77"/>
  <c r="I285" i="77"/>
  <c r="I286" i="77"/>
  <c r="I287" i="77"/>
  <c r="I288" i="77"/>
  <c r="I289" i="77"/>
  <c r="I290" i="77"/>
  <c r="I291" i="77"/>
  <c r="I293" i="77"/>
  <c r="I294" i="77"/>
  <c r="I296" i="77"/>
  <c r="I297" i="77"/>
  <c r="I298" i="77"/>
  <c r="I299" i="77"/>
  <c r="I300" i="77"/>
  <c r="I301" i="77"/>
  <c r="I302" i="77"/>
  <c r="I303" i="77"/>
  <c r="I304" i="77"/>
  <c r="I305" i="77"/>
  <c r="I306" i="77"/>
  <c r="I307" i="77"/>
  <c r="I308" i="77"/>
  <c r="I309" i="77"/>
  <c r="I310" i="77"/>
  <c r="I311" i="77"/>
  <c r="I312" i="77"/>
  <c r="I313" i="77"/>
  <c r="B406" i="77"/>
  <c r="D406" i="77"/>
  <c r="G406" i="77"/>
  <c r="I317" i="77"/>
  <c r="I316" i="77"/>
  <c r="B407" i="77"/>
  <c r="D407" i="77"/>
  <c r="G407" i="77"/>
  <c r="B408" i="77"/>
  <c r="D408" i="77"/>
  <c r="G408" i="77"/>
  <c r="I338" i="77"/>
  <c r="I339" i="77"/>
  <c r="I340" i="77"/>
  <c r="I341" i="77"/>
  <c r="I342" i="77"/>
  <c r="I343" i="77"/>
  <c r="I344" i="77"/>
  <c r="I345" i="77"/>
  <c r="I346" i="77"/>
  <c r="I347" i="77"/>
  <c r="I348" i="77"/>
  <c r="I349" i="77"/>
  <c r="I350" i="77"/>
  <c r="I351" i="77"/>
  <c r="I352" i="77"/>
  <c r="I353" i="77"/>
  <c r="I354" i="77"/>
  <c r="I355" i="77"/>
  <c r="I356" i="77"/>
  <c r="I357" i="77"/>
  <c r="I358" i="77"/>
  <c r="I359" i="77"/>
  <c r="I360" i="77"/>
  <c r="I361" i="77"/>
  <c r="I362" i="77"/>
  <c r="I364" i="77"/>
  <c r="I365" i="77"/>
  <c r="I366" i="77"/>
  <c r="I367" i="77"/>
  <c r="I368" i="77"/>
  <c r="I369" i="77"/>
  <c r="I370" i="77"/>
  <c r="I371" i="77"/>
  <c r="I372" i="77"/>
  <c r="I373" i="77"/>
  <c r="I374" i="77"/>
  <c r="I375" i="77"/>
  <c r="I376" i="77"/>
  <c r="I378" i="77"/>
  <c r="I379" i="77"/>
  <c r="I380" i="77"/>
  <c r="I381" i="77"/>
  <c r="B409" i="77"/>
  <c r="D409" i="77"/>
  <c r="G409" i="77"/>
  <c r="G410" i="77"/>
  <c r="O6" i="1"/>
  <c r="A6" i="1"/>
  <c r="G1" i="15"/>
  <c r="H384" i="77"/>
  <c r="H386" i="77"/>
  <c r="J315" i="77"/>
  <c r="J387" i="77"/>
  <c r="J386" i="77"/>
  <c r="I13" i="3"/>
  <c r="F19" i="6"/>
  <c r="K13" i="3"/>
  <c r="G19" i="6"/>
  <c r="E19" i="6"/>
  <c r="K6" i="1"/>
  <c r="C28" i="66"/>
  <c r="C29" i="66"/>
  <c r="C27" i="66"/>
  <c r="C30" i="66"/>
  <c r="C31" i="66"/>
  <c r="C32" i="66"/>
  <c r="E26" i="66"/>
  <c r="E39" i="66"/>
  <c r="C391" i="77"/>
  <c r="C392" i="77"/>
  <c r="C393" i="77"/>
  <c r="C394" i="77"/>
  <c r="C395" i="77"/>
  <c r="C396" i="77"/>
  <c r="C397" i="77"/>
  <c r="C399" i="77"/>
  <c r="C400" i="77"/>
  <c r="C401" i="77"/>
  <c r="C402" i="77"/>
  <c r="C403" i="77"/>
  <c r="C404" i="77"/>
  <c r="C405" i="77"/>
  <c r="C406" i="77"/>
  <c r="C409" i="77"/>
  <c r="D410" i="77"/>
  <c r="B413" i="77"/>
  <c r="A7" i="1"/>
  <c r="K7" i="1"/>
  <c r="A8" i="1"/>
  <c r="K8" i="1"/>
  <c r="A9" i="1"/>
  <c r="K9" i="1"/>
  <c r="A10" i="1"/>
  <c r="K10" i="1"/>
  <c r="A11" i="1"/>
  <c r="K11" i="1"/>
  <c r="A12" i="1"/>
  <c r="K12" i="1"/>
  <c r="A13" i="1"/>
  <c r="K13" i="1"/>
  <c r="J384" i="77"/>
  <c r="J385" i="77"/>
  <c r="I385" i="77"/>
  <c r="AL13"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K15" i="1"/>
  <c r="K16" i="1"/>
  <c r="B410" i="77"/>
  <c r="E392" i="77"/>
  <c r="E393" i="77"/>
  <c r="E394" i="77"/>
  <c r="E399" i="77"/>
  <c r="E400" i="77"/>
  <c r="E401" i="77"/>
  <c r="E402" i="77"/>
  <c r="E403" i="77"/>
  <c r="E404" i="77"/>
  <c r="E405" i="77"/>
  <c r="E406" i="77"/>
  <c r="E407" i="77"/>
  <c r="E408" i="77"/>
  <c r="E409" i="77"/>
  <c r="E395" i="77"/>
  <c r="E396" i="77"/>
  <c r="E397" i="77"/>
  <c r="E391" i="77"/>
  <c r="E410" i="77"/>
  <c r="Q6" i="1"/>
  <c r="F410" i="77"/>
  <c r="M6" i="1"/>
  <c r="L6" i="1"/>
  <c r="K384" i="79"/>
  <c r="J315" i="79"/>
  <c r="J384" i="79"/>
  <c r="I6" i="79"/>
  <c r="I7" i="79"/>
  <c r="I9" i="79"/>
  <c r="I11" i="79"/>
  <c r="I13" i="79"/>
  <c r="I14" i="79"/>
  <c r="I15" i="79"/>
  <c r="I16" i="79"/>
  <c r="I17" i="79"/>
  <c r="I18" i="79"/>
  <c r="I19" i="79"/>
  <c r="I20" i="79"/>
  <c r="I21" i="79"/>
  <c r="I22" i="79"/>
  <c r="I23" i="79"/>
  <c r="I24" i="79"/>
  <c r="I25" i="79"/>
  <c r="I26" i="79"/>
  <c r="I27" i="79"/>
  <c r="I28" i="79"/>
  <c r="I29" i="79"/>
  <c r="I30" i="79"/>
  <c r="I31" i="79"/>
  <c r="I33" i="79"/>
  <c r="I34" i="79"/>
  <c r="I35" i="79"/>
  <c r="I36" i="79"/>
  <c r="I37" i="79"/>
  <c r="I40" i="79"/>
  <c r="I60" i="79"/>
  <c r="I62" i="79"/>
  <c r="I67" i="79"/>
  <c r="I69" i="79"/>
  <c r="I70" i="79"/>
  <c r="I71" i="79"/>
  <c r="I72" i="79"/>
  <c r="I73" i="79"/>
  <c r="I74" i="79"/>
  <c r="I75" i="79"/>
  <c r="I76" i="79"/>
  <c r="I77" i="79"/>
  <c r="I78" i="79"/>
  <c r="I79" i="79"/>
  <c r="I80" i="79"/>
  <c r="I81" i="79"/>
  <c r="I82" i="79"/>
  <c r="I83" i="79"/>
  <c r="I84" i="79"/>
  <c r="I85" i="79"/>
  <c r="I86" i="79"/>
  <c r="I87" i="79"/>
  <c r="I88" i="79"/>
  <c r="I89" i="79"/>
  <c r="I90" i="79"/>
  <c r="I91" i="79"/>
  <c r="I92" i="79"/>
  <c r="I93" i="79"/>
  <c r="I94" i="79"/>
  <c r="I95" i="79"/>
  <c r="I96" i="79"/>
  <c r="I97" i="79"/>
  <c r="I98" i="79"/>
  <c r="I99" i="79"/>
  <c r="I100" i="79"/>
  <c r="I101" i="79"/>
  <c r="I103" i="79"/>
  <c r="I104" i="79"/>
  <c r="I105" i="79"/>
  <c r="I106" i="79"/>
  <c r="I107" i="79"/>
  <c r="I108" i="79"/>
  <c r="I109" i="79"/>
  <c r="I110" i="79"/>
  <c r="I111" i="79"/>
  <c r="I112" i="79"/>
  <c r="I113" i="79"/>
  <c r="I114" i="79"/>
  <c r="I115" i="79"/>
  <c r="I116" i="79"/>
  <c r="I117" i="79"/>
  <c r="I118" i="79"/>
  <c r="I120" i="79"/>
  <c r="I121" i="79"/>
  <c r="I122" i="79"/>
  <c r="I123" i="79"/>
  <c r="I124" i="79"/>
  <c r="I125" i="79"/>
  <c r="I126" i="79"/>
  <c r="I127" i="79"/>
  <c r="I128" i="79"/>
  <c r="I130" i="79"/>
  <c r="I131" i="79"/>
  <c r="I132" i="79"/>
  <c r="I133" i="79"/>
  <c r="I134" i="79"/>
  <c r="I135" i="79"/>
  <c r="I136" i="79"/>
  <c r="I137" i="79"/>
  <c r="I138" i="79"/>
  <c r="I139" i="79"/>
  <c r="I140" i="79"/>
  <c r="I141" i="79"/>
  <c r="I142" i="79"/>
  <c r="I143" i="79"/>
  <c r="I144" i="79"/>
  <c r="I145" i="79"/>
  <c r="I146" i="79"/>
  <c r="I147" i="79"/>
  <c r="I148" i="79"/>
  <c r="I149" i="79"/>
  <c r="I150" i="79"/>
  <c r="I151" i="79"/>
  <c r="I152" i="79"/>
  <c r="I153" i="79"/>
  <c r="I154" i="79"/>
  <c r="I155" i="79"/>
  <c r="I156" i="79"/>
  <c r="I157" i="79"/>
  <c r="I158" i="79"/>
  <c r="I159" i="79"/>
  <c r="I160" i="79"/>
  <c r="I161" i="79"/>
  <c r="I162" i="79"/>
  <c r="I163" i="79"/>
  <c r="I164" i="79"/>
  <c r="I165" i="79"/>
  <c r="I167" i="79"/>
  <c r="I168" i="79"/>
  <c r="I169" i="79"/>
  <c r="I180" i="79"/>
  <c r="I181" i="79"/>
  <c r="I182" i="79"/>
  <c r="I183" i="79"/>
  <c r="I184" i="79"/>
  <c r="I186" i="79"/>
  <c r="I187" i="79"/>
  <c r="I188" i="79"/>
  <c r="I189" i="79"/>
  <c r="I190" i="79"/>
  <c r="I191" i="79"/>
  <c r="I192" i="79"/>
  <c r="I193" i="79"/>
  <c r="I194" i="79"/>
  <c r="I195" i="79"/>
  <c r="I196" i="79"/>
  <c r="I197" i="79"/>
  <c r="I198" i="79"/>
  <c r="I199" i="79"/>
  <c r="I200" i="79"/>
  <c r="I201" i="79"/>
  <c r="I202" i="79"/>
  <c r="I203" i="79"/>
  <c r="I204" i="79"/>
  <c r="I205" i="79"/>
  <c r="I206" i="79"/>
  <c r="I207" i="79"/>
  <c r="I208" i="79"/>
  <c r="I209" i="79"/>
  <c r="I210" i="79"/>
  <c r="I211" i="79"/>
  <c r="I212" i="79"/>
  <c r="I213" i="79"/>
  <c r="I214" i="79"/>
  <c r="I215" i="79"/>
  <c r="I216" i="79"/>
  <c r="I217" i="79"/>
  <c r="I218" i="79"/>
  <c r="I219" i="79"/>
  <c r="I220" i="79"/>
  <c r="I221" i="79"/>
  <c r="I222" i="79"/>
  <c r="I223" i="79"/>
  <c r="I224" i="79"/>
  <c r="I225" i="79"/>
  <c r="I226" i="79"/>
  <c r="I227" i="79"/>
  <c r="I228" i="79"/>
  <c r="I229" i="79"/>
  <c r="I230" i="79"/>
  <c r="I232" i="79"/>
  <c r="I233" i="79"/>
  <c r="I234" i="79"/>
  <c r="I235" i="79"/>
  <c r="I236" i="79"/>
  <c r="I237" i="79"/>
  <c r="I238" i="79"/>
  <c r="I239" i="79"/>
  <c r="I240" i="79"/>
  <c r="I241" i="79"/>
  <c r="I242" i="79"/>
  <c r="I243" i="79"/>
  <c r="I244" i="79"/>
  <c r="I245" i="79"/>
  <c r="I246" i="79"/>
  <c r="I247" i="79"/>
  <c r="I248" i="79"/>
  <c r="I249" i="79"/>
  <c r="I250" i="79"/>
  <c r="I251" i="79"/>
  <c r="I252" i="79"/>
  <c r="I253" i="79"/>
  <c r="I254" i="79"/>
  <c r="I256" i="79"/>
  <c r="I257" i="79"/>
  <c r="I260" i="79"/>
  <c r="I261" i="79"/>
  <c r="I262" i="79"/>
  <c r="I263" i="79"/>
  <c r="I264" i="79"/>
  <c r="I265" i="79"/>
  <c r="I266" i="79"/>
  <c r="I267" i="79"/>
  <c r="I268" i="79"/>
  <c r="I269" i="79"/>
  <c r="I270" i="79"/>
  <c r="I271" i="79"/>
  <c r="I273" i="79"/>
  <c r="I274" i="79"/>
  <c r="I275" i="79"/>
  <c r="I276" i="79"/>
  <c r="I277" i="79"/>
  <c r="I278" i="79"/>
  <c r="I279" i="79"/>
  <c r="I280" i="79"/>
  <c r="I281" i="79"/>
  <c r="I282" i="79"/>
  <c r="I283" i="79"/>
  <c r="I284" i="79"/>
  <c r="I285" i="79"/>
  <c r="I286" i="79"/>
  <c r="I287" i="79"/>
  <c r="I288" i="79"/>
  <c r="I289" i="79"/>
  <c r="I290" i="79"/>
  <c r="I291" i="79"/>
  <c r="I293" i="79"/>
  <c r="I294" i="79"/>
  <c r="I295" i="79"/>
  <c r="I296" i="79"/>
  <c r="I297" i="79"/>
  <c r="I298" i="79"/>
  <c r="I299" i="79"/>
  <c r="I300" i="79"/>
  <c r="I301" i="79"/>
  <c r="I302" i="79"/>
  <c r="I303" i="79"/>
  <c r="I304" i="79"/>
  <c r="I305" i="79"/>
  <c r="I306" i="79"/>
  <c r="I307" i="79"/>
  <c r="I308" i="79"/>
  <c r="I309" i="79"/>
  <c r="I310" i="79"/>
  <c r="I311" i="79"/>
  <c r="I312" i="79"/>
  <c r="I313" i="79"/>
  <c r="I314" i="79"/>
  <c r="I316" i="79"/>
  <c r="I317" i="79"/>
  <c r="I319" i="79"/>
  <c r="I320" i="79"/>
  <c r="I321" i="79"/>
  <c r="I322" i="79"/>
  <c r="I324" i="79"/>
  <c r="I325" i="79"/>
  <c r="I326" i="79"/>
  <c r="I327" i="79"/>
  <c r="I328" i="79"/>
  <c r="I329" i="79"/>
  <c r="I330" i="79"/>
  <c r="I331" i="79"/>
  <c r="I332" i="79"/>
  <c r="I333" i="79"/>
  <c r="I334" i="79"/>
  <c r="I335" i="79"/>
  <c r="I336" i="79"/>
  <c r="I338" i="79"/>
  <c r="I339" i="79"/>
  <c r="I340" i="79"/>
  <c r="I341" i="79"/>
  <c r="I342" i="79"/>
  <c r="I343" i="79"/>
  <c r="I344" i="79"/>
  <c r="I345" i="79"/>
  <c r="I346" i="79"/>
  <c r="I347" i="79"/>
  <c r="I348" i="79"/>
  <c r="I349" i="79"/>
  <c r="I350" i="79"/>
  <c r="I351" i="79"/>
  <c r="I352" i="79"/>
  <c r="I353" i="79"/>
  <c r="I354" i="79"/>
  <c r="I355" i="79"/>
  <c r="I356" i="79"/>
  <c r="I357" i="79"/>
  <c r="I358" i="79"/>
  <c r="I359" i="79"/>
  <c r="I360" i="79"/>
  <c r="I361" i="79"/>
  <c r="I362" i="79"/>
  <c r="I364" i="79"/>
  <c r="I365" i="79"/>
  <c r="I366" i="79"/>
  <c r="I367" i="79"/>
  <c r="I368" i="79"/>
  <c r="I369" i="79"/>
  <c r="I370" i="79"/>
  <c r="I371" i="79"/>
  <c r="I372" i="79"/>
  <c r="I373" i="79"/>
  <c r="I374" i="79"/>
  <c r="I375" i="79"/>
  <c r="I376" i="79"/>
  <c r="I378" i="79"/>
  <c r="I379" i="79"/>
  <c r="I380" i="79"/>
  <c r="I381" i="79"/>
  <c r="I383" i="79"/>
  <c r="I384" i="79"/>
  <c r="H384" i="79"/>
  <c r="I410" i="77"/>
  <c r="H397" i="77"/>
  <c r="H396" i="77"/>
  <c r="H395" i="77"/>
  <c r="H391" i="77"/>
  <c r="N14" i="1"/>
  <c r="L14" i="1"/>
  <c r="M14" i="1"/>
  <c r="N6" i="1"/>
  <c r="I6" i="77"/>
  <c r="I7" i="77"/>
  <c r="I9" i="77"/>
  <c r="I11" i="77"/>
  <c r="I13" i="77"/>
  <c r="I14" i="77"/>
  <c r="I15" i="77"/>
  <c r="I16" i="77"/>
  <c r="I17" i="77"/>
  <c r="I18" i="77"/>
  <c r="I19" i="77"/>
  <c r="I20" i="77"/>
  <c r="I21" i="77"/>
  <c r="I22" i="77"/>
  <c r="I23" i="77"/>
  <c r="I24" i="77"/>
  <c r="I25" i="77"/>
  <c r="I26" i="77"/>
  <c r="I27" i="77"/>
  <c r="I28" i="77"/>
  <c r="I29" i="77"/>
  <c r="I30" i="77"/>
  <c r="I31" i="77"/>
  <c r="I33" i="77"/>
  <c r="I34" i="77"/>
  <c r="I35" i="77"/>
  <c r="I36" i="77"/>
  <c r="I37" i="77"/>
  <c r="I40" i="77"/>
  <c r="I60" i="77"/>
  <c r="I62" i="77"/>
  <c r="I71" i="77"/>
  <c r="I75" i="77"/>
  <c r="I76" i="77"/>
  <c r="I78" i="77"/>
  <c r="I82" i="77"/>
  <c r="I84" i="77"/>
  <c r="I97" i="77"/>
  <c r="I108" i="77"/>
  <c r="I111" i="77"/>
  <c r="I122" i="77"/>
  <c r="I126" i="77"/>
  <c r="I131" i="77"/>
  <c r="I151" i="77"/>
  <c r="I153" i="77"/>
  <c r="I158" i="77"/>
  <c r="I159" i="77"/>
  <c r="I164" i="77"/>
  <c r="I165" i="77"/>
  <c r="I167" i="77"/>
  <c r="I168" i="77"/>
  <c r="I169" i="77"/>
  <c r="I180" i="77"/>
  <c r="I181" i="77"/>
  <c r="I182" i="77"/>
  <c r="I183" i="77"/>
  <c r="I184" i="77"/>
  <c r="I186" i="77"/>
  <c r="I187" i="77"/>
  <c r="I188" i="77"/>
  <c r="I189" i="77"/>
  <c r="I190" i="77"/>
  <c r="I191" i="77"/>
  <c r="I192" i="77"/>
  <c r="I193" i="77"/>
  <c r="I194" i="77"/>
  <c r="I195" i="77"/>
  <c r="I196" i="77"/>
  <c r="I197" i="77"/>
  <c r="I198" i="77"/>
  <c r="I199" i="77"/>
  <c r="I200" i="77"/>
  <c r="I201" i="77"/>
  <c r="I202" i="77"/>
  <c r="I203" i="77"/>
  <c r="I204" i="77"/>
  <c r="I205" i="77"/>
  <c r="I206" i="77"/>
  <c r="I207" i="77"/>
  <c r="I208" i="77"/>
  <c r="I209" i="77"/>
  <c r="I210" i="77"/>
  <c r="I211" i="77"/>
  <c r="I212" i="77"/>
  <c r="I213" i="77"/>
  <c r="I214" i="77"/>
  <c r="I215" i="77"/>
  <c r="I216" i="77"/>
  <c r="I217" i="77"/>
  <c r="I218" i="77"/>
  <c r="I219" i="77"/>
  <c r="I220" i="77"/>
  <c r="I274" i="77"/>
  <c r="I295" i="77"/>
  <c r="I314" i="77"/>
  <c r="I319" i="77"/>
  <c r="I320" i="77"/>
  <c r="I321" i="77"/>
  <c r="I322" i="77"/>
  <c r="I324" i="77"/>
  <c r="I325" i="77"/>
  <c r="I326" i="77"/>
  <c r="I327" i="77"/>
  <c r="I328" i="77"/>
  <c r="I329" i="77"/>
  <c r="I330" i="77"/>
  <c r="I331" i="77"/>
  <c r="I332" i="77"/>
  <c r="I333" i="77"/>
  <c r="I334" i="77"/>
  <c r="I335" i="77"/>
  <c r="I336" i="77"/>
  <c r="I383" i="77"/>
  <c r="I384" i="77"/>
  <c r="N384" i="77"/>
  <c r="N385" i="77"/>
  <c r="A3" i="3"/>
  <c r="B412" i="77"/>
  <c r="H411" i="77"/>
  <c r="H390" i="77"/>
  <c r="H392" i="77"/>
  <c r="H393" i="77"/>
  <c r="H394" i="77"/>
  <c r="H398" i="77"/>
  <c r="H399" i="77"/>
  <c r="H400" i="77"/>
  <c r="H401" i="77"/>
  <c r="H402" i="77"/>
  <c r="H403" i="77"/>
  <c r="H404" i="77"/>
  <c r="H405" i="77"/>
  <c r="H406" i="77"/>
  <c r="H407" i="77"/>
  <c r="H408" i="77"/>
  <c r="H409" i="77"/>
  <c r="H410" i="77"/>
  <c r="C410" i="77"/>
  <c r="K384" i="77"/>
  <c r="B368" i="76"/>
  <c r="B369" i="76"/>
  <c r="B370" i="76"/>
  <c r="B371" i="76"/>
  <c r="B372" i="76"/>
  <c r="B373" i="76"/>
  <c r="B374" i="76"/>
  <c r="I44" i="76"/>
  <c r="I46" i="76"/>
  <c r="I47" i="76"/>
  <c r="I49" i="76"/>
  <c r="I50" i="76"/>
  <c r="I51" i="76"/>
  <c r="I54" i="76"/>
  <c r="I56" i="76"/>
  <c r="I57" i="76"/>
  <c r="I58" i="76"/>
  <c r="I60" i="76"/>
  <c r="I62" i="76"/>
  <c r="I63" i="76"/>
  <c r="I64" i="76"/>
  <c r="I65" i="76"/>
  <c r="I66" i="76"/>
  <c r="I67" i="76"/>
  <c r="I68" i="76"/>
  <c r="I69" i="76"/>
  <c r="I70" i="76"/>
  <c r="B375" i="76"/>
  <c r="I71" i="76"/>
  <c r="I72" i="76"/>
  <c r="I73" i="76"/>
  <c r="I75" i="76"/>
  <c r="I76" i="76"/>
  <c r="I77" i="76"/>
  <c r="I78" i="76"/>
  <c r="I80" i="76"/>
  <c r="I81" i="76"/>
  <c r="I82" i="76"/>
  <c r="I83" i="76"/>
  <c r="I84" i="76"/>
  <c r="I86" i="76"/>
  <c r="I87" i="76"/>
  <c r="I89" i="76"/>
  <c r="I90" i="76"/>
  <c r="I91" i="76"/>
  <c r="I92" i="76"/>
  <c r="I93" i="76"/>
  <c r="I94" i="76"/>
  <c r="I95" i="76"/>
  <c r="I97" i="76"/>
  <c r="I98" i="76"/>
  <c r="I100" i="76"/>
  <c r="I101" i="76"/>
  <c r="I102" i="76"/>
  <c r="I104" i="76"/>
  <c r="I105" i="76"/>
  <c r="I107" i="76"/>
  <c r="I109" i="76"/>
  <c r="I110" i="76"/>
  <c r="I111" i="76"/>
  <c r="I112" i="76"/>
  <c r="I113" i="76"/>
  <c r="I114" i="76"/>
  <c r="I115" i="76"/>
  <c r="I116" i="76"/>
  <c r="I117" i="76"/>
  <c r="I118" i="76"/>
  <c r="I119" i="76"/>
  <c r="I120" i="76"/>
  <c r="I121" i="76"/>
  <c r="I122" i="76"/>
  <c r="I123" i="76"/>
  <c r="I124" i="76"/>
  <c r="I125" i="76"/>
  <c r="I126" i="76"/>
  <c r="I127" i="76"/>
  <c r="I129" i="76"/>
  <c r="I131" i="76"/>
  <c r="I132" i="76"/>
  <c r="I133" i="76"/>
  <c r="I134" i="76"/>
  <c r="I137" i="76"/>
  <c r="I138" i="76"/>
  <c r="I139" i="76"/>
  <c r="I140" i="76"/>
  <c r="B376" i="76"/>
  <c r="B377" i="76"/>
  <c r="B378" i="76"/>
  <c r="B379" i="76"/>
  <c r="I198" i="76"/>
  <c r="I199" i="76"/>
  <c r="I200" i="76"/>
  <c r="I201" i="76"/>
  <c r="I202" i="76"/>
  <c r="I203" i="76"/>
  <c r="I204" i="76"/>
  <c r="I205" i="76"/>
  <c r="I206" i="76"/>
  <c r="I207" i="76"/>
  <c r="I209" i="76"/>
  <c r="I210" i="76"/>
  <c r="I211" i="76"/>
  <c r="I212" i="76"/>
  <c r="I213" i="76"/>
  <c r="I214" i="76"/>
  <c r="I215" i="76"/>
  <c r="I216" i="76"/>
  <c r="I217" i="76"/>
  <c r="I218" i="76"/>
  <c r="I219" i="76"/>
  <c r="I220" i="76"/>
  <c r="I221" i="76"/>
  <c r="I222" i="76"/>
  <c r="I223" i="76"/>
  <c r="I224" i="76"/>
  <c r="I225" i="76"/>
  <c r="I226" i="76"/>
  <c r="I227" i="76"/>
  <c r="I228" i="76"/>
  <c r="I229" i="76"/>
  <c r="I230" i="76"/>
  <c r="I231" i="76"/>
  <c r="I233" i="76"/>
  <c r="I234" i="76"/>
  <c r="I237" i="76"/>
  <c r="I238" i="76"/>
  <c r="I239" i="76"/>
  <c r="I240" i="76"/>
  <c r="I241" i="76"/>
  <c r="I242" i="76"/>
  <c r="I243" i="76"/>
  <c r="I244" i="76"/>
  <c r="I245" i="76"/>
  <c r="I246" i="76"/>
  <c r="I247" i="76"/>
  <c r="I248" i="76"/>
  <c r="I250" i="76"/>
  <c r="I252" i="76"/>
  <c r="I253" i="76"/>
  <c r="I254" i="76"/>
  <c r="I255" i="76"/>
  <c r="I256" i="76"/>
  <c r="I257" i="76"/>
  <c r="I258" i="76"/>
  <c r="I259" i="76"/>
  <c r="I260" i="76"/>
  <c r="I261" i="76"/>
  <c r="I262" i="76"/>
  <c r="I263" i="76"/>
  <c r="I264" i="76"/>
  <c r="I265" i="76"/>
  <c r="I266" i="76"/>
  <c r="I267" i="76"/>
  <c r="I268" i="76"/>
  <c r="I270" i="76"/>
  <c r="I271" i="76"/>
  <c r="I273" i="76"/>
  <c r="I274" i="76"/>
  <c r="I275" i="76"/>
  <c r="I276" i="76"/>
  <c r="I277" i="76"/>
  <c r="I278" i="76"/>
  <c r="I279" i="76"/>
  <c r="I280" i="76"/>
  <c r="I281" i="76"/>
  <c r="I282" i="76"/>
  <c r="I283" i="76"/>
  <c r="I284" i="76"/>
  <c r="I285" i="76"/>
  <c r="I286" i="76"/>
  <c r="I287" i="76"/>
  <c r="I288" i="76"/>
  <c r="I289" i="76"/>
  <c r="I290" i="76"/>
  <c r="B380" i="76"/>
  <c r="I293" i="76"/>
  <c r="B381" i="76"/>
  <c r="B382" i="76"/>
  <c r="I314" i="76"/>
  <c r="I315" i="76"/>
  <c r="I316" i="76"/>
  <c r="I317" i="76"/>
  <c r="I318" i="76"/>
  <c r="I319" i="76"/>
  <c r="I320" i="76"/>
  <c r="I321" i="76"/>
  <c r="I322" i="76"/>
  <c r="I323" i="76"/>
  <c r="I324" i="76"/>
  <c r="I325" i="76"/>
  <c r="I326" i="76"/>
  <c r="I327" i="76"/>
  <c r="I328" i="76"/>
  <c r="I329" i="76"/>
  <c r="I330" i="76"/>
  <c r="I331" i="76"/>
  <c r="I332" i="76"/>
  <c r="I333" i="76"/>
  <c r="I334" i="76"/>
  <c r="I335" i="76"/>
  <c r="I336" i="76"/>
  <c r="I337" i="76"/>
  <c r="I338" i="76"/>
  <c r="I340" i="76"/>
  <c r="I341" i="76"/>
  <c r="I342" i="76"/>
  <c r="I343" i="76"/>
  <c r="I344" i="76"/>
  <c r="I345" i="76"/>
  <c r="I346" i="76"/>
  <c r="I347" i="76"/>
  <c r="I348" i="76"/>
  <c r="I349" i="76"/>
  <c r="I350" i="76"/>
  <c r="I351" i="76"/>
  <c r="I352" i="76"/>
  <c r="I354" i="76"/>
  <c r="I355" i="76"/>
  <c r="I356" i="76"/>
  <c r="I357" i="76"/>
  <c r="B383" i="76"/>
  <c r="H361" i="76"/>
  <c r="B385" i="76"/>
  <c r="B384" i="76"/>
  <c r="I384" i="76"/>
  <c r="D385" i="76"/>
  <c r="G385" i="76"/>
  <c r="D368" i="76"/>
  <c r="G368" i="76"/>
  <c r="C369" i="76"/>
  <c r="D369" i="76"/>
  <c r="G369" i="76"/>
  <c r="C370" i="76"/>
  <c r="D370" i="76"/>
  <c r="G370" i="76"/>
  <c r="C371" i="76"/>
  <c r="D371" i="76"/>
  <c r="G371" i="76"/>
  <c r="D372" i="76"/>
  <c r="G372" i="76"/>
  <c r="C373" i="76"/>
  <c r="D373" i="76"/>
  <c r="G373" i="76"/>
  <c r="C374" i="76"/>
  <c r="D374" i="76"/>
  <c r="G374" i="76"/>
  <c r="C375" i="76"/>
  <c r="D375" i="76"/>
  <c r="G375" i="76"/>
  <c r="C376" i="76"/>
  <c r="D376" i="76"/>
  <c r="G376" i="76"/>
  <c r="C377" i="76"/>
  <c r="D377" i="76"/>
  <c r="G377" i="76"/>
  <c r="C378" i="76"/>
  <c r="D378" i="76"/>
  <c r="G378" i="76"/>
  <c r="C379" i="76"/>
  <c r="D379" i="76"/>
  <c r="G379" i="76"/>
  <c r="C380" i="76"/>
  <c r="D380" i="76"/>
  <c r="G380" i="76"/>
  <c r="D381" i="76"/>
  <c r="G381" i="76"/>
  <c r="D382" i="76"/>
  <c r="G382" i="76"/>
  <c r="C383" i="76"/>
  <c r="D383" i="76"/>
  <c r="G383" i="76"/>
  <c r="G384" i="76"/>
  <c r="H385" i="76"/>
  <c r="H369" i="76"/>
  <c r="H370" i="76"/>
  <c r="H371" i="76"/>
  <c r="H372" i="76"/>
  <c r="H373" i="76"/>
  <c r="H374" i="76"/>
  <c r="H375" i="76"/>
  <c r="H376" i="76"/>
  <c r="H377" i="76"/>
  <c r="H378" i="76"/>
  <c r="H379" i="76"/>
  <c r="H380" i="76"/>
  <c r="H381" i="76"/>
  <c r="H382" i="76"/>
  <c r="H383" i="76"/>
  <c r="H368" i="76"/>
  <c r="H384" i="76"/>
  <c r="F384" i="76"/>
  <c r="D33" i="43"/>
  <c r="D29" i="43"/>
  <c r="E369" i="76"/>
  <c r="E370" i="76"/>
  <c r="E371" i="76"/>
  <c r="E373" i="76"/>
  <c r="E374" i="76"/>
  <c r="E375" i="76"/>
  <c r="E376" i="76"/>
  <c r="E377" i="76"/>
  <c r="E378" i="76"/>
  <c r="E379" i="76"/>
  <c r="E380" i="76"/>
  <c r="E381" i="76"/>
  <c r="E382" i="76"/>
  <c r="E383" i="76"/>
  <c r="E384" i="76"/>
  <c r="D384" i="76"/>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B10"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F30" i="6"/>
  <c r="F31" i="6"/>
  <c r="BA13" i="3"/>
  <c r="BL13" i="3"/>
  <c r="AZ13" i="3"/>
  <c r="BA14" i="3"/>
  <c r="BL14" i="3"/>
  <c r="AZ14" i="3"/>
  <c r="BA15" i="3"/>
  <c r="BL15" i="3"/>
  <c r="AZ15" i="3"/>
  <c r="BA16" i="3"/>
  <c r="BL16" i="3"/>
  <c r="AZ16" i="3"/>
  <c r="BA17" i="3"/>
  <c r="BL17" i="3"/>
  <c r="AZ17" i="3"/>
  <c r="BA18" i="3"/>
  <c r="BL18" i="3"/>
  <c r="AZ18" i="3"/>
  <c r="BA19" i="3"/>
  <c r="BL19" i="3"/>
  <c r="AZ19" i="3"/>
  <c r="BA20" i="3"/>
  <c r="BL20" i="3"/>
  <c r="AZ20" i="3"/>
  <c r="BA21" i="3"/>
  <c r="BL21" i="3"/>
  <c r="AZ21" i="3"/>
  <c r="BA22" i="3"/>
  <c r="BL22" i="3"/>
  <c r="AZ22" i="3"/>
  <c r="BA23" i="3"/>
  <c r="BL23" i="3"/>
  <c r="AZ23" i="3"/>
  <c r="BA24" i="3"/>
  <c r="BL24" i="3"/>
  <c r="AZ24" i="3"/>
  <c r="BA25" i="3"/>
  <c r="BL25" i="3"/>
  <c r="AZ25" i="3"/>
  <c r="BA26" i="3"/>
  <c r="BL26" i="3"/>
  <c r="AZ26" i="3"/>
  <c r="BA27" i="3"/>
  <c r="BL27" i="3"/>
  <c r="AZ27" i="3"/>
  <c r="BA28" i="3"/>
  <c r="BL28" i="3"/>
  <c r="AZ28" i="3"/>
  <c r="BA29" i="3"/>
  <c r="BL29" i="3"/>
  <c r="AZ29" i="3"/>
  <c r="BA30" i="3"/>
  <c r="BL30" i="3"/>
  <c r="AZ30" i="3"/>
  <c r="BA31" i="3"/>
  <c r="BL31" i="3"/>
  <c r="AZ31" i="3"/>
  <c r="BA32" i="3"/>
  <c r="BL32" i="3"/>
  <c r="AZ32" i="3"/>
  <c r="BA33" i="3"/>
  <c r="BL33" i="3"/>
  <c r="AZ33" i="3"/>
  <c r="BA34" i="3"/>
  <c r="BL34" i="3"/>
  <c r="AZ34" i="3"/>
  <c r="BA35" i="3"/>
  <c r="BL35" i="3"/>
  <c r="AZ35" i="3"/>
  <c r="BA36" i="3"/>
  <c r="BL36" i="3"/>
  <c r="AZ36" i="3"/>
  <c r="BA37" i="3"/>
  <c r="BL37" i="3"/>
  <c r="AZ37" i="3"/>
  <c r="BA38" i="3"/>
  <c r="BL38" i="3"/>
  <c r="AZ38" i="3"/>
  <c r="BA39" i="3"/>
  <c r="BL39" i="3"/>
  <c r="AZ39" i="3"/>
  <c r="BA40" i="3"/>
  <c r="BL40" i="3"/>
  <c r="AZ40" i="3"/>
  <c r="BA41" i="3"/>
  <c r="BL41" i="3"/>
  <c r="AZ41" i="3"/>
  <c r="BA42" i="3"/>
  <c r="BL42" i="3"/>
  <c r="AZ42" i="3"/>
  <c r="BA43" i="3"/>
  <c r="BL43" i="3"/>
  <c r="AZ43" i="3"/>
  <c r="BA44" i="3"/>
  <c r="BL44" i="3"/>
  <c r="AZ44" i="3"/>
  <c r="BA45" i="3"/>
  <c r="BL45" i="3"/>
  <c r="AZ45" i="3"/>
  <c r="BA46" i="3"/>
  <c r="BL46" i="3"/>
  <c r="AZ46" i="3"/>
  <c r="BA47" i="3"/>
  <c r="BL47" i="3"/>
  <c r="AZ47" i="3"/>
  <c r="BA48" i="3"/>
  <c r="BL48" i="3"/>
  <c r="AZ48" i="3"/>
  <c r="BA49" i="3"/>
  <c r="BL49" i="3"/>
  <c r="AZ49" i="3"/>
  <c r="BA50" i="3"/>
  <c r="BL50" i="3"/>
  <c r="AZ50" i="3"/>
  <c r="BA51" i="3"/>
  <c r="BL51" i="3"/>
  <c r="AZ51" i="3"/>
  <c r="BA52" i="3"/>
  <c r="BL52" i="3"/>
  <c r="AZ52" i="3"/>
  <c r="BA53" i="3"/>
  <c r="BL53" i="3"/>
  <c r="AZ53" i="3"/>
  <c r="BA54" i="3"/>
  <c r="BL54" i="3"/>
  <c r="AZ54" i="3"/>
  <c r="BA55" i="3"/>
  <c r="BL55" i="3"/>
  <c r="AZ55" i="3"/>
  <c r="BA56" i="3"/>
  <c r="BL56" i="3"/>
  <c r="AZ56" i="3"/>
  <c r="BA57" i="3"/>
  <c r="BL57" i="3"/>
  <c r="AZ57" i="3"/>
  <c r="BA58" i="3"/>
  <c r="BL58" i="3"/>
  <c r="AZ58" i="3"/>
  <c r="BA59" i="3"/>
  <c r="BL59" i="3"/>
  <c r="AZ59" i="3"/>
  <c r="BA60" i="3"/>
  <c r="BL60" i="3"/>
  <c r="AZ60" i="3"/>
  <c r="BA61" i="3"/>
  <c r="BL61" i="3"/>
  <c r="AZ61" i="3"/>
  <c r="BA62" i="3"/>
  <c r="BL62" i="3"/>
  <c r="AZ62" i="3"/>
  <c r="BA63" i="3"/>
  <c r="BL63" i="3"/>
  <c r="AZ63" i="3"/>
  <c r="BA64" i="3"/>
  <c r="BL64" i="3"/>
  <c r="AZ64" i="3"/>
  <c r="BA65" i="3"/>
  <c r="BL65" i="3"/>
  <c r="AZ65" i="3"/>
  <c r="BA66" i="3"/>
  <c r="BL66" i="3"/>
  <c r="AZ66" i="3"/>
  <c r="BA67" i="3"/>
  <c r="BL67" i="3"/>
  <c r="AZ67" i="3"/>
  <c r="BA68" i="3"/>
  <c r="BL68" i="3"/>
  <c r="AZ68" i="3"/>
  <c r="BA69" i="3"/>
  <c r="BL69" i="3"/>
  <c r="AZ69" i="3"/>
  <c r="BA70" i="3"/>
  <c r="BL70" i="3"/>
  <c r="AZ70" i="3"/>
  <c r="BA71" i="3"/>
  <c r="BL71" i="3"/>
  <c r="AZ71" i="3"/>
  <c r="BA72" i="3"/>
  <c r="BL72" i="3"/>
  <c r="AZ72" i="3"/>
  <c r="BA73" i="3"/>
  <c r="BL73" i="3"/>
  <c r="AZ73" i="3"/>
  <c r="BA74" i="3"/>
  <c r="BL74" i="3"/>
  <c r="AZ74" i="3"/>
  <c r="BA75" i="3"/>
  <c r="BL75" i="3"/>
  <c r="AZ75" i="3"/>
  <c r="BA76" i="3"/>
  <c r="BL76" i="3"/>
  <c r="AZ76" i="3"/>
  <c r="BA77" i="3"/>
  <c r="BL77" i="3"/>
  <c r="AZ77" i="3"/>
  <c r="BA78" i="3"/>
  <c r="BL78" i="3"/>
  <c r="AZ78" i="3"/>
  <c r="BA79" i="3"/>
  <c r="BL79" i="3"/>
  <c r="AZ79" i="3"/>
  <c r="BA80" i="3"/>
  <c r="BL80" i="3"/>
  <c r="AZ80" i="3"/>
  <c r="BA81" i="3"/>
  <c r="BL81" i="3"/>
  <c r="AZ81" i="3"/>
  <c r="BA82" i="3"/>
  <c r="BL82" i="3"/>
  <c r="AZ82" i="3"/>
  <c r="BA83" i="3"/>
  <c r="BL83" i="3"/>
  <c r="AZ83" i="3"/>
  <c r="BA84" i="3"/>
  <c r="BL84" i="3"/>
  <c r="AZ84" i="3"/>
  <c r="BA85" i="3"/>
  <c r="BL85" i="3"/>
  <c r="AZ85" i="3"/>
  <c r="BA86" i="3"/>
  <c r="BL86" i="3"/>
  <c r="AZ86" i="3"/>
  <c r="BA87" i="3"/>
  <c r="BL87" i="3"/>
  <c r="AZ87" i="3"/>
  <c r="BA88" i="3"/>
  <c r="BL88" i="3"/>
  <c r="AZ88" i="3"/>
  <c r="BA89" i="3"/>
  <c r="BL89" i="3"/>
  <c r="AZ89" i="3"/>
  <c r="BA90" i="3"/>
  <c r="BL90" i="3"/>
  <c r="AZ90" i="3"/>
  <c r="BA91" i="3"/>
  <c r="BL91" i="3"/>
  <c r="AZ91" i="3"/>
  <c r="BA92" i="3"/>
  <c r="BL92" i="3"/>
  <c r="AZ92" i="3"/>
  <c r="BA93" i="3"/>
  <c r="BL93" i="3"/>
  <c r="AZ93" i="3"/>
  <c r="BA94" i="3"/>
  <c r="BL94" i="3"/>
  <c r="AZ94" i="3"/>
  <c r="BA95" i="3"/>
  <c r="BL95" i="3"/>
  <c r="AZ95" i="3"/>
  <c r="BA96" i="3"/>
  <c r="BL96" i="3"/>
  <c r="AZ96" i="3"/>
  <c r="BA97" i="3"/>
  <c r="BL97" i="3"/>
  <c r="AZ97" i="3"/>
  <c r="BA98" i="3"/>
  <c r="BL98" i="3"/>
  <c r="AZ98" i="3"/>
  <c r="BA99" i="3"/>
  <c r="BL99" i="3"/>
  <c r="AZ99" i="3"/>
  <c r="BA100" i="3"/>
  <c r="BL100" i="3"/>
  <c r="AZ100" i="3"/>
  <c r="BA101" i="3"/>
  <c r="BL101" i="3"/>
  <c r="AZ101" i="3"/>
  <c r="BA102" i="3"/>
  <c r="BL102" i="3"/>
  <c r="AZ102" i="3"/>
  <c r="BA103" i="3"/>
  <c r="BL103" i="3"/>
  <c r="AZ103" i="3"/>
  <c r="BA104" i="3"/>
  <c r="BL104" i="3"/>
  <c r="AZ104" i="3"/>
  <c r="BA105" i="3"/>
  <c r="BL105" i="3"/>
  <c r="AZ105" i="3"/>
  <c r="BA106" i="3"/>
  <c r="BL106" i="3"/>
  <c r="AZ106" i="3"/>
  <c r="BA107" i="3"/>
  <c r="BL107" i="3"/>
  <c r="AZ107" i="3"/>
  <c r="BA108" i="3"/>
  <c r="BL108" i="3"/>
  <c r="AZ108" i="3"/>
  <c r="BA109" i="3"/>
  <c r="BL109" i="3"/>
  <c r="AZ109" i="3"/>
  <c r="BA110" i="3"/>
  <c r="BL110" i="3"/>
  <c r="AZ110" i="3"/>
  <c r="BA111" i="3"/>
  <c r="BL111" i="3"/>
  <c r="AZ111" i="3"/>
  <c r="BA112" i="3"/>
  <c r="BL112" i="3"/>
  <c r="AZ112" i="3"/>
  <c r="BA113" i="3"/>
  <c r="BL113" i="3"/>
  <c r="AZ113" i="3"/>
  <c r="BA114" i="3"/>
  <c r="BL114" i="3"/>
  <c r="AZ114" i="3"/>
  <c r="BA115" i="3"/>
  <c r="BL115" i="3"/>
  <c r="AZ115" i="3"/>
  <c r="BA116" i="3"/>
  <c r="BL116" i="3"/>
  <c r="AZ116" i="3"/>
  <c r="BA117" i="3"/>
  <c r="BL117" i="3"/>
  <c r="AZ117" i="3"/>
  <c r="BA118" i="3"/>
  <c r="BL118" i="3"/>
  <c r="AZ118" i="3"/>
  <c r="BA119" i="3"/>
  <c r="BL119" i="3"/>
  <c r="AZ119" i="3"/>
  <c r="BA120" i="3"/>
  <c r="BL120" i="3"/>
  <c r="AZ120" i="3"/>
  <c r="BA121" i="3"/>
  <c r="BL121" i="3"/>
  <c r="AZ121" i="3"/>
  <c r="BA122" i="3"/>
  <c r="BL122" i="3"/>
  <c r="AZ122" i="3"/>
  <c r="BA123" i="3"/>
  <c r="BL123" i="3"/>
  <c r="AZ123" i="3"/>
  <c r="BA124" i="3"/>
  <c r="BL124" i="3"/>
  <c r="AZ124" i="3"/>
  <c r="BA125" i="3"/>
  <c r="BL125" i="3"/>
  <c r="AZ125" i="3"/>
  <c r="BA126" i="3"/>
  <c r="BL126" i="3"/>
  <c r="AZ126" i="3"/>
  <c r="BA127" i="3"/>
  <c r="BL127" i="3"/>
  <c r="AZ127" i="3"/>
  <c r="BA128" i="3"/>
  <c r="BL128" i="3"/>
  <c r="AZ128" i="3"/>
  <c r="BA129" i="3"/>
  <c r="BL129" i="3"/>
  <c r="AZ129" i="3"/>
  <c r="BA130" i="3"/>
  <c r="BL130" i="3"/>
  <c r="AZ130" i="3"/>
  <c r="BA131" i="3"/>
  <c r="BL131" i="3"/>
  <c r="AZ131" i="3"/>
  <c r="BA132" i="3"/>
  <c r="BL132" i="3"/>
  <c r="AZ132" i="3"/>
  <c r="BA133" i="3"/>
  <c r="BL133" i="3"/>
  <c r="AZ133" i="3"/>
  <c r="BA134" i="3"/>
  <c r="BL134" i="3"/>
  <c r="AZ134" i="3"/>
  <c r="BA135" i="3"/>
  <c r="BL135" i="3"/>
  <c r="AZ135" i="3"/>
  <c r="BA136" i="3"/>
  <c r="BL136" i="3"/>
  <c r="AZ136" i="3"/>
  <c r="BA137" i="3"/>
  <c r="BL137" i="3"/>
  <c r="AZ137" i="3"/>
  <c r="BA138" i="3"/>
  <c r="BL138" i="3"/>
  <c r="AZ138" i="3"/>
  <c r="BA139" i="3"/>
  <c r="BL139" i="3"/>
  <c r="AZ139" i="3"/>
  <c r="BA140" i="3"/>
  <c r="BL140" i="3"/>
  <c r="AZ140" i="3"/>
  <c r="BA141" i="3"/>
  <c r="BL141" i="3"/>
  <c r="AZ141" i="3"/>
  <c r="BA142" i="3"/>
  <c r="BL142" i="3"/>
  <c r="AZ142" i="3"/>
  <c r="BA143" i="3"/>
  <c r="BL143" i="3"/>
  <c r="AZ143" i="3"/>
  <c r="BA144" i="3"/>
  <c r="BL144" i="3"/>
  <c r="AZ144" i="3"/>
  <c r="BA145" i="3"/>
  <c r="BL145" i="3"/>
  <c r="AZ145" i="3"/>
  <c r="BA146" i="3"/>
  <c r="BL146" i="3"/>
  <c r="AZ146" i="3"/>
  <c r="BA147" i="3"/>
  <c r="BL147" i="3"/>
  <c r="AZ147" i="3"/>
  <c r="BA148" i="3"/>
  <c r="BL148" i="3"/>
  <c r="AZ148" i="3"/>
  <c r="BA149" i="3"/>
  <c r="BL149" i="3"/>
  <c r="AZ149" i="3"/>
  <c r="BA150" i="3"/>
  <c r="BL150" i="3"/>
  <c r="AZ150" i="3"/>
  <c r="BA151" i="3"/>
  <c r="BL151" i="3"/>
  <c r="AZ151" i="3"/>
  <c r="BA152" i="3"/>
  <c r="BL152" i="3"/>
  <c r="AZ152" i="3"/>
  <c r="BA153" i="3"/>
  <c r="BL153" i="3"/>
  <c r="AZ153" i="3"/>
  <c r="BA154" i="3"/>
  <c r="BL154" i="3"/>
  <c r="AZ154" i="3"/>
  <c r="BA155" i="3"/>
  <c r="BL155" i="3"/>
  <c r="AZ155" i="3"/>
  <c r="BA156" i="3"/>
  <c r="BL156" i="3"/>
  <c r="AZ156" i="3"/>
  <c r="BA157" i="3"/>
  <c r="BL157" i="3"/>
  <c r="AZ157" i="3"/>
  <c r="BA158" i="3"/>
  <c r="BL158" i="3"/>
  <c r="AZ158" i="3"/>
  <c r="BA159" i="3"/>
  <c r="BL159" i="3"/>
  <c r="AZ159" i="3"/>
  <c r="BA160" i="3"/>
  <c r="BL160" i="3"/>
  <c r="AZ160" i="3"/>
  <c r="BA161" i="3"/>
  <c r="BL161" i="3"/>
  <c r="AZ161" i="3"/>
  <c r="BA162" i="3"/>
  <c r="BL162" i="3"/>
  <c r="AZ162" i="3"/>
  <c r="BA163" i="3"/>
  <c r="BL163" i="3"/>
  <c r="AZ163" i="3"/>
  <c r="BA164" i="3"/>
  <c r="BL164" i="3"/>
  <c r="AZ164" i="3"/>
  <c r="BA165" i="3"/>
  <c r="BL165" i="3"/>
  <c r="AZ165" i="3"/>
  <c r="BA166" i="3"/>
  <c r="BL166" i="3"/>
  <c r="AZ166" i="3"/>
  <c r="BA167" i="3"/>
  <c r="BL167" i="3"/>
  <c r="AZ167" i="3"/>
  <c r="BA168" i="3"/>
  <c r="BL168" i="3"/>
  <c r="AZ168" i="3"/>
  <c r="BA169" i="3"/>
  <c r="BL169" i="3"/>
  <c r="AZ169" i="3"/>
  <c r="BA170" i="3"/>
  <c r="BL170" i="3"/>
  <c r="AZ170" i="3"/>
  <c r="BA171" i="3"/>
  <c r="BL171" i="3"/>
  <c r="AZ171" i="3"/>
  <c r="BA172" i="3"/>
  <c r="BL172" i="3"/>
  <c r="AZ172" i="3"/>
  <c r="BA173" i="3"/>
  <c r="BL173" i="3"/>
  <c r="AZ173" i="3"/>
  <c r="BA174" i="3"/>
  <c r="BL174" i="3"/>
  <c r="AZ174" i="3"/>
  <c r="BA175" i="3"/>
  <c r="BL175" i="3"/>
  <c r="AZ175" i="3"/>
  <c r="BA176" i="3"/>
  <c r="BL176" i="3"/>
  <c r="AZ176" i="3"/>
  <c r="BA177" i="3"/>
  <c r="BL177" i="3"/>
  <c r="AZ177" i="3"/>
  <c r="BA178" i="3"/>
  <c r="BL178" i="3"/>
  <c r="AZ178" i="3"/>
  <c r="BA179" i="3"/>
  <c r="BL179" i="3"/>
  <c r="AZ179" i="3"/>
  <c r="BA180" i="3"/>
  <c r="BL180" i="3"/>
  <c r="AZ180" i="3"/>
  <c r="BA181" i="3"/>
  <c r="BL181" i="3"/>
  <c r="AZ181" i="3"/>
  <c r="BA182" i="3"/>
  <c r="BL182" i="3"/>
  <c r="AZ182" i="3"/>
  <c r="BA183" i="3"/>
  <c r="BL183" i="3"/>
  <c r="AZ183" i="3"/>
  <c r="BA184" i="3"/>
  <c r="BL184" i="3"/>
  <c r="AZ184" i="3"/>
  <c r="BA185" i="3"/>
  <c r="BL185" i="3"/>
  <c r="AZ185" i="3"/>
  <c r="BA186" i="3"/>
  <c r="BL186" i="3"/>
  <c r="AZ186" i="3"/>
  <c r="BA187" i="3"/>
  <c r="BL187" i="3"/>
  <c r="AZ187" i="3"/>
  <c r="BA188" i="3"/>
  <c r="BL188" i="3"/>
  <c r="AZ188" i="3"/>
  <c r="BA189" i="3"/>
  <c r="BL189" i="3"/>
  <c r="AZ189" i="3"/>
  <c r="BA190" i="3"/>
  <c r="BL190" i="3"/>
  <c r="AZ190" i="3"/>
  <c r="BA191" i="3"/>
  <c r="BL191" i="3"/>
  <c r="AZ191" i="3"/>
  <c r="BA192" i="3"/>
  <c r="BL192" i="3"/>
  <c r="AZ192" i="3"/>
  <c r="BA193" i="3"/>
  <c r="BL193" i="3"/>
  <c r="AZ193" i="3"/>
  <c r="BA194" i="3"/>
  <c r="BL194" i="3"/>
  <c r="AZ194" i="3"/>
  <c r="BA195" i="3"/>
  <c r="BL195" i="3"/>
  <c r="AZ195" i="3"/>
  <c r="BA196" i="3"/>
  <c r="BL196" i="3"/>
  <c r="AZ196" i="3"/>
  <c r="BA197" i="3"/>
  <c r="BL197" i="3"/>
  <c r="AZ197" i="3"/>
  <c r="BA198" i="3"/>
  <c r="BL198" i="3"/>
  <c r="AZ198" i="3"/>
  <c r="BA199" i="3"/>
  <c r="BL199" i="3"/>
  <c r="AZ199" i="3"/>
  <c r="BA200" i="3"/>
  <c r="BL200" i="3"/>
  <c r="AZ200" i="3"/>
  <c r="BA201" i="3"/>
  <c r="BL201" i="3"/>
  <c r="AZ201" i="3"/>
  <c r="BA202" i="3"/>
  <c r="BL202" i="3"/>
  <c r="AZ202" i="3"/>
  <c r="BA203" i="3"/>
  <c r="BL203" i="3"/>
  <c r="AZ203" i="3"/>
  <c r="BA204" i="3"/>
  <c r="BL204" i="3"/>
  <c r="AZ204" i="3"/>
  <c r="BA205" i="3"/>
  <c r="BL205" i="3"/>
  <c r="AZ205" i="3"/>
  <c r="BA206" i="3"/>
  <c r="BL206" i="3"/>
  <c r="AZ206" i="3"/>
  <c r="BA207" i="3"/>
  <c r="BL207" i="3"/>
  <c r="AZ207" i="3"/>
  <c r="BA208" i="3"/>
  <c r="BL208" i="3"/>
  <c r="AZ208" i="3"/>
  <c r="BA209" i="3"/>
  <c r="BL209" i="3"/>
  <c r="AZ209" i="3"/>
  <c r="BA210" i="3"/>
  <c r="BL210" i="3"/>
  <c r="AZ210" i="3"/>
  <c r="BA211" i="3"/>
  <c r="BL211" i="3"/>
  <c r="AZ211" i="3"/>
  <c r="BA212" i="3"/>
  <c r="BL212" i="3"/>
  <c r="AZ212" i="3"/>
  <c r="BA213" i="3"/>
  <c r="BL213" i="3"/>
  <c r="AZ213" i="3"/>
  <c r="BA214" i="3"/>
  <c r="BL214" i="3"/>
  <c r="AZ214" i="3"/>
  <c r="BA215" i="3"/>
  <c r="BL215" i="3"/>
  <c r="AZ215" i="3"/>
  <c r="BA216" i="3"/>
  <c r="BL216" i="3"/>
  <c r="AZ216" i="3"/>
  <c r="BA217" i="3"/>
  <c r="BL217" i="3"/>
  <c r="AZ217" i="3"/>
  <c r="BA218" i="3"/>
  <c r="BL218" i="3"/>
  <c r="AZ218" i="3"/>
  <c r="BA219" i="3"/>
  <c r="BL219" i="3"/>
  <c r="AZ219" i="3"/>
  <c r="BA220" i="3"/>
  <c r="BL220" i="3"/>
  <c r="AZ220" i="3"/>
  <c r="BA221" i="3"/>
  <c r="BL221" i="3"/>
  <c r="AZ221" i="3"/>
  <c r="BA222" i="3"/>
  <c r="BL222" i="3"/>
  <c r="AZ222" i="3"/>
  <c r="BA223" i="3"/>
  <c r="BL223" i="3"/>
  <c r="AZ223" i="3"/>
  <c r="BA224" i="3"/>
  <c r="BL224" i="3"/>
  <c r="AZ224" i="3"/>
  <c r="BA225" i="3"/>
  <c r="BL225" i="3"/>
  <c r="AZ225" i="3"/>
  <c r="BA226" i="3"/>
  <c r="BL226" i="3"/>
  <c r="AZ226" i="3"/>
  <c r="BA227" i="3"/>
  <c r="BL227" i="3"/>
  <c r="AZ227" i="3"/>
  <c r="BA228" i="3"/>
  <c r="BL228" i="3"/>
  <c r="AZ228" i="3"/>
  <c r="BA229" i="3"/>
  <c r="BL229" i="3"/>
  <c r="AZ229" i="3"/>
  <c r="BA230" i="3"/>
  <c r="BL230" i="3"/>
  <c r="AZ230" i="3"/>
  <c r="BA231" i="3"/>
  <c r="BL231" i="3"/>
  <c r="AZ231" i="3"/>
  <c r="BA232" i="3"/>
  <c r="BL232" i="3"/>
  <c r="AZ232" i="3"/>
  <c r="BA233" i="3"/>
  <c r="BL233" i="3"/>
  <c r="AZ233" i="3"/>
  <c r="BA234" i="3"/>
  <c r="BL234" i="3"/>
  <c r="AZ234" i="3"/>
  <c r="BA235" i="3"/>
  <c r="BL235" i="3"/>
  <c r="AZ235" i="3"/>
  <c r="BA236" i="3"/>
  <c r="BL236" i="3"/>
  <c r="AZ236" i="3"/>
  <c r="BA237" i="3"/>
  <c r="BL237" i="3"/>
  <c r="AZ237" i="3"/>
  <c r="BA238" i="3"/>
  <c r="BL238" i="3"/>
  <c r="AZ238" i="3"/>
  <c r="BA239" i="3"/>
  <c r="BL239" i="3"/>
  <c r="AZ239" i="3"/>
  <c r="BA240" i="3"/>
  <c r="BL240" i="3"/>
  <c r="AZ240" i="3"/>
  <c r="BA241" i="3"/>
  <c r="BL241" i="3"/>
  <c r="AZ241" i="3"/>
  <c r="BA242" i="3"/>
  <c r="BL242" i="3"/>
  <c r="AZ242" i="3"/>
  <c r="BA243" i="3"/>
  <c r="BL243" i="3"/>
  <c r="AZ243" i="3"/>
  <c r="BA244" i="3"/>
  <c r="BL244" i="3"/>
  <c r="AZ244" i="3"/>
  <c r="BA245" i="3"/>
  <c r="BL245" i="3"/>
  <c r="AZ245" i="3"/>
  <c r="BA246" i="3"/>
  <c r="BL246" i="3"/>
  <c r="AZ246" i="3"/>
  <c r="BA247" i="3"/>
  <c r="BL247" i="3"/>
  <c r="AZ247" i="3"/>
  <c r="BA248" i="3"/>
  <c r="BL248" i="3"/>
  <c r="AZ248" i="3"/>
  <c r="BA249" i="3"/>
  <c r="BL249" i="3"/>
  <c r="AZ249" i="3"/>
  <c r="BA250" i="3"/>
  <c r="BL250" i="3"/>
  <c r="AZ250" i="3"/>
  <c r="BA251" i="3"/>
  <c r="BL251" i="3"/>
  <c r="AZ251" i="3"/>
  <c r="BA252" i="3"/>
  <c r="BL252" i="3"/>
  <c r="AZ252" i="3"/>
  <c r="BA253" i="3"/>
  <c r="BL253" i="3"/>
  <c r="AZ253" i="3"/>
  <c r="BA254" i="3"/>
  <c r="BL254" i="3"/>
  <c r="AZ254" i="3"/>
  <c r="BA255" i="3"/>
  <c r="BL255" i="3"/>
  <c r="AZ255" i="3"/>
  <c r="BA256" i="3"/>
  <c r="BL256" i="3"/>
  <c r="AZ256" i="3"/>
  <c r="BA257" i="3"/>
  <c r="BL257" i="3"/>
  <c r="AZ257" i="3"/>
  <c r="BA258" i="3"/>
  <c r="BL258" i="3"/>
  <c r="AZ258" i="3"/>
  <c r="BA259" i="3"/>
  <c r="BL259" i="3"/>
  <c r="AZ259" i="3"/>
  <c r="BA260" i="3"/>
  <c r="BL260" i="3"/>
  <c r="AZ260" i="3"/>
  <c r="BA261" i="3"/>
  <c r="BL261" i="3"/>
  <c r="AZ261" i="3"/>
  <c r="BA262" i="3"/>
  <c r="BL262" i="3"/>
  <c r="AZ262" i="3"/>
  <c r="BA263" i="3"/>
  <c r="BL263" i="3"/>
  <c r="AZ263" i="3"/>
  <c r="BA264" i="3"/>
  <c r="BL264" i="3"/>
  <c r="AZ264" i="3"/>
  <c r="BA265" i="3"/>
  <c r="BL265" i="3"/>
  <c r="AZ265" i="3"/>
  <c r="BA266" i="3"/>
  <c r="BL266" i="3"/>
  <c r="AZ266" i="3"/>
  <c r="BA267" i="3"/>
  <c r="BL267" i="3"/>
  <c r="AZ267" i="3"/>
  <c r="BA268" i="3"/>
  <c r="BL268" i="3"/>
  <c r="AZ268" i="3"/>
  <c r="BA269" i="3"/>
  <c r="BL269" i="3"/>
  <c r="AZ269" i="3"/>
  <c r="BA270" i="3"/>
  <c r="BL270" i="3"/>
  <c r="AZ270" i="3"/>
  <c r="BA271" i="3"/>
  <c r="BL271" i="3"/>
  <c r="AZ271" i="3"/>
  <c r="BA272" i="3"/>
  <c r="BL272" i="3"/>
  <c r="AZ272" i="3"/>
  <c r="BA273" i="3"/>
  <c r="BL273" i="3"/>
  <c r="AZ273" i="3"/>
  <c r="BA274" i="3"/>
  <c r="BL274" i="3"/>
  <c r="AZ274" i="3"/>
  <c r="BA275" i="3"/>
  <c r="BL275" i="3"/>
  <c r="AZ275" i="3"/>
  <c r="BA276" i="3"/>
  <c r="BL276" i="3"/>
  <c r="AZ276" i="3"/>
  <c r="BA277" i="3"/>
  <c r="BL277" i="3"/>
  <c r="AZ277" i="3"/>
  <c r="BA278" i="3"/>
  <c r="BL278" i="3"/>
  <c r="AZ278" i="3"/>
  <c r="BA279" i="3"/>
  <c r="BL279" i="3"/>
  <c r="AZ279" i="3"/>
  <c r="BA280" i="3"/>
  <c r="BL280" i="3"/>
  <c r="AZ280" i="3"/>
  <c r="BA281" i="3"/>
  <c r="BL281" i="3"/>
  <c r="AZ281" i="3"/>
  <c r="BA282" i="3"/>
  <c r="BL282" i="3"/>
  <c r="AZ282" i="3"/>
  <c r="BA283" i="3"/>
  <c r="BL283" i="3"/>
  <c r="AZ283" i="3"/>
  <c r="BA284" i="3"/>
  <c r="BL284" i="3"/>
  <c r="AZ284" i="3"/>
  <c r="BA285" i="3"/>
  <c r="BL285" i="3"/>
  <c r="AZ285" i="3"/>
  <c r="BA286" i="3"/>
  <c r="BL286" i="3"/>
  <c r="AZ286" i="3"/>
  <c r="BA287" i="3"/>
  <c r="BL287" i="3"/>
  <c r="AZ287" i="3"/>
  <c r="BA288" i="3"/>
  <c r="BL288" i="3"/>
  <c r="AZ288" i="3"/>
  <c r="BA289" i="3"/>
  <c r="BL289" i="3"/>
  <c r="AZ289" i="3"/>
  <c r="BA290" i="3"/>
  <c r="BL290" i="3"/>
  <c r="AZ290" i="3"/>
  <c r="BA291" i="3"/>
  <c r="BL291" i="3"/>
  <c r="AZ291" i="3"/>
  <c r="BA292" i="3"/>
  <c r="BL292" i="3"/>
  <c r="AZ292" i="3"/>
  <c r="BA293" i="3"/>
  <c r="BL293" i="3"/>
  <c r="AZ293" i="3"/>
  <c r="BA294" i="3"/>
  <c r="BL294" i="3"/>
  <c r="AZ294" i="3"/>
  <c r="BA295" i="3"/>
  <c r="BL295" i="3"/>
  <c r="AZ295" i="3"/>
  <c r="BA296" i="3"/>
  <c r="BL296" i="3"/>
  <c r="AZ296" i="3"/>
  <c r="BA297" i="3"/>
  <c r="BL297" i="3"/>
  <c r="AZ297" i="3"/>
  <c r="BA298" i="3"/>
  <c r="BL298" i="3"/>
  <c r="AZ298" i="3"/>
  <c r="BA299" i="3"/>
  <c r="BL299" i="3"/>
  <c r="AZ299" i="3"/>
  <c r="BA300" i="3"/>
  <c r="BL300" i="3"/>
  <c r="AZ300" i="3"/>
  <c r="BA301" i="3"/>
  <c r="BL301" i="3"/>
  <c r="AZ301" i="3"/>
  <c r="BA302" i="3"/>
  <c r="BL302" i="3"/>
  <c r="AZ302" i="3"/>
  <c r="BA303" i="3"/>
  <c r="BL303" i="3"/>
  <c r="AZ303" i="3"/>
  <c r="BA304" i="3"/>
  <c r="BL304" i="3"/>
  <c r="AZ304" i="3"/>
  <c r="BA305" i="3"/>
  <c r="BL305" i="3"/>
  <c r="AZ305" i="3"/>
  <c r="BA306" i="3"/>
  <c r="BL306" i="3"/>
  <c r="AZ306" i="3"/>
  <c r="BA307" i="3"/>
  <c r="BL307" i="3"/>
  <c r="AZ307" i="3"/>
  <c r="BA308" i="3"/>
  <c r="BL308" i="3"/>
  <c r="AZ308" i="3"/>
  <c r="BA309" i="3"/>
  <c r="BL309" i="3"/>
  <c r="AZ309" i="3"/>
  <c r="BA310" i="3"/>
  <c r="BL310" i="3"/>
  <c r="AZ310" i="3"/>
  <c r="BA311" i="3"/>
  <c r="BL311" i="3"/>
  <c r="AZ311" i="3"/>
  <c r="BA312" i="3"/>
  <c r="BL312" i="3"/>
  <c r="AZ312" i="3"/>
  <c r="BA313" i="3"/>
  <c r="BL313" i="3"/>
  <c r="AZ313" i="3"/>
  <c r="BA314" i="3"/>
  <c r="BL314" i="3"/>
  <c r="AZ314" i="3"/>
  <c r="BA315" i="3"/>
  <c r="BL315" i="3"/>
  <c r="AZ315" i="3"/>
  <c r="BA316" i="3"/>
  <c r="BL316" i="3"/>
  <c r="AZ316" i="3"/>
  <c r="BA317" i="3"/>
  <c r="BL317" i="3"/>
  <c r="AZ317" i="3"/>
  <c r="BA318" i="3"/>
  <c r="BL318" i="3"/>
  <c r="AZ318" i="3"/>
  <c r="BA319" i="3"/>
  <c r="BL319" i="3"/>
  <c r="AZ319" i="3"/>
  <c r="BA320" i="3"/>
  <c r="BL320" i="3"/>
  <c r="AZ320" i="3"/>
  <c r="BA321" i="3"/>
  <c r="BL321" i="3"/>
  <c r="AZ321" i="3"/>
  <c r="BA322" i="3"/>
  <c r="BL322" i="3"/>
  <c r="AZ322" i="3"/>
  <c r="BA323" i="3"/>
  <c r="BL323" i="3"/>
  <c r="AZ323" i="3"/>
  <c r="BA324" i="3"/>
  <c r="BL324" i="3"/>
  <c r="AZ324" i="3"/>
  <c r="BA325" i="3"/>
  <c r="BL325" i="3"/>
  <c r="AZ325" i="3"/>
  <c r="BA326" i="3"/>
  <c r="BL326" i="3"/>
  <c r="AZ326" i="3"/>
  <c r="BA327" i="3"/>
  <c r="BL327" i="3"/>
  <c r="AZ327" i="3"/>
  <c r="BA328" i="3"/>
  <c r="BL328" i="3"/>
  <c r="AZ328" i="3"/>
  <c r="BA329" i="3"/>
  <c r="BL329" i="3"/>
  <c r="AZ329" i="3"/>
  <c r="BA330" i="3"/>
  <c r="BL330" i="3"/>
  <c r="AZ330" i="3"/>
  <c r="BA331" i="3"/>
  <c r="BL331" i="3"/>
  <c r="AZ331" i="3"/>
  <c r="BA332" i="3"/>
  <c r="BL332" i="3"/>
  <c r="AZ332" i="3"/>
  <c r="BA333" i="3"/>
  <c r="BL333" i="3"/>
  <c r="AZ333" i="3"/>
  <c r="BA334" i="3"/>
  <c r="BL334" i="3"/>
  <c r="AZ334" i="3"/>
  <c r="BA335" i="3"/>
  <c r="BL335" i="3"/>
  <c r="AZ335" i="3"/>
  <c r="BA336" i="3"/>
  <c r="BL336" i="3"/>
  <c r="AZ336" i="3"/>
  <c r="BA337" i="3"/>
  <c r="BL337" i="3"/>
  <c r="AZ337" i="3"/>
  <c r="BA338" i="3"/>
  <c r="BL338" i="3"/>
  <c r="AZ338" i="3"/>
  <c r="BA339" i="3"/>
  <c r="BL339" i="3"/>
  <c r="AZ339" i="3"/>
  <c r="BA340" i="3"/>
  <c r="BL340" i="3"/>
  <c r="AZ340" i="3"/>
  <c r="BA341" i="3"/>
  <c r="BL341" i="3"/>
  <c r="AZ341" i="3"/>
  <c r="BA342" i="3"/>
  <c r="BL342" i="3"/>
  <c r="AZ342" i="3"/>
  <c r="BA343" i="3"/>
  <c r="BL343" i="3"/>
  <c r="AZ343" i="3"/>
  <c r="BA344" i="3"/>
  <c r="BL344" i="3"/>
  <c r="AZ344" i="3"/>
  <c r="BA345" i="3"/>
  <c r="BL345" i="3"/>
  <c r="AZ345" i="3"/>
  <c r="BA346" i="3"/>
  <c r="BL346" i="3"/>
  <c r="AZ346" i="3"/>
  <c r="BA347" i="3"/>
  <c r="BL347" i="3"/>
  <c r="AZ347" i="3"/>
  <c r="BA348" i="3"/>
  <c r="BL348" i="3"/>
  <c r="AZ348" i="3"/>
  <c r="BA349" i="3"/>
  <c r="BL349" i="3"/>
  <c r="AZ349" i="3"/>
  <c r="BA350" i="3"/>
  <c r="BL350" i="3"/>
  <c r="AZ350" i="3"/>
  <c r="BA351" i="3"/>
  <c r="BL351" i="3"/>
  <c r="AZ351" i="3"/>
  <c r="BA352" i="3"/>
  <c r="BL352" i="3"/>
  <c r="AZ352" i="3"/>
  <c r="BA353" i="3"/>
  <c r="BL353" i="3"/>
  <c r="AZ353" i="3"/>
  <c r="BA354" i="3"/>
  <c r="BL354" i="3"/>
  <c r="AZ354" i="3"/>
  <c r="BA355" i="3"/>
  <c r="BL355" i="3"/>
  <c r="AZ355" i="3"/>
  <c r="BA356" i="3"/>
  <c r="BL356" i="3"/>
  <c r="AZ356" i="3"/>
  <c r="BA357" i="3"/>
  <c r="BL357" i="3"/>
  <c r="AZ357" i="3"/>
  <c r="BA358" i="3"/>
  <c r="BL358" i="3"/>
  <c r="AZ358" i="3"/>
  <c r="BA359" i="3"/>
  <c r="BL359" i="3"/>
  <c r="AZ359" i="3"/>
  <c r="BA360" i="3"/>
  <c r="BL360" i="3"/>
  <c r="AZ360" i="3"/>
  <c r="BA361" i="3"/>
  <c r="BL361" i="3"/>
  <c r="AZ361" i="3"/>
  <c r="BA362" i="3"/>
  <c r="BL362" i="3"/>
  <c r="AZ362" i="3"/>
  <c r="BA363" i="3"/>
  <c r="BL363" i="3"/>
  <c r="AZ363" i="3"/>
  <c r="BA364" i="3"/>
  <c r="BL364" i="3"/>
  <c r="AZ364" i="3"/>
  <c r="BA365" i="3"/>
  <c r="BL365" i="3"/>
  <c r="AZ365" i="3"/>
  <c r="BA366" i="3"/>
  <c r="BL366" i="3"/>
  <c r="AZ366" i="3"/>
  <c r="BA367" i="3"/>
  <c r="BL367" i="3"/>
  <c r="AZ367" i="3"/>
  <c r="BA368" i="3"/>
  <c r="BL368" i="3"/>
  <c r="AZ368" i="3"/>
  <c r="BA369" i="3"/>
  <c r="BL369" i="3"/>
  <c r="AZ369" i="3"/>
  <c r="BA370" i="3"/>
  <c r="BL370" i="3"/>
  <c r="AZ370" i="3"/>
  <c r="BA371" i="3"/>
  <c r="BL371" i="3"/>
  <c r="AZ371" i="3"/>
  <c r="BA372" i="3"/>
  <c r="BL372" i="3"/>
  <c r="AZ372" i="3"/>
  <c r="BA373" i="3"/>
  <c r="BL373" i="3"/>
  <c r="AZ373" i="3"/>
  <c r="BA374" i="3"/>
  <c r="BL374" i="3"/>
  <c r="AZ374" i="3"/>
  <c r="BA375" i="3"/>
  <c r="BL375" i="3"/>
  <c r="AZ375" i="3"/>
  <c r="BA376" i="3"/>
  <c r="BL376" i="3"/>
  <c r="AZ376" i="3"/>
  <c r="BA377" i="3"/>
  <c r="BL377" i="3"/>
  <c r="AZ377" i="3"/>
  <c r="BA378" i="3"/>
  <c r="BL378" i="3"/>
  <c r="AZ378" i="3"/>
  <c r="BA379" i="3"/>
  <c r="BL379" i="3"/>
  <c r="AZ379" i="3"/>
  <c r="BA380" i="3"/>
  <c r="BL380" i="3"/>
  <c r="AZ380" i="3"/>
  <c r="BA381" i="3"/>
  <c r="BL381" i="3"/>
  <c r="AZ381" i="3"/>
  <c r="BA382" i="3"/>
  <c r="BL382" i="3"/>
  <c r="AZ382" i="3"/>
  <c r="BA383" i="3"/>
  <c r="BL383" i="3"/>
  <c r="AZ383" i="3"/>
  <c r="BA384" i="3"/>
  <c r="BL384" i="3"/>
  <c r="AZ384" i="3"/>
  <c r="BA385" i="3"/>
  <c r="BL385" i="3"/>
  <c r="AZ385" i="3"/>
  <c r="BA386" i="3"/>
  <c r="BL386" i="3"/>
  <c r="AZ386" i="3"/>
  <c r="BA387" i="3"/>
  <c r="BL387" i="3"/>
  <c r="AZ387" i="3"/>
  <c r="BA388" i="3"/>
  <c r="BL388" i="3"/>
  <c r="AZ388" i="3"/>
  <c r="BA389" i="3"/>
  <c r="BL389" i="3"/>
  <c r="AZ389" i="3"/>
  <c r="BA390" i="3"/>
  <c r="BL390" i="3"/>
  <c r="AZ390" i="3"/>
  <c r="BA391" i="3"/>
  <c r="BL391" i="3"/>
  <c r="AZ391" i="3"/>
  <c r="BA392" i="3"/>
  <c r="BL392" i="3"/>
  <c r="AZ392" i="3"/>
  <c r="BA393" i="3"/>
  <c r="BL393" i="3"/>
  <c r="AZ393" i="3"/>
  <c r="BA394" i="3"/>
  <c r="BL394" i="3"/>
  <c r="AZ394" i="3"/>
  <c r="BA395" i="3"/>
  <c r="BL395" i="3"/>
  <c r="AZ395" i="3"/>
  <c r="BA396" i="3"/>
  <c r="BL396" i="3"/>
  <c r="AZ396" i="3"/>
  <c r="BA397" i="3"/>
  <c r="BL397" i="3"/>
  <c r="AZ397" i="3"/>
  <c r="BA398" i="3"/>
  <c r="BL398" i="3"/>
  <c r="AZ398" i="3"/>
  <c r="BA399" i="3"/>
  <c r="BL399" i="3"/>
  <c r="AZ399" i="3"/>
  <c r="BA400" i="3"/>
  <c r="BL400" i="3"/>
  <c r="AZ400" i="3"/>
  <c r="BA401" i="3"/>
  <c r="BL401" i="3"/>
  <c r="AZ401" i="3"/>
  <c r="BA402" i="3"/>
  <c r="BL402" i="3"/>
  <c r="AZ402" i="3"/>
  <c r="BA403" i="3"/>
  <c r="BL403" i="3"/>
  <c r="AZ403" i="3"/>
  <c r="BA404" i="3"/>
  <c r="BL404" i="3"/>
  <c r="AZ404" i="3"/>
  <c r="BA405" i="3"/>
  <c r="BL405" i="3"/>
  <c r="AZ405" i="3"/>
  <c r="BA406" i="3"/>
  <c r="BL406" i="3"/>
  <c r="AZ406" i="3"/>
  <c r="BA407" i="3"/>
  <c r="BL407" i="3"/>
  <c r="AZ407" i="3"/>
  <c r="BA408" i="3"/>
  <c r="BL408" i="3"/>
  <c r="AZ408" i="3"/>
  <c r="BA409" i="3"/>
  <c r="BL409" i="3"/>
  <c r="AZ409" i="3"/>
  <c r="BA410" i="3"/>
  <c r="BL410" i="3"/>
  <c r="AZ410" i="3"/>
  <c r="BA411" i="3"/>
  <c r="BL411" i="3"/>
  <c r="AZ411" i="3"/>
  <c r="BA412" i="3"/>
  <c r="BL412" i="3"/>
  <c r="AZ412" i="3"/>
  <c r="BA413" i="3"/>
  <c r="BL413" i="3"/>
  <c r="AZ413" i="3"/>
  <c r="BA414" i="3"/>
  <c r="BL414" i="3"/>
  <c r="AZ414" i="3"/>
  <c r="BA415" i="3"/>
  <c r="BL415" i="3"/>
  <c r="AZ415" i="3"/>
  <c r="BA416" i="3"/>
  <c r="BL416" i="3"/>
  <c r="AZ416" i="3"/>
  <c r="BA417" i="3"/>
  <c r="BL417" i="3"/>
  <c r="AZ417" i="3"/>
  <c r="BA418" i="3"/>
  <c r="BL418" i="3"/>
  <c r="AZ418" i="3"/>
  <c r="BA419" i="3"/>
  <c r="BL419" i="3"/>
  <c r="AZ419" i="3"/>
  <c r="BA420" i="3"/>
  <c r="BL420" i="3"/>
  <c r="AZ420" i="3"/>
  <c r="BA421" i="3"/>
  <c r="BL421" i="3"/>
  <c r="AZ421" i="3"/>
  <c r="BA422" i="3"/>
  <c r="BL422" i="3"/>
  <c r="AZ422" i="3"/>
  <c r="BA423" i="3"/>
  <c r="BL423" i="3"/>
  <c r="AZ423" i="3"/>
  <c r="BA424" i="3"/>
  <c r="BL424" i="3"/>
  <c r="AZ424" i="3"/>
  <c r="BA425" i="3"/>
  <c r="BL425" i="3"/>
  <c r="AZ425" i="3"/>
  <c r="BA426" i="3"/>
  <c r="BL426" i="3"/>
  <c r="AZ426" i="3"/>
  <c r="BA427" i="3"/>
  <c r="BL427" i="3"/>
  <c r="AZ427" i="3"/>
  <c r="BA428" i="3"/>
  <c r="BL428" i="3"/>
  <c r="AZ428" i="3"/>
  <c r="BA429" i="3"/>
  <c r="BL429" i="3"/>
  <c r="AZ429" i="3"/>
  <c r="BA430" i="3"/>
  <c r="BL430" i="3"/>
  <c r="AZ430" i="3"/>
  <c r="BA431" i="3"/>
  <c r="BL431" i="3"/>
  <c r="AZ431" i="3"/>
  <c r="BA432" i="3"/>
  <c r="BL432" i="3"/>
  <c r="AZ432" i="3"/>
  <c r="BA433" i="3"/>
  <c r="BL433" i="3"/>
  <c r="AZ433" i="3"/>
  <c r="BA434" i="3"/>
  <c r="BL434" i="3"/>
  <c r="AZ434" i="3"/>
  <c r="BA435" i="3"/>
  <c r="BL435" i="3"/>
  <c r="AZ435" i="3"/>
  <c r="BA436" i="3"/>
  <c r="BL436" i="3"/>
  <c r="AZ436" i="3"/>
  <c r="BA437" i="3"/>
  <c r="BL437" i="3"/>
  <c r="AZ437" i="3"/>
  <c r="BA438" i="3"/>
  <c r="BL438" i="3"/>
  <c r="AZ438" i="3"/>
  <c r="BA439" i="3"/>
  <c r="BL439" i="3"/>
  <c r="AZ439" i="3"/>
  <c r="BA440" i="3"/>
  <c r="BL440" i="3"/>
  <c r="AZ440" i="3"/>
  <c r="BA441" i="3"/>
  <c r="BL441" i="3"/>
  <c r="AZ441" i="3"/>
  <c r="BA442" i="3"/>
  <c r="BL442" i="3"/>
  <c r="AZ442" i="3"/>
  <c r="BA443" i="3"/>
  <c r="BL443" i="3"/>
  <c r="AZ443" i="3"/>
  <c r="BA444" i="3"/>
  <c r="BL444" i="3"/>
  <c r="AZ444" i="3"/>
  <c r="BA445" i="3"/>
  <c r="BL445" i="3"/>
  <c r="AZ445" i="3"/>
  <c r="BA446" i="3"/>
  <c r="BL446" i="3"/>
  <c r="AZ446" i="3"/>
  <c r="BA447" i="3"/>
  <c r="BL447" i="3"/>
  <c r="AZ447" i="3"/>
  <c r="BA448" i="3"/>
  <c r="BL448" i="3"/>
  <c r="AZ448" i="3"/>
  <c r="BA449" i="3"/>
  <c r="BL449" i="3"/>
  <c r="AZ449" i="3"/>
  <c r="BA450" i="3"/>
  <c r="BL450" i="3"/>
  <c r="AZ450" i="3"/>
  <c r="BA451" i="3"/>
  <c r="BL451" i="3"/>
  <c r="AZ451" i="3"/>
  <c r="BA452" i="3"/>
  <c r="BL452" i="3"/>
  <c r="AZ452" i="3"/>
  <c r="BA453" i="3"/>
  <c r="BL453" i="3"/>
  <c r="AZ453" i="3"/>
  <c r="BA454" i="3"/>
  <c r="BL454" i="3"/>
  <c r="AZ454" i="3"/>
  <c r="BA455" i="3"/>
  <c r="BL455" i="3"/>
  <c r="AZ455" i="3"/>
  <c r="BA456" i="3"/>
  <c r="BL456" i="3"/>
  <c r="AZ456" i="3"/>
  <c r="BA457" i="3"/>
  <c r="BL457" i="3"/>
  <c r="AZ457" i="3"/>
  <c r="BA458" i="3"/>
  <c r="BL458" i="3"/>
  <c r="AZ458" i="3"/>
  <c r="BA459" i="3"/>
  <c r="BL459" i="3"/>
  <c r="AZ459" i="3"/>
  <c r="BA460" i="3"/>
  <c r="BL460" i="3"/>
  <c r="AZ460" i="3"/>
  <c r="BA461" i="3"/>
  <c r="BL461" i="3"/>
  <c r="AZ461" i="3"/>
  <c r="BA462" i="3"/>
  <c r="BL462" i="3"/>
  <c r="AZ462" i="3"/>
  <c r="BA463" i="3"/>
  <c r="BL463" i="3"/>
  <c r="AZ463" i="3"/>
  <c r="BA464" i="3"/>
  <c r="BL464" i="3"/>
  <c r="AZ464" i="3"/>
  <c r="BA465" i="3"/>
  <c r="BL465" i="3"/>
  <c r="AZ465" i="3"/>
  <c r="BA466" i="3"/>
  <c r="BL466" i="3"/>
  <c r="AZ466" i="3"/>
  <c r="BA467" i="3"/>
  <c r="BL467" i="3"/>
  <c r="AZ467" i="3"/>
  <c r="BA468" i="3"/>
  <c r="BL468" i="3"/>
  <c r="AZ468" i="3"/>
  <c r="BA469" i="3"/>
  <c r="BL469" i="3"/>
  <c r="AZ469" i="3"/>
  <c r="BA470" i="3"/>
  <c r="BL470" i="3"/>
  <c r="AZ470" i="3"/>
  <c r="BA471" i="3"/>
  <c r="BL471" i="3"/>
  <c r="AZ471" i="3"/>
  <c r="BA472" i="3"/>
  <c r="BL472" i="3"/>
  <c r="AZ472" i="3"/>
  <c r="BA473" i="3"/>
  <c r="BL473" i="3"/>
  <c r="AZ473" i="3"/>
  <c r="BA474" i="3"/>
  <c r="BL474" i="3"/>
  <c r="AZ474" i="3"/>
  <c r="BA475" i="3"/>
  <c r="BL475" i="3"/>
  <c r="AZ475" i="3"/>
  <c r="BA476" i="3"/>
  <c r="BL476" i="3"/>
  <c r="AZ476" i="3"/>
  <c r="BA477" i="3"/>
  <c r="BL477" i="3"/>
  <c r="AZ477" i="3"/>
  <c r="BA478" i="3"/>
  <c r="BL478" i="3"/>
  <c r="AZ478" i="3"/>
  <c r="BA479" i="3"/>
  <c r="BL479" i="3"/>
  <c r="AZ479" i="3"/>
  <c r="BA480" i="3"/>
  <c r="BL480" i="3"/>
  <c r="AZ480" i="3"/>
  <c r="BA481" i="3"/>
  <c r="BL481" i="3"/>
  <c r="AZ481" i="3"/>
  <c r="BA482" i="3"/>
  <c r="BL482" i="3"/>
  <c r="AZ482" i="3"/>
  <c r="BA483" i="3"/>
  <c r="BL483" i="3"/>
  <c r="AZ483" i="3"/>
  <c r="BA484" i="3"/>
  <c r="BL484" i="3"/>
  <c r="AZ484" i="3"/>
  <c r="BA485" i="3"/>
  <c r="BL485" i="3"/>
  <c r="AZ485" i="3"/>
  <c r="BA486" i="3"/>
  <c r="BL486" i="3"/>
  <c r="AZ486" i="3"/>
  <c r="BA487" i="3"/>
  <c r="BL487" i="3"/>
  <c r="AZ487" i="3"/>
  <c r="BA488" i="3"/>
  <c r="BL488" i="3"/>
  <c r="AZ488" i="3"/>
  <c r="BA489" i="3"/>
  <c r="BL489" i="3"/>
  <c r="AZ489" i="3"/>
  <c r="BA490" i="3"/>
  <c r="BL490" i="3"/>
  <c r="AZ490" i="3"/>
  <c r="BA491" i="3"/>
  <c r="BL491" i="3"/>
  <c r="AZ491" i="3"/>
  <c r="BA492" i="3"/>
  <c r="BL492" i="3"/>
  <c r="AZ492" i="3"/>
  <c r="BA493" i="3"/>
  <c r="BL493" i="3"/>
  <c r="AZ493" i="3"/>
  <c r="BA494" i="3"/>
  <c r="BL494" i="3"/>
  <c r="AZ494" i="3"/>
  <c r="BA495" i="3"/>
  <c r="BL495" i="3"/>
  <c r="AZ495" i="3"/>
  <c r="BA496" i="3"/>
  <c r="BL496" i="3"/>
  <c r="AZ496" i="3"/>
  <c r="BA497" i="3"/>
  <c r="BL497" i="3"/>
  <c r="AZ497" i="3"/>
  <c r="BA498" i="3"/>
  <c r="BL498" i="3"/>
  <c r="AZ498" i="3"/>
  <c r="BA499" i="3"/>
  <c r="BL499" i="3"/>
  <c r="AZ499" i="3"/>
  <c r="BA500" i="3"/>
  <c r="BL500" i="3"/>
  <c r="AZ500" i="3"/>
  <c r="BA501" i="3"/>
  <c r="BL501" i="3"/>
  <c r="AZ501" i="3"/>
  <c r="BA502" i="3"/>
  <c r="BL502" i="3"/>
  <c r="AZ502" i="3"/>
  <c r="BA503" i="3"/>
  <c r="BL503" i="3"/>
  <c r="AZ503" i="3"/>
  <c r="BA504" i="3"/>
  <c r="BL504" i="3"/>
  <c r="AZ504" i="3"/>
  <c r="BA505" i="3"/>
  <c r="BL505" i="3"/>
  <c r="AZ505" i="3"/>
  <c r="BA506" i="3"/>
  <c r="BL506" i="3"/>
  <c r="AZ506" i="3"/>
  <c r="BA507" i="3"/>
  <c r="BL507" i="3"/>
  <c r="AZ507" i="3"/>
  <c r="BA508" i="3"/>
  <c r="BL508" i="3"/>
  <c r="AZ508" i="3"/>
  <c r="BA509" i="3"/>
  <c r="BL509" i="3"/>
  <c r="AZ509" i="3"/>
  <c r="BA510" i="3"/>
  <c r="BL510" i="3"/>
  <c r="AZ510" i="3"/>
  <c r="BA511" i="3"/>
  <c r="BL511" i="3"/>
  <c r="AZ511" i="3"/>
  <c r="BA512" i="3"/>
  <c r="BL512" i="3"/>
  <c r="AZ512" i="3"/>
  <c r="BA513" i="3"/>
  <c r="BL513" i="3"/>
  <c r="AZ513" i="3"/>
  <c r="BA514" i="3"/>
  <c r="BL514" i="3"/>
  <c r="AZ514" i="3"/>
  <c r="BA515" i="3"/>
  <c r="BL515" i="3"/>
  <c r="AZ515" i="3"/>
  <c r="BA516" i="3"/>
  <c r="BL516" i="3"/>
  <c r="AZ516" i="3"/>
  <c r="BA517" i="3"/>
  <c r="BL517" i="3"/>
  <c r="AZ517" i="3"/>
  <c r="BA518" i="3"/>
  <c r="BL518" i="3"/>
  <c r="AZ518" i="3"/>
  <c r="BA519" i="3"/>
  <c r="BL519" i="3"/>
  <c r="AZ519" i="3"/>
  <c r="BA520" i="3"/>
  <c r="BL520" i="3"/>
  <c r="AZ520" i="3"/>
  <c r="BA521" i="3"/>
  <c r="BL521" i="3"/>
  <c r="AZ521" i="3"/>
  <c r="BA522" i="3"/>
  <c r="BL522" i="3"/>
  <c r="AZ522" i="3"/>
  <c r="BA523" i="3"/>
  <c r="BL523" i="3"/>
  <c r="AZ523" i="3"/>
  <c r="BA524" i="3"/>
  <c r="BL524" i="3"/>
  <c r="AZ524" i="3"/>
  <c r="BA525" i="3"/>
  <c r="BL525" i="3"/>
  <c r="AZ525" i="3"/>
  <c r="BA526" i="3"/>
  <c r="BL526" i="3"/>
  <c r="AZ526" i="3"/>
  <c r="BA527" i="3"/>
  <c r="BL527" i="3"/>
  <c r="AZ527" i="3"/>
  <c r="BA528" i="3"/>
  <c r="BL528" i="3"/>
  <c r="AZ528" i="3"/>
  <c r="BA529" i="3"/>
  <c r="BL529" i="3"/>
  <c r="AZ529" i="3"/>
  <c r="BA530" i="3"/>
  <c r="BL530" i="3"/>
  <c r="AZ530" i="3"/>
  <c r="BA531" i="3"/>
  <c r="BL531" i="3"/>
  <c r="AZ531" i="3"/>
  <c r="BA532" i="3"/>
  <c r="BL532" i="3"/>
  <c r="AZ532" i="3"/>
  <c r="BA533" i="3"/>
  <c r="BL533" i="3"/>
  <c r="AZ533" i="3"/>
  <c r="BA534" i="3"/>
  <c r="BL534" i="3"/>
  <c r="AZ534" i="3"/>
  <c r="BA535" i="3"/>
  <c r="BL535" i="3"/>
  <c r="AZ535" i="3"/>
  <c r="BA536" i="3"/>
  <c r="BL536" i="3"/>
  <c r="AZ536" i="3"/>
  <c r="BA537" i="3"/>
  <c r="BL537" i="3"/>
  <c r="AZ537" i="3"/>
  <c r="BA538" i="3"/>
  <c r="BL538" i="3"/>
  <c r="AZ538" i="3"/>
  <c r="BA539" i="3"/>
  <c r="BL539" i="3"/>
  <c r="AZ539" i="3"/>
  <c r="BA540" i="3"/>
  <c r="BL540" i="3"/>
  <c r="AZ540" i="3"/>
  <c r="BA541" i="3"/>
  <c r="BL541" i="3"/>
  <c r="AZ541" i="3"/>
  <c r="BA542" i="3"/>
  <c r="BL542" i="3"/>
  <c r="AZ542" i="3"/>
  <c r="BA543" i="3"/>
  <c r="BL543" i="3"/>
  <c r="AZ543" i="3"/>
  <c r="BA544" i="3"/>
  <c r="BL544" i="3"/>
  <c r="AZ544" i="3"/>
  <c r="BA545" i="3"/>
  <c r="BL545" i="3"/>
  <c r="AZ545" i="3"/>
  <c r="BA546" i="3"/>
  <c r="BL546" i="3"/>
  <c r="AZ546" i="3"/>
  <c r="BA547" i="3"/>
  <c r="BL547" i="3"/>
  <c r="AZ547" i="3"/>
  <c r="BA548" i="3"/>
  <c r="BL548" i="3"/>
  <c r="AZ548" i="3"/>
  <c r="BA549" i="3"/>
  <c r="BL549" i="3"/>
  <c r="AZ549" i="3"/>
  <c r="BA550" i="3"/>
  <c r="BL550" i="3"/>
  <c r="AZ550" i="3"/>
  <c r="BA551" i="3"/>
  <c r="BL551" i="3"/>
  <c r="AZ551" i="3"/>
  <c r="BA552" i="3"/>
  <c r="BL552" i="3"/>
  <c r="AZ552" i="3"/>
  <c r="BA553" i="3"/>
  <c r="BL553" i="3"/>
  <c r="AZ553" i="3"/>
  <c r="BA554" i="3"/>
  <c r="BL554" i="3"/>
  <c r="AZ554" i="3"/>
  <c r="BA555" i="3"/>
  <c r="BL555" i="3"/>
  <c r="AZ555" i="3"/>
  <c r="BA556" i="3"/>
  <c r="BL556" i="3"/>
  <c r="AZ556" i="3"/>
  <c r="BA557" i="3"/>
  <c r="BL557" i="3"/>
  <c r="AZ557" i="3"/>
  <c r="BA558" i="3"/>
  <c r="BL558" i="3"/>
  <c r="AZ558" i="3"/>
  <c r="BA559" i="3"/>
  <c r="BL559" i="3"/>
  <c r="AZ559" i="3"/>
  <c r="BA560" i="3"/>
  <c r="BL560" i="3"/>
  <c r="AZ560" i="3"/>
  <c r="BA561" i="3"/>
  <c r="BL561" i="3"/>
  <c r="AZ561" i="3"/>
  <c r="BA562" i="3"/>
  <c r="BL562" i="3"/>
  <c r="AZ562" i="3"/>
  <c r="BA563" i="3"/>
  <c r="BL563" i="3"/>
  <c r="AZ563" i="3"/>
  <c r="BA564" i="3"/>
  <c r="BL564" i="3"/>
  <c r="AZ564" i="3"/>
  <c r="BA565" i="3"/>
  <c r="BL565" i="3"/>
  <c r="AZ565" i="3"/>
  <c r="BA566" i="3"/>
  <c r="BL566" i="3"/>
  <c r="AZ566" i="3"/>
  <c r="BA567" i="3"/>
  <c r="BL567" i="3"/>
  <c r="AZ567" i="3"/>
  <c r="BA568" i="3"/>
  <c r="BL568" i="3"/>
  <c r="AZ568" i="3"/>
  <c r="BA569" i="3"/>
  <c r="BL569" i="3"/>
  <c r="AZ569" i="3"/>
  <c r="BA570" i="3"/>
  <c r="BL570" i="3"/>
  <c r="AZ570" i="3"/>
  <c r="BA571" i="3"/>
  <c r="BL571" i="3"/>
  <c r="AZ571" i="3"/>
  <c r="BA572" i="3"/>
  <c r="BL572" i="3"/>
  <c r="AZ572" i="3"/>
  <c r="BA573" i="3"/>
  <c r="BL573" i="3"/>
  <c r="AZ573" i="3"/>
  <c r="BA574" i="3"/>
  <c r="BL574" i="3"/>
  <c r="AZ574" i="3"/>
  <c r="BA575" i="3"/>
  <c r="BL575" i="3"/>
  <c r="AZ575" i="3"/>
  <c r="BA576" i="3"/>
  <c r="BL576" i="3"/>
  <c r="AZ576" i="3"/>
  <c r="BA577" i="3"/>
  <c r="BL577" i="3"/>
  <c r="AZ577" i="3"/>
  <c r="BA578" i="3"/>
  <c r="BL578" i="3"/>
  <c r="AZ578" i="3"/>
  <c r="BA579" i="3"/>
  <c r="BL579" i="3"/>
  <c r="AZ579" i="3"/>
  <c r="BA580" i="3"/>
  <c r="BL580" i="3"/>
  <c r="AZ580" i="3"/>
  <c r="BA581" i="3"/>
  <c r="BL581" i="3"/>
  <c r="AZ581" i="3"/>
  <c r="BA582" i="3"/>
  <c r="BL582" i="3"/>
  <c r="AZ582" i="3"/>
  <c r="BA583" i="3"/>
  <c r="BL583" i="3"/>
  <c r="AZ583" i="3"/>
  <c r="BA584" i="3"/>
  <c r="BL584" i="3"/>
  <c r="AZ584" i="3"/>
  <c r="BA585" i="3"/>
  <c r="BL585" i="3"/>
  <c r="AZ585" i="3"/>
  <c r="BA586" i="3"/>
  <c r="BL586" i="3"/>
  <c r="AZ586" i="3"/>
  <c r="BA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E20" i="6"/>
  <c r="D20" i="6"/>
  <c r="E21" i="6"/>
  <c r="D21" i="6"/>
  <c r="E22" i="6"/>
  <c r="D22" i="6"/>
  <c r="E23" i="6"/>
  <c r="D23" i="6"/>
  <c r="E24" i="6"/>
  <c r="D24" i="6"/>
  <c r="E25" i="6"/>
  <c r="D25" i="6"/>
  <c r="E26" i="6"/>
  <c r="D26" i="6"/>
  <c r="D27" i="6"/>
  <c r="D28" i="6"/>
  <c r="D29" i="6"/>
  <c r="D30" i="6"/>
  <c r="D31" i="6"/>
  <c r="I6" i="6"/>
  <c r="I7" i="6"/>
  <c r="B386" i="76"/>
  <c r="H366" i="76"/>
  <c r="J366" i="76"/>
  <c r="N360" i="76"/>
  <c r="K360" i="76"/>
  <c r="H360" i="76"/>
  <c r="H362" i="76"/>
  <c r="I359" i="76"/>
  <c r="I312" i="76"/>
  <c r="I311" i="76"/>
  <c r="I310" i="76"/>
  <c r="I309" i="76"/>
  <c r="I308" i="76"/>
  <c r="I307" i="76"/>
  <c r="I306" i="76"/>
  <c r="I305" i="76"/>
  <c r="I304" i="76"/>
  <c r="I303" i="76"/>
  <c r="I302" i="76"/>
  <c r="I301" i="76"/>
  <c r="I300" i="76"/>
  <c r="I298" i="76"/>
  <c r="I297" i="76"/>
  <c r="I296" i="76"/>
  <c r="I295" i="76"/>
  <c r="J292" i="76"/>
  <c r="J363" i="76"/>
  <c r="I291" i="76"/>
  <c r="I272" i="76"/>
  <c r="I251" i="76"/>
  <c r="I197" i="76"/>
  <c r="I196" i="76"/>
  <c r="I195" i="76"/>
  <c r="I194" i="76"/>
  <c r="I193" i="76"/>
  <c r="I192" i="76"/>
  <c r="I191" i="76"/>
  <c r="I190" i="76"/>
  <c r="I189" i="76"/>
  <c r="I188" i="76"/>
  <c r="I187" i="76"/>
  <c r="I186" i="76"/>
  <c r="I185" i="76"/>
  <c r="I184" i="76"/>
  <c r="I183" i="76"/>
  <c r="I182" i="76"/>
  <c r="I181" i="76"/>
  <c r="I180" i="76"/>
  <c r="I179" i="76"/>
  <c r="I178" i="76"/>
  <c r="I177" i="76"/>
  <c r="I176" i="76"/>
  <c r="I175" i="76"/>
  <c r="I174" i="76"/>
  <c r="I173" i="76"/>
  <c r="I172" i="76"/>
  <c r="I171" i="76"/>
  <c r="I170" i="76"/>
  <c r="I169" i="76"/>
  <c r="I168" i="76"/>
  <c r="I167" i="76"/>
  <c r="I166" i="76"/>
  <c r="I165" i="76"/>
  <c r="I164" i="76"/>
  <c r="I163" i="76"/>
  <c r="I161" i="76"/>
  <c r="I160" i="76"/>
  <c r="I159" i="76"/>
  <c r="I158" i="76"/>
  <c r="I157" i="76"/>
  <c r="I146" i="76"/>
  <c r="I145" i="76"/>
  <c r="I144" i="76"/>
  <c r="I142" i="76"/>
  <c r="I141" i="76"/>
  <c r="I136" i="76"/>
  <c r="I135" i="76"/>
  <c r="I130" i="76"/>
  <c r="I128" i="76"/>
  <c r="I108" i="76"/>
  <c r="I103" i="76"/>
  <c r="I99" i="76"/>
  <c r="I88" i="76"/>
  <c r="I85" i="76"/>
  <c r="I74" i="76"/>
  <c r="I61" i="76"/>
  <c r="I59" i="76"/>
  <c r="I55" i="76"/>
  <c r="I53" i="76"/>
  <c r="I52" i="76"/>
  <c r="I48" i="76"/>
  <c r="I39" i="76"/>
  <c r="I37" i="76"/>
  <c r="I36" i="76"/>
  <c r="I35" i="76"/>
  <c r="I34" i="76"/>
  <c r="I33" i="76"/>
  <c r="I32" i="76"/>
  <c r="I30" i="76"/>
  <c r="I29" i="76"/>
  <c r="I28" i="76"/>
  <c r="I27" i="76"/>
  <c r="I26" i="76"/>
  <c r="I25" i="76"/>
  <c r="I24" i="76"/>
  <c r="I23" i="76"/>
  <c r="I22" i="76"/>
  <c r="I21" i="76"/>
  <c r="I20" i="76"/>
  <c r="I19" i="76"/>
  <c r="I18" i="76"/>
  <c r="I17" i="76"/>
  <c r="I16" i="76"/>
  <c r="I15" i="76"/>
  <c r="I14" i="76"/>
  <c r="I13" i="76"/>
  <c r="I12" i="76"/>
  <c r="I10" i="76"/>
  <c r="I8" i="76"/>
  <c r="I6" i="76"/>
  <c r="I5" i="76"/>
  <c r="I360" i="76"/>
  <c r="N361" i="76"/>
  <c r="J362" i="76"/>
  <c r="J360" i="76"/>
  <c r="B387" i="76"/>
  <c r="C384" i="76"/>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6" i="71"/>
  <c r="C17" i="71"/>
  <c r="O17" i="71"/>
  <c r="C18" i="71"/>
  <c r="O18" i="71"/>
  <c r="C19" i="71"/>
  <c r="M19" i="43"/>
  <c r="J6" i="71"/>
  <c r="O6" i="71"/>
  <c r="K6" i="71"/>
  <c r="P6" i="71"/>
  <c r="L6" i="71"/>
  <c r="Q6" i="71"/>
  <c r="I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F6" i="73"/>
  <c r="D3" i="73"/>
  <c r="F5" i="73"/>
  <c r="D5"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E111" i="9"/>
  <c r="E109" i="9"/>
  <c r="A124" i="9"/>
  <c r="B44" i="72"/>
  <c r="B42" i="72"/>
  <c r="B69" i="72"/>
  <c r="B68" i="72"/>
  <c r="B63" i="72"/>
  <c r="B62" i="72"/>
  <c r="B16" i="72"/>
  <c r="A19" i="62"/>
  <c r="B65" i="72"/>
  <c r="A14" i="62"/>
  <c r="B60" i="72"/>
  <c r="A13" i="62"/>
  <c r="B59" i="72"/>
  <c r="A12" i="62"/>
  <c r="B58" i="72"/>
  <c r="A21" i="62"/>
  <c r="B67" i="72"/>
  <c r="A20" i="62"/>
  <c r="B66" i="72"/>
  <c r="B12" i="72"/>
  <c r="B10" i="72"/>
  <c r="C53" i="10"/>
  <c r="B51" i="10"/>
  <c r="A2" i="53"/>
  <c r="B19" i="72"/>
  <c r="A18" i="51"/>
  <c r="B13" i="72"/>
  <c r="G1" i="68"/>
  <c r="E9" i="68"/>
  <c r="C9" i="68"/>
  <c r="BA5" i="3"/>
  <c r="E27" i="6"/>
  <c r="K19" i="6"/>
  <c r="S6" i="1"/>
  <c r="E10" i="68"/>
  <c r="C10" i="68"/>
  <c r="C8" i="68"/>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O32" i="71"/>
  <c r="C33" i="71"/>
  <c r="Q32" i="71"/>
  <c r="F33" i="71"/>
  <c r="F34" i="71"/>
  <c r="F35" i="71"/>
  <c r="V35" i="71"/>
  <c r="P32" i="71"/>
  <c r="E33" i="71"/>
  <c r="N32" i="71"/>
  <c r="B33" i="71"/>
  <c r="B34" i="71"/>
  <c r="B35" i="71"/>
  <c r="S35" i="71"/>
  <c r="D32" i="71"/>
  <c r="Q31" i="71"/>
  <c r="P31" i="71"/>
  <c r="O31" i="71"/>
  <c r="N31" i="71"/>
  <c r="Q30" i="71"/>
  <c r="P30" i="71"/>
  <c r="O30" i="71"/>
  <c r="N30" i="71"/>
  <c r="Q29" i="71"/>
  <c r="P29" i="71"/>
  <c r="O29" i="71"/>
  <c r="N29" i="71"/>
  <c r="Q28" i="71"/>
  <c r="F29"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Q18" i="71"/>
  <c r="AB18" i="71"/>
  <c r="P18" i="71"/>
  <c r="AA18" i="71"/>
  <c r="Y18" i="71"/>
  <c r="Z18" i="71"/>
  <c r="N18" i="71"/>
  <c r="X18" i="71"/>
  <c r="Q17" i="71"/>
  <c r="AB17" i="71"/>
  <c r="P17" i="71"/>
  <c r="Y17" i="71"/>
  <c r="Z17" i="71"/>
  <c r="N17" i="71"/>
  <c r="X17" i="71"/>
  <c r="Q16" i="71"/>
  <c r="F17" i="71"/>
  <c r="F18" i="71"/>
  <c r="F19" i="71"/>
  <c r="V19" i="71"/>
  <c r="AB16" i="71"/>
  <c r="P16" i="71"/>
  <c r="N16" i="71"/>
  <c r="D16" i="71"/>
  <c r="Q15" i="71"/>
  <c r="AB15" i="71"/>
  <c r="P15" i="71"/>
  <c r="O15" i="71"/>
  <c r="Y15" i="71"/>
  <c r="Z15" i="71"/>
  <c r="N15" i="71"/>
  <c r="X15" i="71"/>
  <c r="Q14" i="71"/>
  <c r="AB14" i="71"/>
  <c r="P14" i="71"/>
  <c r="AA14" i="71"/>
  <c r="O14" i="71"/>
  <c r="Y14" i="71"/>
  <c r="Z14" i="71"/>
  <c r="N14" i="71"/>
  <c r="X14" i="71"/>
  <c r="Q13" i="71"/>
  <c r="AB13" i="71"/>
  <c r="P13" i="71"/>
  <c r="AA13" i="71"/>
  <c r="O13" i="71"/>
  <c r="Y13" i="71"/>
  <c r="Z13" i="71"/>
  <c r="N13" i="71"/>
  <c r="X13" i="71"/>
  <c r="Q12" i="71"/>
  <c r="F13" i="71"/>
  <c r="F14" i="71"/>
  <c r="F15" i="71"/>
  <c r="V15" i="71"/>
  <c r="AB12" i="71"/>
  <c r="P12" i="71"/>
  <c r="O12" i="71"/>
  <c r="N12" i="71"/>
  <c r="D12" i="71"/>
  <c r="Q11" i="71"/>
  <c r="AB11" i="71"/>
  <c r="P11" i="71"/>
  <c r="O11" i="71"/>
  <c r="Y11" i="71"/>
  <c r="Z11" i="71"/>
  <c r="N11" i="71"/>
  <c r="X11" i="71"/>
  <c r="Q10" i="71"/>
  <c r="AB10" i="71"/>
  <c r="P10" i="71"/>
  <c r="AA10" i="71"/>
  <c r="O10" i="71"/>
  <c r="Y10" i="71"/>
  <c r="Z10" i="71"/>
  <c r="N10" i="71"/>
  <c r="X10" i="71"/>
  <c r="Q9" i="71"/>
  <c r="AB9" i="71"/>
  <c r="P9" i="71"/>
  <c r="AA9" i="71"/>
  <c r="O9" i="71"/>
  <c r="Y9" i="71"/>
  <c r="Z9" i="71"/>
  <c r="N9" i="71"/>
  <c r="X9" i="71"/>
  <c r="Q8" i="71"/>
  <c r="F9" i="71"/>
  <c r="F10" i="71"/>
  <c r="F11" i="71"/>
  <c r="V11" i="71"/>
  <c r="AB8" i="71"/>
  <c r="P8" i="71"/>
  <c r="O8" i="71"/>
  <c r="N8" i="71"/>
  <c r="D8" i="71"/>
  <c r="O7" i="71"/>
  <c r="N7" i="71"/>
  <c r="E9" i="71"/>
  <c r="E10" i="71"/>
  <c r="E11" i="71"/>
  <c r="U11" i="71"/>
  <c r="AA8" i="71"/>
  <c r="B13" i="71"/>
  <c r="B14" i="71"/>
  <c r="B15" i="71"/>
  <c r="S15" i="71"/>
  <c r="X12" i="71"/>
  <c r="E13" i="71"/>
  <c r="E14" i="71"/>
  <c r="E15" i="71"/>
  <c r="U15" i="71"/>
  <c r="AA12" i="71"/>
  <c r="B17" i="71"/>
  <c r="B18" i="71"/>
  <c r="B19" i="71"/>
  <c r="S19" i="71"/>
  <c r="X16" i="71"/>
  <c r="E17" i="71"/>
  <c r="E18" i="71"/>
  <c r="E19" i="71"/>
  <c r="U19" i="71"/>
  <c r="AA16" i="71"/>
  <c r="N47" i="71"/>
  <c r="B9" i="71"/>
  <c r="B10" i="71"/>
  <c r="B11" i="71"/>
  <c r="S11" i="71"/>
  <c r="X8" i="71"/>
  <c r="C9" i="71"/>
  <c r="Y8" i="71"/>
  <c r="Z8" i="71"/>
  <c r="AA11" i="71"/>
  <c r="C13" i="71"/>
  <c r="Y12" i="71"/>
  <c r="Z12" i="71"/>
  <c r="AA15" i="71"/>
  <c r="Y16" i="71"/>
  <c r="Z16" i="71"/>
  <c r="AA17" i="71"/>
  <c r="F30" i="71"/>
  <c r="F31" i="71"/>
  <c r="V31" i="71"/>
  <c r="C7" i="71"/>
  <c r="T7" i="71"/>
  <c r="Y3" i="71"/>
  <c r="Z3" i="71"/>
  <c r="Y4" i="71"/>
  <c r="Z4" i="71"/>
  <c r="Y5" i="71"/>
  <c r="Z5" i="71"/>
  <c r="Y6" i="71"/>
  <c r="Z6" i="71"/>
  <c r="Y7" i="71"/>
  <c r="Z7" i="71"/>
  <c r="B7" i="71"/>
  <c r="X4" i="71"/>
  <c r="X5" i="71"/>
  <c r="X6" i="71"/>
  <c r="X3" i="71"/>
  <c r="X7" i="71"/>
  <c r="C10" i="71"/>
  <c r="D9" i="71"/>
  <c r="C14" i="71"/>
  <c r="D13"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D18" i="71"/>
  <c r="C15" i="71"/>
  <c r="D14" i="71"/>
  <c r="C11" i="71"/>
  <c r="D10" i="71"/>
  <c r="E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12" i="1"/>
  <c r="AO13" i="1"/>
  <c r="AO10" i="1"/>
  <c r="AO9" i="1"/>
  <c r="AO11" i="1"/>
  <c r="B10" i="70"/>
  <c r="B11" i="70"/>
  <c r="B13" i="70"/>
  <c r="B9"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B37" i="48"/>
  <c r="B2" i="72"/>
  <c r="I23" i="66"/>
  <c r="D20" i="66"/>
  <c r="I19" i="66"/>
  <c r="I18" i="66"/>
  <c r="I17" i="66"/>
  <c r="I20" i="66"/>
  <c r="I3" i="66"/>
  <c r="I4" i="66"/>
  <c r="I5" i="66"/>
  <c r="I6" i="66"/>
  <c r="I7" i="66"/>
  <c r="I8" i="66"/>
  <c r="I9" i="66"/>
  <c r="I10" i="66"/>
  <c r="I12" i="66"/>
  <c r="I13" i="66"/>
  <c r="I14" i="66"/>
  <c r="I15" i="66"/>
  <c r="I21" i="66"/>
  <c r="D1" i="66"/>
  <c r="E10" i="66"/>
  <c r="E1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c r="B57" i="72"/>
  <c r="A10" i="52"/>
  <c r="B55" i="72"/>
  <c r="K4" i="9"/>
  <c r="L22" i="4"/>
  <c r="L20" i="4"/>
  <c r="A5" i="62"/>
  <c r="B72" i="72"/>
  <c r="A4" i="62"/>
  <c r="B70" i="72"/>
  <c r="F33" i="9"/>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A22" i="51"/>
  <c r="B17" i="72"/>
  <c r="A20" i="51"/>
  <c r="B15" i="72"/>
  <c r="A3" i="51"/>
  <c r="C8" i="11"/>
  <c r="B2" i="49"/>
  <c r="B23" i="49"/>
  <c r="B40" i="48"/>
  <c r="B3" i="72"/>
  <c r="I2" i="43"/>
  <c r="N1" i="43"/>
  <c r="F35" i="4"/>
  <c r="J55" i="39"/>
  <c r="H34" i="43"/>
  <c r="H35" i="43"/>
  <c r="H36" i="43"/>
  <c r="H37" i="43"/>
  <c r="H38" i="43"/>
  <c r="H39" i="43"/>
  <c r="H33" i="43"/>
  <c r="J20" i="43"/>
  <c r="P17" i="43"/>
  <c r="O17" i="43"/>
  <c r="N17" i="43"/>
  <c r="C18" i="43"/>
  <c r="F15" i="43"/>
  <c r="E15" i="43"/>
  <c r="D15" i="43"/>
  <c r="C15" i="43"/>
  <c r="C12" i="43"/>
  <c r="C10" i="43"/>
  <c r="C11" i="43"/>
  <c r="C9" i="43"/>
  <c r="A7" i="43"/>
  <c r="F33" i="15"/>
  <c r="F61" i="15"/>
  <c r="M19" i="15"/>
  <c r="M10" i="1"/>
  <c r="O10" i="1"/>
  <c r="B22" i="1"/>
  <c r="B23" i="1"/>
  <c r="B24" i="1"/>
  <c r="B43" i="1"/>
  <c r="D78" i="9"/>
  <c r="M8" i="1"/>
  <c r="F23" i="15"/>
  <c r="D24" i="15"/>
  <c r="O8" i="1"/>
  <c r="P8" i="1"/>
  <c r="M13" i="1"/>
  <c r="O13" i="1"/>
  <c r="P13" i="1"/>
  <c r="I5" i="3"/>
  <c r="AD5" i="3"/>
  <c r="AH5" i="3"/>
  <c r="AL5" i="3"/>
  <c r="AP5" i="3"/>
  <c r="F35" i="11"/>
  <c r="F36" i="11"/>
  <c r="F38" i="11"/>
  <c r="E37" i="11"/>
  <c r="F20" i="11"/>
  <c r="F21" i="11"/>
  <c r="C21" i="11"/>
  <c r="F7" i="11"/>
  <c r="C7" i="11"/>
  <c r="C5" i="11"/>
  <c r="F12" i="12"/>
  <c r="F13" i="12"/>
  <c r="F15" i="12"/>
  <c r="E14" i="12"/>
  <c r="BC11" i="3"/>
  <c r="BD11" i="3"/>
  <c r="BB11" i="3"/>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AB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J39" i="40"/>
  <c r="AC39" i="40"/>
  <c r="H39" i="40"/>
  <c r="U39" i="40"/>
  <c r="F39" i="40"/>
  <c r="AA39" i="40"/>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AA32" i="36"/>
  <c r="B95" i="36"/>
  <c r="H34" i="36"/>
  <c r="D83" i="36"/>
  <c r="E83" i="36"/>
  <c r="D78" i="36"/>
  <c r="E78" i="36"/>
  <c r="F78" i="36"/>
  <c r="G78" i="36"/>
  <c r="H78" i="36"/>
  <c r="I78" i="36"/>
  <c r="J78" i="36"/>
  <c r="K78" i="36"/>
  <c r="L78" i="36"/>
  <c r="M78" i="36"/>
  <c r="B75" i="36"/>
  <c r="B73" i="36"/>
  <c r="B71" i="36"/>
  <c r="H23" i="36"/>
  <c r="AB23" i="36"/>
  <c r="D70" i="36"/>
  <c r="H22" i="36"/>
  <c r="AB22" i="36"/>
  <c r="D68" i="36"/>
  <c r="E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H9" i="36"/>
  <c r="AB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AB34" i="35"/>
  <c r="B77" i="35"/>
  <c r="B75" i="35"/>
  <c r="J24" i="35"/>
  <c r="AC24" i="35"/>
  <c r="B73" i="35"/>
  <c r="H23" i="35"/>
  <c r="U23" i="35"/>
  <c r="B57" i="35"/>
  <c r="B61" i="35"/>
  <c r="B59" i="35"/>
  <c r="B131" i="34"/>
  <c r="B129" i="34"/>
  <c r="B127" i="34"/>
  <c r="B99" i="34"/>
  <c r="B97" i="34"/>
  <c r="B95" i="34"/>
  <c r="B93" i="34"/>
  <c r="B75" i="34"/>
  <c r="B73" i="34"/>
  <c r="B71" i="34"/>
  <c r="H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F34" i="35"/>
  <c r="AA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F10" i="34"/>
  <c r="AA10" i="34"/>
  <c r="Q9" i="34"/>
  <c r="Z9" i="34"/>
  <c r="H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F39" i="37"/>
  <c r="S39" i="37"/>
  <c r="U14" i="37"/>
  <c r="F29" i="36"/>
  <c r="AA29" i="36"/>
  <c r="W8" i="36"/>
  <c r="F16" i="36"/>
  <c r="AA16" i="36"/>
  <c r="U9" i="36"/>
  <c r="W28" i="36"/>
  <c r="S30" i="36"/>
  <c r="S32" i="36"/>
  <c r="AA31" i="36"/>
  <c r="AC31" i="36"/>
  <c r="W31" i="36"/>
  <c r="U31" i="36"/>
  <c r="J33" i="36"/>
  <c r="W33" i="36"/>
  <c r="H22" i="35"/>
  <c r="AB22" i="35"/>
  <c r="AC27" i="35"/>
  <c r="W28" i="35"/>
  <c r="U31" i="35"/>
  <c r="S34" i="35"/>
  <c r="W34" i="35"/>
  <c r="W36" i="35"/>
  <c r="W22" i="35"/>
  <c r="S31" i="35"/>
  <c r="U34" i="35"/>
  <c r="F36" i="34"/>
  <c r="J35" i="34"/>
  <c r="S34" i="34"/>
  <c r="U34" i="34"/>
  <c r="H39" i="33"/>
  <c r="AB39" i="33"/>
  <c r="F26" i="33"/>
  <c r="AA26" i="33"/>
  <c r="S9" i="33"/>
  <c r="U33" i="33"/>
  <c r="U35" i="33"/>
  <c r="S40" i="33"/>
  <c r="W33" i="33"/>
  <c r="W39" i="33"/>
  <c r="H39" i="37"/>
  <c r="AB39" i="37"/>
  <c r="S27" i="35"/>
  <c r="F11" i="40"/>
  <c r="AA11" i="40"/>
  <c r="H11" i="40"/>
  <c r="AB11" i="40"/>
  <c r="W8" i="40"/>
  <c r="AB39" i="40"/>
  <c r="AA9" i="40"/>
  <c r="AC9" i="40"/>
  <c r="U9" i="40"/>
  <c r="S34" i="40"/>
  <c r="U38" i="40"/>
  <c r="W31" i="40"/>
  <c r="U34" i="40"/>
  <c r="S39" i="40"/>
  <c r="W39"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S19" i="39"/>
  <c r="C15" i="39"/>
  <c r="H32" i="33"/>
  <c r="AB32" i="33"/>
  <c r="H11" i="21"/>
  <c r="U11" i="21"/>
  <c r="J11" i="21"/>
  <c r="W11" i="21"/>
  <c r="H37" i="40"/>
  <c r="U37" i="40"/>
  <c r="H36" i="40"/>
  <c r="AB36" i="40"/>
  <c r="F35" i="40"/>
  <c r="AA35" i="40"/>
  <c r="H23" i="40"/>
  <c r="AB23" i="40"/>
  <c r="H17" i="40"/>
  <c r="U17" i="40"/>
  <c r="J15" i="40"/>
  <c r="W15" i="40"/>
  <c r="J11" i="40"/>
  <c r="W11" i="40"/>
  <c r="AB8" i="39"/>
  <c r="AC12" i="33"/>
  <c r="AB12" i="33"/>
  <c r="AA12" i="33"/>
  <c r="AC12" i="34"/>
  <c r="AA12" i="34"/>
  <c r="AB12" i="35"/>
  <c r="W32" i="40"/>
  <c r="S44" i="39"/>
  <c r="F37" i="39"/>
  <c r="AA37" i="39"/>
  <c r="J34" i="36"/>
  <c r="W34" i="36"/>
  <c r="U30" i="36"/>
  <c r="J30" i="35"/>
  <c r="W30" i="35"/>
  <c r="H30" i="35"/>
  <c r="AB30" i="35"/>
  <c r="F22" i="35"/>
  <c r="AA22" i="35"/>
  <c r="H10" i="35"/>
  <c r="U10" i="35"/>
  <c r="AC16" i="36"/>
  <c r="AB33" i="36"/>
  <c r="U33"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F120" i="34"/>
  <c r="G120" i="34"/>
  <c r="H120" i="34"/>
  <c r="I120" i="34"/>
  <c r="J120" i="34"/>
  <c r="K120" i="34"/>
  <c r="L120" i="34"/>
  <c r="M120" i="34"/>
  <c r="U42" i="34"/>
  <c r="H40" i="34"/>
  <c r="U40" i="34"/>
  <c r="E114" i="34"/>
  <c r="H36" i="34"/>
  <c r="U36" i="34"/>
  <c r="F37" i="34"/>
  <c r="AA37" i="34"/>
  <c r="S35" i="34"/>
  <c r="F28" i="34"/>
  <c r="AA28" i="34"/>
  <c r="F27" i="34"/>
  <c r="AA27"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W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83" i="36"/>
  <c r="G83" i="36"/>
  <c r="H83" i="36"/>
  <c r="I83" i="36"/>
  <c r="J83" i="36"/>
  <c r="K83" i="36"/>
  <c r="L83" i="36"/>
  <c r="M83"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W28" i="37"/>
  <c r="AA13" i="35"/>
  <c r="AA47" i="34"/>
  <c r="U31" i="34"/>
  <c r="AC13" i="34"/>
  <c r="U46" i="33"/>
  <c r="U30" i="33"/>
  <c r="AA14" i="33"/>
  <c r="J36" i="37"/>
  <c r="AC36" i="37"/>
  <c r="AB11" i="36"/>
  <c r="J10" i="36"/>
  <c r="AC10" i="36"/>
  <c r="AB26" i="33"/>
  <c r="AB30" i="21"/>
  <c r="AA14" i="37"/>
  <c r="W31" i="34"/>
  <c r="W13" i="36"/>
  <c r="W11" i="36"/>
  <c r="W11" i="35"/>
  <c r="AB46" i="34"/>
  <c r="AC30" i="34"/>
  <c r="AA14" i="34"/>
  <c r="S45" i="33"/>
  <c r="AB45" i="33"/>
  <c r="AB31" i="33"/>
  <c r="U31" i="33"/>
  <c r="W29" i="33"/>
  <c r="U13" i="33"/>
  <c r="S44" i="34"/>
  <c r="F17" i="21"/>
  <c r="AA17" i="21"/>
  <c r="H17" i="21"/>
  <c r="AB17" i="21"/>
  <c r="F15" i="21"/>
  <c r="S15" i="21"/>
  <c r="AB11" i="21"/>
  <c r="J41" i="39"/>
  <c r="W41" i="39"/>
  <c r="AC45" i="39"/>
  <c r="W44" i="39"/>
  <c r="W36" i="39"/>
  <c r="W35" i="39"/>
  <c r="U36" i="39"/>
  <c r="S35" i="39"/>
  <c r="AC5"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3" i="36"/>
  <c r="U35" i="35"/>
  <c r="W14" i="37"/>
  <c r="U33" i="37"/>
  <c r="U39" i="37"/>
  <c r="AC8" i="37"/>
  <c r="U26" i="37"/>
  <c r="AB13" i="34"/>
  <c r="W37" i="34"/>
  <c r="AB37" i="34"/>
  <c r="AC36" i="34"/>
  <c r="AA13" i="33"/>
  <c r="AC45" i="33"/>
  <c r="W44" i="33"/>
  <c r="U11" i="33"/>
  <c r="U19" i="21"/>
  <c r="W44" i="21"/>
  <c r="U26" i="21"/>
  <c r="AC46" i="21"/>
  <c r="U12" i="21"/>
  <c r="AB38" i="21"/>
  <c r="F43" i="33"/>
  <c r="AA43" i="33"/>
  <c r="W15" i="34"/>
  <c r="AC15" i="34"/>
  <c r="W16" i="35"/>
  <c r="G107" i="37"/>
  <c r="H107" i="37"/>
  <c r="I107" i="37"/>
  <c r="J107" i="37"/>
  <c r="K107" i="37"/>
  <c r="L107" i="37"/>
  <c r="M107" i="37"/>
  <c r="H113" i="21"/>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F89" i="39"/>
  <c r="G89" i="39"/>
  <c r="H41" i="39"/>
  <c r="W12" i="39"/>
  <c r="W27" i="39"/>
  <c r="AB34" i="39"/>
  <c r="U40" i="39"/>
  <c r="S42" i="39"/>
  <c r="W14" i="39"/>
  <c r="AA41" i="39"/>
  <c r="W9" i="39"/>
  <c r="W8" i="39"/>
  <c r="J19" i="40"/>
  <c r="AC19" i="40"/>
  <c r="J50" i="40"/>
  <c r="A8" i="52"/>
  <c r="B54" i="72"/>
  <c r="H103" i="9"/>
  <c r="D8" i="53"/>
  <c r="B16" i="53"/>
  <c r="B33" i="72"/>
  <c r="C7" i="37"/>
  <c r="C7" i="34"/>
  <c r="C7" i="36"/>
  <c r="W35" i="40"/>
  <c r="A4" i="52"/>
  <c r="B41" i="72"/>
  <c r="J11" i="39"/>
  <c r="W11" i="39"/>
  <c r="F11" i="39"/>
  <c r="AA11" i="39"/>
  <c r="A126" i="9"/>
  <c r="A12" i="52"/>
  <c r="B56" i="72"/>
  <c r="S11" i="39"/>
  <c r="G4" i="4"/>
  <c r="I4" i="4"/>
  <c r="K5" i="4"/>
  <c r="B47" i="48"/>
  <c r="A2" i="9"/>
  <c r="E15" i="6"/>
  <c r="E60" i="40"/>
  <c r="U36" i="40"/>
  <c r="F81" i="43"/>
  <c r="H83" i="43"/>
  <c r="F70" i="43"/>
  <c r="H73" i="43"/>
  <c r="F6" i="1"/>
  <c r="U17" i="39"/>
  <c r="S14" i="35"/>
  <c r="U43" i="21"/>
  <c r="U35" i="21"/>
  <c r="AC35" i="21"/>
  <c r="U10" i="21"/>
  <c r="G8" i="1"/>
  <c r="P6"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AC27" i="34"/>
  <c r="W27" i="34"/>
  <c r="F33" i="34"/>
  <c r="S33" i="34"/>
  <c r="W12" i="36"/>
  <c r="AC12" i="36"/>
  <c r="H20" i="36"/>
  <c r="U20" i="36"/>
  <c r="J20" i="36"/>
  <c r="W20" i="36"/>
  <c r="F68" i="36"/>
  <c r="AB34" i="36"/>
  <c r="U34" i="36"/>
  <c r="J27" i="36"/>
  <c r="W27" i="36"/>
  <c r="AC33" i="40"/>
  <c r="F111" i="40"/>
  <c r="G111" i="40"/>
  <c r="H111" i="40"/>
  <c r="I111" i="40"/>
  <c r="J111" i="40"/>
  <c r="K111" i="40"/>
  <c r="L111" i="40"/>
  <c r="M111" i="40"/>
  <c r="H35" i="40"/>
  <c r="AB35" i="40"/>
  <c r="AC29" i="35"/>
  <c r="W29" i="35"/>
  <c r="G103" i="37"/>
  <c r="H103" i="37"/>
  <c r="I103" i="37"/>
  <c r="J103" i="37"/>
  <c r="K103" i="37"/>
  <c r="L103" i="37"/>
  <c r="M103" i="37"/>
  <c r="H35" i="37"/>
  <c r="U35" i="37"/>
  <c r="AC14" i="35"/>
  <c r="H20" i="35"/>
  <c r="U20" i="35"/>
  <c r="F20" i="35"/>
  <c r="AA20" i="35"/>
  <c r="AB23" i="35"/>
  <c r="AB29" i="36"/>
  <c r="U29" i="36"/>
  <c r="H32" i="37"/>
  <c r="AB32" i="37"/>
  <c r="F96" i="37"/>
  <c r="G96" i="37"/>
  <c r="H96" i="37"/>
  <c r="I96" i="37"/>
  <c r="J96" i="37"/>
  <c r="K96" i="37"/>
  <c r="L96" i="37"/>
  <c r="M96" i="37"/>
  <c r="H27" i="40"/>
  <c r="U27" i="40"/>
  <c r="F96" i="40"/>
  <c r="G96" i="40"/>
  <c r="H96" i="40"/>
  <c r="I96" i="40"/>
  <c r="J96" i="40"/>
  <c r="K96" i="40"/>
  <c r="L96" i="40"/>
  <c r="M96" i="40"/>
  <c r="J27" i="40"/>
  <c r="AC27" i="40"/>
  <c r="F27" i="40"/>
  <c r="S27" i="40"/>
  <c r="J30" i="40"/>
  <c r="AC30" i="40"/>
  <c r="F30" i="40"/>
  <c r="AA30" i="40"/>
  <c r="AC21" i="40"/>
  <c r="S31" i="39"/>
  <c r="S11" i="40"/>
  <c r="E98" i="40"/>
  <c r="F98" i="40"/>
  <c r="G98" i="40"/>
  <c r="H98" i="40"/>
  <c r="I98" i="40"/>
  <c r="J98" i="40"/>
  <c r="K98" i="40"/>
  <c r="L98" i="40"/>
  <c r="M98" i="40"/>
  <c r="F10" i="33"/>
  <c r="S10" i="33"/>
  <c r="F34" i="33"/>
  <c r="H34" i="33"/>
  <c r="U34" i="33"/>
  <c r="F35" i="33"/>
  <c r="S35" i="33"/>
  <c r="F39" i="34"/>
  <c r="S39" i="34"/>
  <c r="J39" i="34"/>
  <c r="W39" i="34"/>
  <c r="F40" i="34"/>
  <c r="S40" i="34"/>
  <c r="F43" i="34"/>
  <c r="AA43" i="34"/>
  <c r="H44" i="34"/>
  <c r="AB44" i="34"/>
  <c r="AC38" i="39"/>
  <c r="F39" i="39"/>
  <c r="S39" i="39"/>
  <c r="J39" i="39"/>
  <c r="AC39" i="39"/>
  <c r="E97" i="39"/>
  <c r="C40" i="11"/>
  <c r="I20" i="43"/>
  <c r="F23" i="39"/>
  <c r="AA23" i="39"/>
  <c r="F97" i="39"/>
  <c r="S34" i="33"/>
  <c r="AA34" i="33"/>
  <c r="H27" i="36"/>
  <c r="U27" i="36"/>
  <c r="F27" i="36"/>
  <c r="AA27" i="36"/>
  <c r="H33" i="34"/>
  <c r="U33" i="34"/>
  <c r="AC34" i="33"/>
  <c r="F32" i="37"/>
  <c r="AA32" i="37"/>
  <c r="G68" i="36"/>
  <c r="F20" i="36"/>
  <c r="AA20" i="36"/>
  <c r="J33" i="34"/>
  <c r="AC33" i="34"/>
  <c r="H23" i="39"/>
  <c r="U23" i="39"/>
  <c r="G97" i="39"/>
  <c r="D48" i="9"/>
  <c r="M52" i="9"/>
  <c r="H82" i="43"/>
  <c r="M9" i="1"/>
  <c r="O9" i="1"/>
  <c r="P9" i="1"/>
  <c r="F3" i="35"/>
  <c r="D93" i="9"/>
  <c r="AE9" i="1"/>
  <c r="F39" i="43"/>
  <c r="N4" i="43"/>
  <c r="J17" i="43"/>
  <c r="M11" i="43"/>
  <c r="N2" i="43"/>
  <c r="H75" i="43"/>
  <c r="I4" i="6"/>
  <c r="G3" i="43"/>
  <c r="E12" i="6"/>
  <c r="E13" i="6"/>
  <c r="E58" i="40"/>
  <c r="H87" i="43"/>
  <c r="H86" i="43"/>
  <c r="H74" i="43"/>
  <c r="F35" i="43"/>
  <c r="I17" i="43"/>
  <c r="E17" i="43"/>
  <c r="M6" i="43"/>
  <c r="N7" i="43"/>
  <c r="H113" i="43"/>
  <c r="F36" i="43"/>
  <c r="A15" i="62"/>
  <c r="B61" i="72"/>
  <c r="A118" i="9"/>
  <c r="S12" i="21"/>
  <c r="AA12" i="21"/>
  <c r="J9" i="34"/>
  <c r="F9" i="34"/>
  <c r="E63" i="39"/>
  <c r="AA39" i="34"/>
  <c r="S14" i="40"/>
  <c r="U12" i="37"/>
  <c r="W40" i="37"/>
  <c r="AC31" i="33"/>
  <c r="W47" i="34"/>
  <c r="AB28" i="37"/>
  <c r="AC32" i="36"/>
  <c r="AC28" i="21"/>
  <c r="S11" i="36"/>
  <c r="AB11" i="35"/>
  <c r="AA44" i="33"/>
  <c r="AA29" i="35"/>
  <c r="S41" i="33"/>
  <c r="AB23" i="34"/>
  <c r="U33" i="35"/>
  <c r="J12" i="21"/>
  <c r="AC12" i="21"/>
  <c r="J23" i="35"/>
  <c r="J12" i="35"/>
  <c r="W12" i="35"/>
  <c r="F12" i="35"/>
  <c r="H12" i="36"/>
  <c r="J23" i="36"/>
  <c r="AC23" i="36"/>
  <c r="J9" i="36"/>
  <c r="AC9" i="36"/>
  <c r="F9" i="36"/>
  <c r="AA9" i="36"/>
  <c r="J24" i="36"/>
  <c r="H24" i="36"/>
  <c r="AB24" i="36"/>
  <c r="J26" i="37"/>
  <c r="F26" i="37"/>
  <c r="AA26" i="37"/>
  <c r="H25" i="37"/>
  <c r="F25" i="37"/>
  <c r="AA25" i="37"/>
  <c r="F38" i="40"/>
  <c r="J38" i="40"/>
  <c r="AC38" i="40"/>
  <c r="J40" i="40"/>
  <c r="F40" i="40"/>
  <c r="S12" i="1"/>
  <c r="R12" i="1"/>
  <c r="B12" i="1"/>
  <c r="E12" i="1"/>
  <c r="S10" i="1"/>
  <c r="R10" i="1"/>
  <c r="B10" i="1"/>
  <c r="E10" i="1"/>
  <c r="M12" i="1"/>
  <c r="O12" i="1"/>
  <c r="P12" i="1"/>
  <c r="S13" i="1"/>
  <c r="R13" i="1"/>
  <c r="S11" i="1"/>
  <c r="R11" i="1"/>
  <c r="S9" i="1"/>
  <c r="R9" i="1"/>
  <c r="J51" i="67"/>
  <c r="C42" i="1"/>
  <c r="H100"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P10" i="1"/>
  <c r="H22" i="43"/>
  <c r="L101" i="43"/>
  <c r="L109" i="43"/>
  <c r="H101" i="43"/>
  <c r="D101" i="43"/>
  <c r="D109" i="43"/>
  <c r="M101" i="43"/>
  <c r="M109" i="43"/>
  <c r="I101" i="43"/>
  <c r="I109" i="43"/>
  <c r="E101" i="43"/>
  <c r="G22" i="43"/>
  <c r="E32" i="6"/>
  <c r="L19" i="6"/>
  <c r="K1" i="12"/>
  <c r="E59" i="40"/>
  <c r="E57" i="40"/>
  <c r="E56" i="40"/>
  <c r="AR13" i="1"/>
  <c r="AQ13" i="1"/>
  <c r="T13" i="1"/>
  <c r="AR11" i="1"/>
  <c r="AQ11" i="1"/>
  <c r="T11" i="1"/>
  <c r="AR9" i="1"/>
  <c r="AQ9" i="1"/>
  <c r="T9" i="1"/>
  <c r="AR12" i="1"/>
  <c r="AQ12" i="1"/>
  <c r="T12" i="1"/>
  <c r="AR10" i="1"/>
  <c r="AQ10" i="1"/>
  <c r="T10" i="1"/>
  <c r="E19" i="69"/>
  <c r="E19" i="68"/>
  <c r="E19" i="11"/>
  <c r="F30" i="11"/>
  <c r="F30" i="68"/>
  <c r="E1" i="73"/>
  <c r="K1" i="73"/>
  <c r="G41" i="69"/>
  <c r="G22" i="69"/>
  <c r="G41" i="68"/>
  <c r="G22" i="68"/>
  <c r="G27" i="12"/>
  <c r="G26" i="12"/>
  <c r="G41" i="11"/>
  <c r="G22" i="11"/>
  <c r="G25" i="12"/>
  <c r="C100" i="43"/>
  <c r="E11" i="43"/>
  <c r="E10" i="43"/>
  <c r="E9" i="43"/>
  <c r="E8" i="43"/>
  <c r="C7"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C24" i="43"/>
  <c r="E70" i="43"/>
  <c r="B68" i="43"/>
  <c r="F100" i="43"/>
  <c r="H17" i="43"/>
  <c r="D9" i="53"/>
  <c r="B25" i="72"/>
  <c r="B24" i="72"/>
  <c r="G6" i="1"/>
  <c r="H85" i="43"/>
  <c r="H81" i="43"/>
  <c r="H84" i="43"/>
  <c r="H88" i="43"/>
  <c r="H78" i="43"/>
  <c r="H70" i="43"/>
  <c r="H71" i="43"/>
  <c r="C17" i="43"/>
  <c r="F33" i="43"/>
  <c r="G17" i="43"/>
  <c r="F34" i="43"/>
  <c r="M7" i="43"/>
  <c r="N6" i="43"/>
  <c r="M2" i="43"/>
  <c r="M10" i="43"/>
  <c r="N3" i="43"/>
  <c r="N11" i="43"/>
  <c r="F38" i="43"/>
  <c r="F37" i="43"/>
  <c r="M9" i="43"/>
  <c r="N12" i="43"/>
  <c r="F48" i="43"/>
  <c r="H49" i="43"/>
  <c r="N5" i="43"/>
  <c r="M5" i="43"/>
  <c r="M12" i="43"/>
  <c r="M4" i="43"/>
  <c r="B19" i="53"/>
  <c r="B37" i="72"/>
  <c r="C7" i="39"/>
  <c r="C68" i="39"/>
  <c r="C70" i="39"/>
  <c r="C7" i="35"/>
  <c r="C48" i="35"/>
  <c r="D48" i="35"/>
  <c r="C7" i="33"/>
  <c r="C7" i="21"/>
  <c r="C58" i="21"/>
  <c r="D58" i="21"/>
  <c r="C7" i="40"/>
  <c r="C63" i="40"/>
  <c r="M47" i="9"/>
  <c r="G19" i="43"/>
  <c r="P23" i="43"/>
  <c r="B71" i="39"/>
  <c r="T35" i="4"/>
  <c r="A19" i="51"/>
  <c r="B14" i="72"/>
  <c r="C46" i="36"/>
  <c r="D46" i="36"/>
  <c r="E46" i="36"/>
  <c r="C59" i="34"/>
  <c r="D59" i="34"/>
  <c r="C52" i="37"/>
  <c r="D52" i="37"/>
  <c r="P24" i="43"/>
  <c r="B66" i="40"/>
  <c r="A4" i="51"/>
  <c r="B6" i="72"/>
  <c r="D68" i="39"/>
  <c r="D70" i="39"/>
  <c r="C58" i="33"/>
  <c r="D58" i="33"/>
  <c r="E58" i="33"/>
  <c r="F58" i="33"/>
  <c r="G58" i="33"/>
  <c r="H58" i="33"/>
  <c r="I58" i="33"/>
  <c r="J58" i="33"/>
  <c r="K58" i="33"/>
  <c r="L58" i="33"/>
  <c r="M58" i="33"/>
  <c r="N58" i="33"/>
  <c r="O58" i="33"/>
  <c r="C94" i="9"/>
  <c r="C92" i="9"/>
  <c r="H76" i="43"/>
  <c r="H72" i="43"/>
  <c r="H77" i="43"/>
  <c r="E30" i="6"/>
  <c r="L20" i="6"/>
  <c r="E62" i="39"/>
  <c r="E56" i="39"/>
  <c r="E51" i="40"/>
  <c r="S7" i="1"/>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F26" i="67"/>
  <c r="M29" i="15"/>
  <c r="F6" i="67"/>
  <c r="M29" i="67"/>
  <c r="F42" i="67"/>
  <c r="C76" i="15"/>
  <c r="M26" i="15"/>
  <c r="L47" i="15"/>
  <c r="F37" i="67"/>
  <c r="M22" i="67"/>
  <c r="M28" i="67"/>
  <c r="M26" i="67"/>
  <c r="M8" i="67"/>
  <c r="M6" i="67"/>
  <c r="C76" i="67"/>
  <c r="M9" i="67"/>
  <c r="F8" i="67"/>
  <c r="F9" i="67"/>
  <c r="J15" i="67"/>
  <c r="M28" i="15"/>
  <c r="M24" i="15"/>
  <c r="M22" i="15"/>
  <c r="F13" i="67"/>
  <c r="L48" i="67"/>
  <c r="L47" i="67"/>
  <c r="F40" i="67"/>
  <c r="F43" i="67"/>
  <c r="M23" i="67"/>
  <c r="M23" i="15"/>
  <c r="M24" i="67"/>
  <c r="F16" i="67"/>
  <c r="F38" i="67"/>
  <c r="J15" i="15"/>
  <c r="F36" i="67"/>
  <c r="F7" i="67"/>
  <c r="H51" i="43"/>
  <c r="C16" i="43"/>
  <c r="F59" i="43"/>
  <c r="H53" i="43"/>
  <c r="H56" i="43"/>
  <c r="H55" i="43"/>
  <c r="H54" i="43"/>
  <c r="H52" i="43"/>
  <c r="H50" i="43"/>
  <c r="H48" i="43"/>
  <c r="F28" i="67"/>
  <c r="C28" i="67"/>
  <c r="F31" i="12"/>
  <c r="F52" i="9"/>
  <c r="M18" i="67"/>
  <c r="F32" i="67"/>
  <c r="F60" i="67"/>
  <c r="F30" i="69"/>
  <c r="F32" i="15"/>
  <c r="F60" i="15"/>
  <c r="M18" i="15"/>
  <c r="F28" i="15"/>
  <c r="F22" i="43"/>
  <c r="B113" i="43"/>
  <c r="K101" i="43"/>
  <c r="F101" i="43"/>
  <c r="N101" i="43"/>
  <c r="E22" i="43"/>
  <c r="G101" i="43"/>
  <c r="C101" i="43"/>
  <c r="J101" i="43"/>
  <c r="N104" i="46"/>
  <c r="E16" i="6"/>
  <c r="C6" i="43"/>
  <c r="E4" i="4"/>
  <c r="B5" i="62"/>
  <c r="B73" i="72"/>
  <c r="C4" i="4"/>
  <c r="C28" i="15"/>
  <c r="E69" i="3"/>
  <c r="E183" i="3"/>
  <c r="E268" i="3"/>
  <c r="E172" i="3"/>
  <c r="E153" i="3"/>
  <c r="E213" i="3"/>
  <c r="E282" i="3"/>
  <c r="E260" i="3"/>
  <c r="E305" i="3"/>
  <c r="E361" i="3"/>
  <c r="E322" i="3"/>
  <c r="E445" i="3"/>
  <c r="E426" i="3"/>
  <c r="E17" i="3"/>
  <c r="N6" i="3"/>
  <c r="E550" i="3"/>
  <c r="E508" i="3"/>
  <c r="E503" i="3"/>
  <c r="AJ6" i="3"/>
  <c r="E535" i="3"/>
  <c r="E328" i="3"/>
  <c r="E302" i="3"/>
  <c r="E53" i="3"/>
  <c r="E237" i="3"/>
  <c r="E125" i="3"/>
  <c r="E114" i="3"/>
  <c r="E175" i="3"/>
  <c r="E261" i="3"/>
  <c r="E217" i="3"/>
  <c r="E278" i="3"/>
  <c r="E319" i="3"/>
  <c r="E304" i="3"/>
  <c r="E366" i="3"/>
  <c r="E415" i="3"/>
  <c r="E530" i="3"/>
  <c r="E528" i="3"/>
  <c r="E526" i="3"/>
  <c r="E563" i="3"/>
  <c r="E501" i="3"/>
  <c r="E565" i="3"/>
  <c r="E553" i="3"/>
  <c r="E395" i="3"/>
  <c r="E343" i="3"/>
  <c r="E66" i="39"/>
  <c r="C30" i="69"/>
  <c r="C48" i="69"/>
  <c r="K20" i="6"/>
  <c r="M20" i="6"/>
  <c r="I20" i="6"/>
  <c r="C24" i="12"/>
  <c r="AA40" i="40"/>
  <c r="S40" i="40"/>
  <c r="S12" i="35"/>
  <c r="AA12" i="35"/>
  <c r="AC23" i="35"/>
  <c r="W23" i="35"/>
  <c r="AA9" i="34"/>
  <c r="S9" i="34"/>
  <c r="C48" i="68"/>
  <c r="C30" i="68"/>
  <c r="C77" i="9"/>
  <c r="C74" i="9"/>
  <c r="W40" i="40"/>
  <c r="AC40" i="40"/>
  <c r="AA38" i="40"/>
  <c r="S38" i="40"/>
  <c r="U25" i="37"/>
  <c r="AB25" i="37"/>
  <c r="AC26" i="37"/>
  <c r="W26" i="37"/>
  <c r="AC24" i="36"/>
  <c r="W24" i="36"/>
  <c r="U12" i="36"/>
  <c r="AB12" i="36"/>
  <c r="AC9" i="34"/>
  <c r="W9" i="34"/>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c r="B64" i="72"/>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P14" i="1"/>
  <c r="BL5" i="3"/>
  <c r="P21" i="43"/>
  <c r="M20" i="43"/>
  <c r="C19" i="43"/>
  <c r="J59" i="9"/>
  <c r="J61" i="9"/>
  <c r="K21" i="6"/>
  <c r="M21" i="6"/>
  <c r="I21" i="6"/>
  <c r="S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S22" i="6"/>
  <c r="E102" i="43"/>
  <c r="E104" i="43"/>
  <c r="E106" i="43"/>
  <c r="E107" i="43"/>
  <c r="E103" i="43"/>
  <c r="E105" i="43"/>
  <c r="M102" i="43"/>
  <c r="M104" i="43"/>
  <c r="M106" i="43"/>
  <c r="M107" i="43"/>
  <c r="M103" i="43"/>
  <c r="M105" i="43"/>
  <c r="H102" i="43"/>
  <c r="H107" i="43"/>
  <c r="H103" i="43"/>
  <c r="H106" i="43"/>
  <c r="H104" i="43"/>
  <c r="H105" i="43"/>
  <c r="AQ6" i="1"/>
  <c r="K25" i="6"/>
  <c r="M25" i="6"/>
  <c r="I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20" i="31"/>
  <c r="R22" i="31"/>
  <c r="B21" i="31"/>
  <c r="O19" i="43"/>
  <c r="K53" i="15"/>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5" i="6"/>
  <c r="L27" i="6"/>
  <c r="S26" i="6"/>
  <c r="S24" i="6"/>
  <c r="G16" i="1"/>
  <c r="H10" i="40"/>
  <c r="U10" i="40"/>
  <c r="C27" i="67"/>
  <c r="L56" i="67"/>
  <c r="J57" i="67"/>
  <c r="J55" i="67"/>
  <c r="J58" i="67"/>
  <c r="Q50" i="67"/>
  <c r="J53" i="67"/>
  <c r="K53" i="67"/>
  <c r="F70" i="67"/>
  <c r="F51" i="67"/>
  <c r="F68" i="67"/>
  <c r="L59" i="67"/>
  <c r="L58" i="67"/>
  <c r="F71" i="67"/>
  <c r="F66" i="67"/>
  <c r="F50" i="67"/>
  <c r="M7" i="67"/>
  <c r="Q71" i="67"/>
  <c r="F64" i="67"/>
  <c r="C6" i="67"/>
  <c r="F65" i="67"/>
  <c r="C9" i="69"/>
  <c r="F71" i="15"/>
  <c r="L59" i="15"/>
  <c r="Q74" i="15"/>
  <c r="L58" i="15"/>
  <c r="Q73" i="15"/>
  <c r="Q71" i="15"/>
  <c r="F64" i="15"/>
  <c r="F51" i="15"/>
  <c r="F65" i="15"/>
  <c r="J57" i="15"/>
  <c r="J55" i="15"/>
  <c r="J58" i="15"/>
  <c r="Q50" i="15"/>
  <c r="L56" i="15"/>
  <c r="F68" i="15"/>
  <c r="F50" i="15"/>
  <c r="F66" i="15"/>
  <c r="C10" i="67"/>
  <c r="AP7" i="1"/>
  <c r="C36" i="69"/>
  <c r="E7" i="70"/>
  <c r="M7" i="1"/>
  <c r="O7" i="1"/>
  <c r="Q16" i="1"/>
  <c r="F27" i="69"/>
  <c r="H16" i="1"/>
  <c r="E6" i="70"/>
  <c r="AB45" i="21"/>
  <c r="AC33" i="21"/>
  <c r="W33" i="21"/>
  <c r="S33" i="21"/>
  <c r="AA33" i="21"/>
  <c r="W32" i="21"/>
  <c r="AC32" i="21"/>
  <c r="AB9" i="21"/>
  <c r="U9" i="21"/>
  <c r="AA32" i="21"/>
  <c r="S32" i="21"/>
  <c r="W9" i="21"/>
  <c r="AC9" i="21"/>
  <c r="AB32" i="21"/>
  <c r="U32" i="21"/>
  <c r="AA10" i="21"/>
  <c r="S10" i="21"/>
  <c r="F31" i="67"/>
  <c r="M17" i="67"/>
  <c r="M17" i="15"/>
  <c r="F31" i="15"/>
  <c r="F59" i="15"/>
  <c r="F59" i="67"/>
  <c r="C16" i="67"/>
  <c r="H62" i="43"/>
  <c r="H61" i="43"/>
  <c r="H60" i="43"/>
  <c r="H59" i="43"/>
  <c r="H67" i="43"/>
  <c r="H66" i="43"/>
  <c r="H65" i="43"/>
  <c r="H64" i="43"/>
  <c r="H63" i="43"/>
  <c r="C5" i="43"/>
  <c r="D22" i="43"/>
  <c r="C104" i="43"/>
  <c r="C106" i="43"/>
  <c r="C105" i="43"/>
  <c r="C102" i="43"/>
  <c r="C107" i="43"/>
  <c r="C103" i="43"/>
  <c r="C109" i="43"/>
  <c r="F104" i="43"/>
  <c r="F107" i="43"/>
  <c r="F106" i="43"/>
  <c r="F105" i="43"/>
  <c r="F109" i="43"/>
  <c r="F102" i="43"/>
  <c r="F103" i="43"/>
  <c r="B115" i="43"/>
  <c r="I115" i="43"/>
  <c r="J115" i="43"/>
  <c r="K115" i="43"/>
  <c r="L115" i="43"/>
  <c r="M115" i="43"/>
  <c r="I118" i="43"/>
  <c r="J118" i="43"/>
  <c r="K118" i="43"/>
  <c r="L118" i="43"/>
  <c r="M118" i="43"/>
  <c r="D118" i="43"/>
  <c r="E118" i="43"/>
  <c r="F118" i="43"/>
  <c r="B116" i="43"/>
  <c r="C116" i="43"/>
  <c r="I117" i="43"/>
  <c r="J117" i="43"/>
  <c r="K117" i="43"/>
  <c r="L117" i="43"/>
  <c r="M117" i="43"/>
  <c r="B117" i="43"/>
  <c r="C117" i="43"/>
  <c r="D115" i="43"/>
  <c r="E115" i="43"/>
  <c r="F115" i="43"/>
  <c r="G115" i="43"/>
  <c r="H115" i="43"/>
  <c r="D117" i="43"/>
  <c r="E117" i="43"/>
  <c r="F117" i="43"/>
  <c r="G117" i="43"/>
  <c r="H117" i="43"/>
  <c r="D116" i="43"/>
  <c r="E116" i="43"/>
  <c r="F116" i="43"/>
  <c r="G116" i="43"/>
  <c r="H116" i="43"/>
  <c r="G118" i="43"/>
  <c r="H118" i="43"/>
  <c r="B118" i="43"/>
  <c r="C118" i="43"/>
  <c r="I116" i="43"/>
  <c r="J116" i="43"/>
  <c r="K116" i="43"/>
  <c r="L116" i="43"/>
  <c r="M116" i="43"/>
  <c r="J104" i="43"/>
  <c r="J103" i="43"/>
  <c r="J109" i="43"/>
  <c r="J105" i="43"/>
  <c r="J107" i="43"/>
  <c r="J102" i="43"/>
  <c r="J106" i="43"/>
  <c r="G105" i="43"/>
  <c r="G103" i="43"/>
  <c r="G102" i="43"/>
  <c r="G107" i="43"/>
  <c r="G104" i="43"/>
  <c r="G106" i="43"/>
  <c r="G109" i="43"/>
  <c r="N102" i="43"/>
  <c r="N103" i="43"/>
  <c r="N106" i="43"/>
  <c r="N104" i="43"/>
  <c r="N109" i="43"/>
  <c r="N105" i="43"/>
  <c r="N107" i="43"/>
  <c r="K103" i="43"/>
  <c r="K107" i="43"/>
  <c r="K104" i="43"/>
  <c r="K106" i="43"/>
  <c r="K109" i="43"/>
  <c r="K102" i="43"/>
  <c r="K105" i="43"/>
  <c r="S6" i="43"/>
  <c r="M19" i="6"/>
  <c r="I19" i="6"/>
  <c r="S3" i="43"/>
  <c r="AR6" i="1"/>
  <c r="K27" i="6"/>
  <c r="K4" i="4"/>
  <c r="B46" i="48"/>
  <c r="B4" i="72"/>
  <c r="B4" i="62"/>
  <c r="B71" i="72"/>
  <c r="B14" i="74"/>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P7" i="1"/>
  <c r="O16" i="1"/>
  <c r="G38" i="43"/>
  <c r="I38" i="43"/>
  <c r="F22" i="11"/>
  <c r="F22" i="69"/>
  <c r="F24" i="67"/>
  <c r="C24" i="67"/>
  <c r="T11" i="43"/>
  <c r="V11" i="43"/>
  <c r="T14" i="43"/>
  <c r="V14" i="43"/>
  <c r="T9" i="43"/>
  <c r="V9" i="43"/>
  <c r="T8" i="43"/>
  <c r="V8" i="43"/>
  <c r="T13" i="43"/>
  <c r="V13" i="43"/>
  <c r="Q52" i="15"/>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3" i="15"/>
  <c r="J10" i="67"/>
  <c r="C53" i="67"/>
  <c r="C5" i="67"/>
  <c r="C32" i="67"/>
  <c r="F10" i="40"/>
  <c r="AA10" i="40"/>
  <c r="S20" i="6"/>
  <c r="M27" i="6"/>
  <c r="H10" i="39"/>
  <c r="J10" i="39"/>
  <c r="Q61" i="15"/>
  <c r="C49" i="15"/>
  <c r="Q60" i="15"/>
  <c r="M16" i="1"/>
  <c r="N16" i="1"/>
  <c r="Q60" i="67"/>
  <c r="Q73" i="67"/>
  <c r="F27" i="11"/>
  <c r="Q61" i="67"/>
  <c r="Q74" i="67"/>
  <c r="C49" i="67"/>
  <c r="F1" i="67"/>
  <c r="Q52" i="67"/>
  <c r="G39" i="43"/>
  <c r="I39" i="43"/>
  <c r="G34" i="43"/>
  <c r="I34" i="43"/>
  <c r="G33" i="43"/>
  <c r="I33" i="43"/>
  <c r="T10" i="43"/>
  <c r="V10" i="43"/>
  <c r="T15" i="43"/>
  <c r="V15" i="43"/>
  <c r="T3" i="43"/>
  <c r="V3" i="43"/>
  <c r="T12" i="43"/>
  <c r="V12" i="43"/>
  <c r="T16" i="43"/>
  <c r="V16" i="43"/>
  <c r="T6" i="43"/>
  <c r="V6" i="43"/>
  <c r="S7" i="43"/>
  <c r="T7" i="43"/>
  <c r="V7" i="43"/>
  <c r="S2" i="43"/>
  <c r="T2" i="43"/>
  <c r="V2" i="43"/>
  <c r="S4" i="43"/>
  <c r="T4" i="43"/>
  <c r="V4" i="43"/>
  <c r="C23" i="43"/>
  <c r="C21" i="43"/>
  <c r="C30" i="43"/>
  <c r="E30" i="43"/>
  <c r="S5" i="43"/>
  <c r="T5" i="43"/>
  <c r="V5" i="43"/>
  <c r="C115" i="43"/>
  <c r="D113" i="43"/>
  <c r="J22" i="43"/>
  <c r="AA7" i="36"/>
  <c r="R36" i="36"/>
  <c r="E36" i="36"/>
  <c r="E40" i="36"/>
  <c r="F40" i="36"/>
  <c r="AC11" i="37"/>
  <c r="W11" i="37"/>
  <c r="AB7" i="37"/>
  <c r="T42" i="37"/>
  <c r="G42" i="37"/>
  <c r="G46" i="37"/>
  <c r="H46" i="37"/>
  <c r="W11" i="34"/>
  <c r="AC11" i="34"/>
  <c r="J5" i="67"/>
  <c r="H20" i="6"/>
  <c r="C14" i="74"/>
  <c r="B2" i="74"/>
  <c r="AB7" i="36"/>
  <c r="T36" i="36"/>
  <c r="E6" i="3"/>
  <c r="AA10" i="39"/>
  <c r="D10" i="11"/>
  <c r="C10" i="11"/>
  <c r="M19" i="9"/>
  <c r="C118" i="9"/>
  <c r="D15" i="6"/>
  <c r="C18" i="4"/>
  <c r="D8" i="6"/>
  <c r="D14" i="6"/>
  <c r="R20" i="6"/>
  <c r="R7" i="1"/>
  <c r="D5" i="6"/>
  <c r="D6" i="6"/>
  <c r="D12" i="6"/>
  <c r="D9" i="6"/>
  <c r="D11" i="6"/>
  <c r="D10" i="6"/>
  <c r="D13" i="6"/>
  <c r="H19" i="6"/>
  <c r="L19" i="9"/>
  <c r="E61" i="40"/>
  <c r="H25" i="6"/>
  <c r="R25" i="6"/>
  <c r="H22" i="6"/>
  <c r="H23" i="6"/>
  <c r="H21" i="6"/>
  <c r="H26" i="6"/>
  <c r="H24" i="6"/>
  <c r="P16" i="1"/>
  <c r="F34" i="11"/>
  <c r="C37" i="11"/>
  <c r="AC10" i="40"/>
  <c r="C26" i="69"/>
  <c r="D22" i="69"/>
  <c r="C44" i="69"/>
  <c r="D41" i="69"/>
  <c r="C25" i="11"/>
  <c r="C26" i="11"/>
  <c r="D22" i="11"/>
  <c r="C24" i="11"/>
  <c r="C44" i="11"/>
  <c r="D41" i="11"/>
  <c r="C23" i="11"/>
  <c r="G35" i="43"/>
  <c r="I35" i="43"/>
  <c r="G36" i="43"/>
  <c r="I36"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8"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C22" i="11"/>
  <c r="C31" i="11"/>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R49" i="21"/>
  <c r="C48" i="21"/>
  <c r="G54" i="34"/>
  <c r="H54" i="34"/>
  <c r="I53" i="21"/>
  <c r="J53" i="21"/>
  <c r="C37" i="36"/>
  <c r="C36" i="36"/>
  <c r="G40" i="36"/>
  <c r="H40" i="36"/>
  <c r="E41" i="36"/>
  <c r="F41" i="36"/>
  <c r="G41" i="36"/>
  <c r="H41" i="36"/>
  <c r="C19" i="68"/>
  <c r="I5" i="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B3" i="43"/>
  <c r="C49" i="21"/>
  <c r="F63" i="67"/>
  <c r="C62" i="67"/>
  <c r="C34" i="67"/>
  <c r="J20" i="67"/>
  <c r="J20" i="15"/>
  <c r="F63" i="15"/>
  <c r="C62" i="15"/>
  <c r="R16" i="1"/>
  <c r="I63" i="40"/>
  <c r="H65" i="40"/>
  <c r="C39" i="11"/>
  <c r="C43" i="11"/>
  <c r="C41" i="11"/>
  <c r="I70" i="39"/>
  <c r="J63" i="40"/>
  <c r="I65" i="40"/>
  <c r="C46" i="11"/>
  <c r="C45" i="11"/>
  <c r="C49" i="11"/>
  <c r="C51" i="11"/>
  <c r="C52" i="11"/>
  <c r="B2" i="11"/>
  <c r="B3" i="11"/>
  <c r="J70" i="39"/>
  <c r="K63" i="40"/>
  <c r="J65" i="40"/>
  <c r="K70" i="39"/>
  <c r="C56" i="11"/>
  <c r="C57" i="11"/>
  <c r="L63" i="40"/>
  <c r="K65" i="40"/>
  <c r="L70" i="39"/>
  <c r="E8" i="70"/>
  <c r="E2" i="70"/>
  <c r="C34" i="69"/>
  <c r="C17" i="67"/>
  <c r="C57" i="68"/>
  <c r="C56" i="68"/>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L46"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F41" i="67"/>
  <c r="M27"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7" i="1"/>
  <c r="AO6" i="1"/>
  <c r="E2" i="69"/>
  <c r="AO8" i="1"/>
  <c r="B3" i="15"/>
  <c r="C6" i="12"/>
  <c r="C46" i="15"/>
  <c r="B2" i="69"/>
  <c r="B3" i="69"/>
  <c r="B8" i="70"/>
  <c r="B6" i="70"/>
  <c r="B3" i="67"/>
  <c r="B7" i="70"/>
  <c r="D2" i="36"/>
  <c r="E2" i="68"/>
  <c r="D2" i="37"/>
  <c r="D2" i="33"/>
  <c r="D2" i="34"/>
  <c r="D2" i="21"/>
  <c r="D2" i="35"/>
  <c r="B2" i="36"/>
  <c r="B3" i="36"/>
  <c r="B2" i="35"/>
  <c r="B3" i="35"/>
  <c r="B2" i="37"/>
  <c r="B3" i="37"/>
  <c r="B2" i="34"/>
  <c r="B3" i="34"/>
  <c r="B2" i="21"/>
  <c r="B3" i="21"/>
  <c r="B2" i="70"/>
  <c r="B3" i="70"/>
  <c r="C102" i="9"/>
  <c r="C21" i="9"/>
  <c r="B3" i="68"/>
  <c r="C20" i="9"/>
  <c r="C103" i="9"/>
  <c r="B3" i="12"/>
  <c r="C34" i="9"/>
  <c r="C32" i="9"/>
  <c r="D34" i="9"/>
  <c r="D22" i="9"/>
  <c r="D21" i="9"/>
  <c r="D102" i="9"/>
  <c r="J7" i="33"/>
  <c r="W7" i="33"/>
  <c r="F7" i="33"/>
  <c r="S7" i="33"/>
  <c r="H7" i="33"/>
  <c r="AB7" i="33"/>
  <c r="T48" i="33"/>
  <c r="G48" i="33"/>
  <c r="D20" i="9"/>
  <c r="G20" i="9"/>
  <c r="D103" i="9"/>
  <c r="G21" i="9"/>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C35" i="9"/>
  <c r="D35" i="9"/>
  <c r="H112" i="9"/>
  <c r="D21" i="53"/>
  <c r="B39" i="72"/>
  <c r="H111" i="9"/>
  <c r="D126" i="9"/>
  <c r="D59" i="9"/>
  <c r="M55" i="9"/>
  <c r="I14" i="74"/>
  <c r="B8" i="74"/>
  <c r="D127" i="9"/>
  <c r="D13" i="52"/>
  <c r="D12" i="52"/>
  <c r="D19" i="53"/>
  <c r="F118" i="9"/>
  <c r="G118" i="9"/>
  <c r="G4" i="52"/>
  <c r="B52" i="72"/>
  <c r="D118" i="9"/>
  <c r="D119" i="9"/>
  <c r="D5" i="52"/>
  <c r="B49" i="72"/>
  <c r="H118" i="9"/>
  <c r="C104" i="9"/>
  <c r="B38" i="72"/>
  <c r="D20" i="53"/>
  <c r="B40" i="72"/>
  <c r="D8" i="74"/>
  <c r="C8" i="74"/>
  <c r="H101" i="9"/>
  <c r="I118" i="9"/>
  <c r="C105" i="9"/>
  <c r="H119" i="9"/>
  <c r="H5" i="52"/>
  <c r="F4" i="52"/>
  <c r="B51" i="72"/>
  <c r="F119" i="9"/>
  <c r="F5" i="52"/>
  <c r="B53" i="72"/>
  <c r="D14" i="74"/>
  <c r="H4" i="52"/>
  <c r="D4" i="52"/>
  <c r="B47" i="72"/>
  <c r="H107" i="9"/>
  <c r="M48" i="9"/>
  <c r="H109" i="9"/>
  <c r="D45" i="9"/>
  <c r="D53" i="9"/>
  <c r="I4" i="52"/>
  <c r="D5" i="53"/>
  <c r="B20" i="72"/>
  <c r="H102" i="9"/>
  <c r="D7" i="53"/>
  <c r="B21" i="72"/>
  <c r="E118" i="9"/>
  <c r="E4" i="52"/>
  <c r="B48" i="72"/>
  <c r="D122" i="9"/>
  <c r="H108" i="9"/>
  <c r="D15" i="53"/>
  <c r="B31" i="72"/>
  <c r="D13" i="53"/>
  <c r="E14" i="74"/>
  <c r="B5" i="74"/>
  <c r="F14" i="74"/>
  <c r="M49" i="9"/>
  <c r="D124" i="9"/>
  <c r="H110" i="9"/>
  <c r="D18" i="53"/>
  <c r="B35" i="72"/>
  <c r="D16" i="53"/>
  <c r="C93" i="9"/>
  <c r="D52" i="9"/>
  <c r="C78" i="9"/>
  <c r="C73" i="9"/>
  <c r="C85" i="9"/>
  <c r="C72" i="9"/>
  <c r="D55" i="9"/>
  <c r="M53" i="9"/>
  <c r="C86" i="9"/>
  <c r="C64" i="9"/>
  <c r="C63" i="9"/>
  <c r="D6" i="53"/>
  <c r="B22" i="72"/>
  <c r="D5" i="74"/>
  <c r="C5" i="74"/>
  <c r="D14" i="53"/>
  <c r="B32" i="72"/>
  <c r="B30" i="72"/>
  <c r="G14" i="74"/>
  <c r="B6" i="74"/>
  <c r="D123" i="9"/>
  <c r="D9" i="52"/>
  <c r="D8" i="52"/>
  <c r="B34" i="72"/>
  <c r="D17" i="53"/>
  <c r="B36" i="72"/>
  <c r="H14" i="74"/>
  <c r="B7" i="74"/>
  <c r="D125" i="9"/>
  <c r="D11" i="52"/>
  <c r="D10" i="52"/>
  <c r="L68" i="9"/>
  <c r="M68" i="9"/>
  <c r="L65" i="9"/>
  <c r="M65" i="9"/>
  <c r="L64" i="9"/>
  <c r="M64" i="9"/>
  <c r="L67" i="9"/>
  <c r="M67" i="9"/>
  <c r="L66" i="9"/>
  <c r="M66" i="9"/>
  <c r="L63" i="9"/>
  <c r="M63" i="9"/>
  <c r="C95" i="9"/>
  <c r="C67" i="9"/>
  <c r="C68" i="9"/>
  <c r="D54" i="9"/>
  <c r="C79" i="9"/>
  <c r="D6" i="74"/>
  <c r="C6" i="74"/>
  <c r="M69" i="9"/>
  <c r="N69" i="9"/>
  <c r="D7" i="74"/>
  <c r="C7" i="74"/>
  <c r="C96" i="9"/>
  <c r="E96" i="9"/>
  <c r="E97" i="9"/>
  <c r="C80" i="9"/>
  <c r="E80" i="9"/>
  <c r="E81" i="9"/>
  <c r="C97" i="9"/>
  <c r="D58" i="9"/>
  <c r="D56" i="9"/>
  <c r="M54" i="9"/>
  <c r="N57" i="9"/>
  <c r="C81" i="9"/>
  <c r="N58" i="9"/>
  <c r="P57" i="9"/>
  <c r="N59" i="9"/>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<sst xmlns="http://schemas.openxmlformats.org/spreadsheetml/2006/main" count="13031" uniqueCount="3907">
  <si>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</si>
  <si>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</si>
  <si>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</si>
  <si>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</si>
  <si>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</si>
  <si>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</si>
  <si>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</si>
  <si>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</si>
  <si>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</si>
  <si>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</si>
  <si>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</si>
  <si>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</si>
  <si>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</si>
  <si>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</si>
  <si>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</si>
  <si>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</si>
  <si>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</si>
  <si>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</si>
  <si>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</si>
  <si>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</si>
  <si>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</si>
  <si>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</si>
  <si>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</si>
  <si>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</si>
  <si>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</si>
  <si>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</si>
  <si>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</si>
  <si>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</si>
  <si>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</si>
  <si>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</si>
  <si>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</si>
  <si>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</si>
  <si>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</si>
  <si>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</si>
  <si>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</si>
  <si>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</si>
  <si>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</si>
  <si>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</si>
  <si>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</si>
  <si>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</si>
  <si>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</si>
  <si>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</si>
  <si>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</si>
  <si>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</si>
  <si>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</si>
  <si>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</si>
  <si>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</si>
  <si>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</si>
  <si>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</si>
  <si>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</si>
  <si>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</si>
  <si>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</si>
  <si>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</si>
  <si>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</si>
  <si>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</si>
  <si>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</si>
  <si>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</si>
  <si>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</si>
  <si>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</si>
  <si>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</si>
  <si>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</si>
  <si>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</si>
  <si>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</si>
  <si>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</si>
  <si>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</si>
  <si>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</si>
  <si>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</si>
  <si>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</si>
  <si>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</si>
  <si>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</si>
  <si>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</si>
  <si>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</si>
  <si>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</si>
  <si>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</si>
  <si>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</si>
  <si>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</si>
  <si>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</si>
  <si>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</si>
  <si>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</si>
  <si>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</si>
  <si>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</si>
  <si>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</si>
  <si>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</si>
  <si>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</si>
  <si>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</si>
  <si>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</si>
  <si>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</si>
  <si>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</si>
  <si>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</si>
  <si>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</si>
  <si>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</si>
  <si>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</si>
  <si>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</si>
  <si>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</si>
  <si>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</si>
  <si>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</si>
  <si>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</si>
  <si>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</si>
  <si>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</si>
  <si>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</si>
  <si>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</si>
  <si>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</si>
  <si>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</si>
  <si>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</si>
  <si>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</si>
  <si>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</si>
  <si>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</si>
  <si>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</si>
  <si>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</si>
  <si>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</si>
  <si>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</si>
  <si>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</si>
  <si>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</si>
  <si>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</si>
  <si>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</si>
  <si>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</si>
  <si>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</si>
  <si>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</si>
  <si>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</si>
  <si>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</si>
  <si>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</si>
  <si>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</si>
  <si>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</si>
  <si>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</si>
  <si>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</si>
  <si>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</si>
  <si>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</si>
  <si>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</si>
  <si>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</si>
  <si>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</si>
  <si>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</si>
  <si>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</si>
  <si>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</si>
  <si>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</si>
  <si>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</si>
  <si>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</si>
  <si>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</si>
  <si>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</si>
  <si>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</si>
  <si>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</si>
  <si>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</si>
  <si>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</si>
  <si>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</si>
  <si>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</si>
  <si>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</si>
  <si>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</si>
  <si>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</si>
  <si>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</si>
  <si>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</si>
  <si>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</si>
  <si>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</si>
  <si>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</si>
  <si>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</si>
  <si>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</si>
  <si>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</si>
  <si>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</si>
  <si>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</si>
  <si>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</si>
  <si>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</si>
  <si>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</si>
  <si>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</si>
  <si>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</si>
  <si>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</si>
  <si>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</si>
  <si>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</si>
  <si>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</si>
  <si>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</si>
  <si>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</si>
  <si>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</si>
  <si>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</si>
  <si>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</si>
  <si>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</si>
  <si>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</si>
  <si>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</si>
  <si>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</si>
  <si>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</si>
  <si>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</si>
  <si>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</si>
  <si>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</si>
  <si>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</si>
  <si>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</si>
  <si>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</si>
  <si>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</si>
  <si>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</si>
  <si>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</si>
  <si>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</si>
  <si>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</si>
  <si>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</si>
  <si>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</si>
  <si>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</si>
  <si>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</si>
  <si>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</si>
  <si>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</si>
  <si>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</si>
  <si>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</si>
  <si>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</si>
  <si>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</si>
  <si>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</si>
  <si>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</si>
  <si>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</si>
  <si>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</si>
  <si>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</si>
  <si>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</si>
  <si>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</si>
  <si>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</si>
  <si>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</si>
  <si>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</si>
  <si>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</si>
  <si>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</si>
  <si>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</si>
  <si>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</si>
  <si>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</si>
  <si>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</si>
  <si>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</si>
  <si>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</si>
  <si>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</si>
  <si>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</si>
  <si>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</si>
  <si>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</si>
  <si>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</si>
  <si>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</si>
  <si>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</si>
  <si>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</si>
  <si>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</si>
  <si>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</si>
  <si>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</si>
  <si>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</si>
  <si>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</si>
  <si>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</si>
  <si>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</si>
  <si>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</si>
  <si>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</si>
  <si>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</si>
  <si>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</si>
  <si>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</si>
  <si>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</si>
  <si>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</si>
  <si>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</si>
  <si>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</si>
  <si>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</si>
  <si>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</si>
  <si>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</si>
  <si>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</si>
  <si>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</si>
  <si>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</si>
  <si>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</si>
  <si>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</si>
  <si>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</si>
  <si>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</si>
  <si>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</si>
  <si>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</si>
  <si>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</si>
  <si>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</si>
  <si>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</si>
  <si>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</si>
  <si>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</si>
  <si>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</si>
  <si>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</si>
  <si>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</si>
  <si>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</si>
  <si>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</si>
  <si>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</si>
  <si>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</si>
  <si>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</si>
  <si>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</si>
  <si>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</si>
  <si>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</si>
  <si>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</si>
  <si>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</si>
  <si>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</si>
  <si>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</si>
  <si>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</si>
  <si>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</si>
  <si>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</si>
  <si>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</si>
  <si>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</si>
  <si>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</si>
  <si>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</si>
  <si>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</si>
  <si>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</si>
  <si>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</si>
  <si>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</si>
  <si>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</si>
  <si>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</si>
  <si>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</si>
  <si>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</si>
  <si>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</si>
  <si>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</si>
  <si>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</si>
  <si>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</si>
  <si>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</si>
  <si>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</si>
  <si>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</si>
  <si>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</si>
  <si>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</si>
  <si>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</si>
  <si>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</si>
  <si>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</si>
  <si>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</si>
  <si>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</si>
  <si>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</si>
  <si>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</si>
  <si>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</si>
  <si>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</si>
  <si>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</si>
  <si>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</si>
  <si>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</si>
  <si>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</si>
  <si>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</si>
  <si>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</si>
  <si>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</si>
  <si>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</si>
  <si>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</si>
  <si>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</si>
  <si>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</si>
  <si>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</si>
  <si>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</si>
  <si>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</si>
  <si>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</si>
  <si>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</si>
  <si>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</si>
  <si>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</si>
  <si>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</si>
  <si>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</si>
  <si>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</si>
  <si>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</si>
  <si>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</si>
  <si>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</si>
  <si>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</si>
  <si>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</si>
  <si>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</si>
  <si>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</si>
  <si>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</si>
  <si>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</si>
  <si>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</si>
  <si>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</si>
  <si>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</si>
  <si>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</si>
  <si>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</si>
  <si>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</si>
  <si>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</si>
  <si>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</si>
  <si>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</si>
  <si>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</si>
  <si>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</si>
  <si>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</si>
  <si>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</si>
  <si>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</si>
  <si>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</si>
  <si>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</si>
  <si>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</si>
  <si>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</si>
  <si>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</si>
  <si>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</si>
  <si>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</si>
  <si>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</si>
  <si>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</si>
  <si>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</si>
  <si>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</si>
  <si>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</si>
  <si>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</si>
  <si>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</si>
  <si>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</si>
  <si>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</si>
  <si>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</si>
  <si>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</si>
  <si>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</si>
  <si>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</si>
  <si>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</si>
  <si>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</si>
  <si>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</si>
  <si>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</si>
  <si>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</si>
  <si>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</si>
  <si>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</si>
  <si>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</si>
  <si>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</si>
  <si>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</si>
  <si>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</si>
  <si>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</si>
  <si>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</si>
  <si>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</si>
  <si>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</si>
  <si>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</si>
  <si>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</si>
  <si>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</si>
  <si>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</si>
  <si>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</si>
  <si>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</si>
  <si>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</si>
  <si>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</si>
  <si>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</si>
  <si>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</si>
  <si>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</si>
  <si>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</si>
  <si>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</si>
  <si>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</si>
  <si>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</si>
  <si>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</si>
  <si>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</si>
  <si>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</si>
  <si>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</si>
  <si>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</si>
  <si>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</si>
  <si>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</si>
  <si>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</si>
  <si>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</si>
  <si>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</si>
  <si>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</si>
  <si>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</si>
  <si>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</si>
  <si>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</si>
  <si>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</si>
  <si>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</si>
  <si>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</si>
  <si>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</si>
  <si>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</si>
  <si>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</si>
  <si>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</si>
  <si>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</si>
  <si>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</si>
  <si>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</si>
  <si>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</si>
  <si>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</si>
  <si>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</si>
  <si>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</si>
  <si>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</si>
  <si>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</si>
  <si>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</si>
  <si>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</si>
  <si>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</si>
  <si>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</si>
  <si>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</si>
  <si>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</si>
  <si>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</si>
  <si>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</si>
  <si>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</si>
  <si>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</si>
  <si>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</si>
  <si>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</si>
  <si>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</si>
  <si>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</si>
  <si>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</si>
  <si>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</si>
  <si>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</si>
  <si>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</si>
  <si>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</si>
  <si>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</si>
  <si>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</si>
  <si>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</si>
  <si>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</si>
  <si>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</si>
  <si>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</si>
  <si>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</si>
  <si>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</si>
  <si>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</si>
  <si>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</si>
  <si>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</si>
  <si>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</si>
  <si>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</si>
  <si>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</si>
  <si>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</si>
  <si>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</si>
  <si>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</si>
  <si>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</si>
  <si>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</si>
  <si>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</si>
  <si>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</si>
  <si>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</si>
  <si>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</si>
  <si>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</si>
  <si>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</si>
  <si>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</si>
  <si>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</si>
  <si>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</si>
  <si>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</si>
  <si>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</si>
  <si>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</si>
  <si>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</si>
  <si>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</si>
  <si>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</si>
  <si>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</si>
  <si>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</si>
  <si>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</si>
  <si>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</si>
  <si>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</si>
  <si>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</si>
  <si>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</si>
  <si>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</si>
  <si>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</si>
  <si>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</si>
  <si>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</si>
  <si>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</si>
  <si>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</si>
  <si>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</si>
  <si>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</si>
  <si>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</si>
  <si>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</si>
  <si>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</si>
  <si>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</si>
  <si>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</si>
  <si>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</si>
  <si>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</si>
  <si>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</si>
  <si>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</si>
  <si>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</si>
  <si>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</si>
  <si>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</si>
  <si>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</si>
  <si>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</si>
  <si>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</si>
  <si>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</si>
  <si>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</si>
  <si>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</si>
  <si>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</si>
  <si>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</si>
  <si>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</si>
  <si>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</si>
  <si>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</si>
  <si>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</si>
  <si>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</si>
  <si>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</si>
  <si>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</si>
  <si>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</si>
  <si>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</si>
  <si>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</si>
  <si>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</si>
  <si>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</si>
  <si>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</si>
  <si>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</si>
  <si>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</si>
  <si>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</si>
  <si>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</si>
  <si>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</si>
  <si>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</si>
  <si>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</si>
  <si>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</si>
  <si>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</si>
  <si>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</si>
  <si>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</si>
  <si>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</si>
  <si>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</si>
  <si>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</si>
  <si>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</si>
  <si>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</si>
  <si>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</si>
  <si>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</si>
  <si>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</si>
  <si>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</si>
  <si>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</si>
  <si>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</si>
  <si>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</si>
  <si>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</si>
  <si>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</si>
  <si>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</si>
  <si>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</si>
  <si>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</si>
  <si>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</si>
  <si>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</si>
  <si>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</si>
  <si>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</si>
  <si>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</si>
  <si>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</si>
  <si>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</si>
  <si>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</si>
  <si>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</si>
  <si>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</si>
  <si>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</si>
  <si>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</si>
  <si>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</si>
  <si>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</si>
  <si>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</si>
  <si>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</si>
  <si>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</si>
  <si>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</si>
  <si>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</si>
  <si>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</si>
  <si>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</si>
  <si>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</si>
  <si>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</si>
  <si>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</si>
  <si>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</si>
  <si>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</si>
  <si>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</si>
  <si>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</si>
  <si>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</si>
  <si>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</si>
  <si>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</si>
  <si>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</si>
  <si>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</si>
  <si>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</si>
  <si>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</si>
  <si>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</si>
  <si>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</si>
  <si>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</si>
  <si>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</si>
  <si>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</si>
  <si>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</si>
  <si>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</si>
  <si>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</si>
  <si>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</si>
  <si>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</si>
  <si>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</si>
  <si>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</si>
  <si>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</si>
  <si>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</si>
  <si>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</si>
  <si>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</si>
  <si>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</si>
  <si>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</si>
  <si>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</si>
  <si>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</si>
  <si>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</si>
  <si>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</si>
  <si>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</si>
  <si>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</si>
  <si>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</si>
  <si>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</si>
  <si>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</si>
  <si>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</si>
  <si>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</si>
  <si>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</si>
  <si>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</si>
  <si>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</si>
  <si>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</si>
  <si>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</si>
  <si>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</si>
  <si>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</si>
  <si>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</si>
  <si>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</si>
  <si>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</si>
  <si>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</si>
  <si>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</si>
  <si>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</si>
  <si>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</si>
  <si>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</si>
  <si>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</si>
  <si>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</si>
  <si>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</si>
  <si>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</si>
  <si>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</si>
  <si>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</si>
  <si>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</si>
  <si>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</si>
  <si>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</si>
  <si>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</si>
  <si>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</si>
  <si>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</si>
  <si>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</si>
  <si>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</si>
  <si>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</si>
  <si>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</si>
  <si>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</si>
  <si>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</si>
  <si>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</si>
  <si>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</si>
  <si>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</si>
  <si>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</si>
  <si>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</si>
  <si>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</si>
  <si>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</si>
  <si>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</si>
  <si>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</si>
  <si>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</si>
  <si>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</si>
  <si>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</si>
  <si>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</si>
  <si>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</si>
  <si>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</si>
  <si>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</si>
  <si>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</si>
  <si>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</si>
  <si>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</si>
  <si>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</si>
  <si>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</si>
  <si>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</si>
  <si>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</si>
  <si>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</si>
  <si>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</si>
  <si>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</si>
  <si>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</si>
  <si>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</si>
  <si>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</si>
  <si>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</si>
  <si>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</si>
  <si>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</si>
  <si>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</si>
  <si>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</si>
  <si>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</si>
  <si>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</si>
  <si>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</si>
  <si>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</si>
  <si>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</si>
  <si>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</si>
  <si>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</si>
  <si>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</si>
  <si>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</si>
  <si>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</si>
  <si>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</si>
  <si>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</si>
  <si>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</si>
  <si>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</si>
  <si>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</si>
  <si>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</si>
  <si>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</si>
  <si>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</si>
  <si>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</si>
  <si>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</si>
  <si>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</si>
  <si>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</si>
  <si>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</si>
  <si>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</si>
  <si>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</si>
  <si>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</si>
  <si>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</si>
  <si>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</si>
  <si>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</si>
  <si>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</si>
  <si>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</si>
  <si>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</si>
  <si>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</si>
  <si>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</si>
  <si>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</si>
  <si>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</si>
  <si>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</si>
  <si>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</si>
  <si>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</si>
  <si>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</si>
  <si>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</si>
  <si>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</si>
  <si>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</si>
  <si>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</si>
  <si>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</si>
  <si>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</si>
  <si>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</si>
  <si>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</si>
  <si>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</si>
  <si>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</si>
  <si>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</si>
  <si>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</si>
  <si>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</si>
  <si>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</si>
  <si>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</si>
  <si>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</si>
  <si>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</si>
  <si>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</si>
  <si>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</si>
  <si>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</si>
  <si>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</si>
  <si>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</si>
  <si>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</si>
  <si>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</si>
  <si>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</si>
  <si>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</si>
  <si>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</si>
  <si>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</si>
  <si>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</si>
  <si>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</si>
  <si>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</si>
  <si>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</si>
  <si>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</si>
  <si>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</si>
  <si>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</si>
  <si>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</si>
  <si>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</si>
  <si>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</si>
  <si>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</si>
  <si>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</si>
  <si>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</si>
  <si>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</si>
  <si>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</si>
  <si>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</si>
  <si>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</si>
  <si>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</si>
  <si>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</si>
  <si>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</si>
  <si>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</si>
  <si>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</si>
  <si>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</si>
  <si>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</si>
  <si>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</si>
  <si>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</si>
  <si>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</si>
  <si>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</si>
  <si>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</si>
  <si>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</si>
  <si>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</si>
  <si>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</si>
  <si>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</si>
  <si>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</si>
  <si>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</si>
  <si>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</si>
  <si>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</si>
  <si>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</si>
  <si>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</si>
  <si>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</si>
  <si>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</si>
  <si>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</si>
  <si>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</si>
  <si>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</si>
  <si>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</si>
  <si>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</si>
  <si>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</si>
  <si>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</si>
  <si>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</si>
  <si>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</si>
  <si>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</si>
  <si>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</si>
  <si>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</si>
  <si>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</si>
  <si>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</si>
  <si>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</si>
  <si>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</si>
  <si>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</si>
  <si>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</si>
  <si>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</si>
  <si>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</si>
  <si>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</si>
  <si>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</si>
  <si>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</si>
  <si>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</si>
  <si>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</si>
  <si>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</si>
  <si>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</si>
  <si>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</si>
  <si>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</si>
  <si>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</si>
  <si>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</si>
  <si>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</si>
  <si>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</si>
  <si>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</si>
  <si>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</si>
  <si>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</si>
  <si>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</si>
  <si>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</si>
  <si>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</si>
  <si>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</si>
  <si>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</si>
  <si>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</si>
  <si>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</si>
  <si>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</si>
  <si>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</si>
  <si>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</si>
  <si>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</si>
  <si>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</si>
  <si>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</si>
  <si>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</si>
  <si>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</si>
  <si>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</si>
  <si>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</si>
  <si>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</si>
  <si>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</si>
  <si>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</si>
  <si>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</si>
  <si>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</si>
  <si>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</si>
  <si>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</si>
  <si>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</si>
  <si>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</si>
  <si>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</si>
  <si>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</si>
  <si>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</si>
  <si>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</si>
  <si>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</si>
  <si>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</si>
  <si>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</si>
  <si>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</si>
  <si>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</si>
  <si>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</si>
  <si>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</si>
  <si>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</si>
  <si>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</si>
  <si>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</si>
  <si>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</si>
  <si>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</si>
  <si>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</si>
  <si>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</si>
  <si>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</si>
  <si>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</si>
  <si>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</si>
  <si>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</si>
  <si>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</si>
  <si>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</si>
  <si>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</si>
  <si>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</si>
  <si>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</si>
  <si>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</si>
  <si>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</si>
  <si>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</si>
  <si>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</si>
  <si>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</si>
  <si>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</si>
  <si>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</si>
  <si>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</si>
  <si>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</si>
  <si>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</si>
  <si>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</si>
  <si>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</si>
  <si>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</si>
  <si>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</si>
  <si>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</si>
  <si>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</si>
  <si>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</si>
  <si>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</si>
  <si>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</si>
  <si>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</si>
  <si>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</si>
  <si>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</si>
  <si>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</si>
  <si>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</si>
  <si>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</si>
  <si>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</si>
  <si>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</si>
  <si>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</si>
  <si>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</si>
  <si>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</si>
  <si>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</si>
  <si>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</si>
  <si>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</si>
  <si>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</si>
  <si>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</si>
  <si>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</si>
  <si>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</si>
  <si>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</si>
  <si>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</si>
  <si>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</si>
  <si>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</si>
  <si>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</si>
  <si>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</si>
  <si>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</si>
  <si>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</si>
  <si>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</si>
  <si>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</si>
  <si>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</si>
  <si>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</si>
  <si>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</si>
  <si>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</si>
  <si>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</si>
  <si>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</si>
  <si>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</si>
  <si>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</si>
  <si>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</si>
  <si>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</si>
  <si>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</si>
  <si>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</si>
  <si>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</si>
  <si>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</si>
  <si>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</si>
  <si>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</si>
  <si>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</si>
  <si>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</si>
  <si>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</si>
  <si>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</si>
  <si>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</si>
  <si>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</si>
  <si>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</si>
  <si>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</si>
  <si>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</si>
  <si>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</si>
  <si>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</si>
  <si>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</si>
  <si>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</si>
  <si>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</si>
  <si>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</si>
  <si>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</si>
  <si>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</si>
  <si>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</si>
  <si>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</si>
  <si>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</si>
  <si>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</si>
  <si>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</si>
  <si>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</si>
  <si>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</si>
  <si>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</si>
  <si>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</si>
  <si>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</si>
  <si>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</si>
  <si>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</si>
  <si>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</si>
  <si>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</si>
  <si>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</si>
  <si>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</si>
  <si>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</si>
  <si>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</si>
  <si>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</si>
  <si>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</si>
  <si>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</si>
  <si>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</si>
  <si>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</si>
  <si>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</si>
  <si>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</si>
  <si>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</si>
  <si>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</si>
  <si>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</si>
  <si>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</si>
  <si>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</si>
  <si>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</si>
  <si>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</si>
  <si>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</si>
  <si>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</si>
  <si>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</si>
  <si>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</si>
  <si>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</si>
  <si>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</si>
  <si>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</si>
  <si>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</si>
  <si>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</si>
  <si>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</si>
  <si>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</si>
  <si>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</si>
  <si>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</si>
  <si>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</si>
  <si>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</si>
  <si>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</si>
  <si>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</si>
  <si>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</si>
  <si>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</si>
  <si>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</si>
  <si>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</si>
  <si>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</si>
  <si>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</si>
  <si>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</si>
  <si>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</si>
  <si>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</si>
  <si>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</si>
  <si>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</si>
  <si>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</si>
  <si>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</si>
  <si>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</si>
  <si>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</si>
  <si>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</si>
  <si>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</si>
  <si>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</si>
  <si>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</si>
  <si>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</si>
  <si>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</si>
  <si>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</si>
  <si>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</si>
  <si>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</si>
  <si>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</si>
  <si>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</si>
  <si>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</si>
  <si>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</si>
  <si>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</si>
  <si>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</si>
  <si>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</si>
  <si>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</si>
  <si>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</si>
  <si>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</si>
  <si>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</si>
  <si>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</si>
  <si>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</si>
  <si>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</si>
  <si>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</si>
  <si>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</si>
  <si>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</si>
  <si>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</si>
  <si>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</si>
  <si>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</si>
  <si>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</si>
  <si>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</si>
  <si>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</si>
  <si>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</si>
  <si>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</si>
  <si>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</si>
  <si>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</si>
  <si>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</si>
  <si>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</si>
  <si>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</si>
  <si>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</si>
  <si>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</si>
  <si>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</si>
  <si>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</si>
  <si>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</si>
  <si>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</si>
  <si>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</si>
  <si>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</si>
  <si>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</si>
  <si>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</si>
  <si>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</si>
  <si>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</si>
  <si>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</si>
  <si>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</si>
  <si>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</si>
  <si>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</si>
  <si>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</si>
  <si>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</si>
  <si>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</si>
  <si>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</si>
  <si>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</si>
  <si>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</si>
  <si>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</si>
  <si>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</si>
  <si>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</si>
  <si>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</si>
  <si>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</si>
  <si>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</si>
  <si>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</si>
  <si>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</si>
  <si>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</si>
  <si>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</si>
  <si>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</si>
  <si>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</si>
  <si>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</si>
  <si>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</si>
  <si>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</si>
  <si>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</si>
  <si>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</si>
  <si>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</si>
  <si>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</si>
  <si>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</si>
  <si>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</si>
  <si>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</si>
  <si>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</si>
  <si>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</si>
  <si>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</si>
  <si>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</si>
  <si>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</si>
  <si>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</si>
  <si>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</si>
  <si>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</si>
  <si>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</si>
  <si>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</si>
  <si>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</si>
  <si>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</si>
  <si>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</si>
  <si>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</si>
  <si>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</si>
  <si>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</si>
  <si>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</si>
  <si>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</si>
  <si>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</si>
  <si>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</si>
  <si>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</si>
  <si>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</si>
  <si>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</si>
  <si>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</si>
  <si>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</si>
  <si>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</si>
  <si>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</si>
  <si>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</si>
  <si>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</si>
  <si>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</si>
  <si>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</si>
  <si>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</si>
  <si>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</si>
  <si>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</si>
  <si>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</si>
  <si>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</si>
  <si>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</si>
  <si>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</si>
  <si>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</si>
  <si>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</si>
  <si>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</si>
  <si>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</si>
  <si>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</si>
  <si>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</si>
  <si>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</si>
  <si>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</si>
  <si>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</si>
  <si>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</si>
  <si>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</si>
  <si>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</si>
  <si>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</si>
  <si>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</si>
  <si>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</si>
  <si>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</si>
  <si>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</si>
  <si>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</si>
  <si>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</si>
  <si>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</si>
  <si>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</si>
  <si>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</si>
  <si>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</si>
  <si>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</si>
  <si>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</si>
  <si>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</si>
  <si>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</si>
  <si>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</si>
  <si>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</si>
  <si>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</si>
  <si>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</si>
  <si>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</si>
  <si>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</si>
  <si>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</si>
  <si>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</si>
  <si>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</si>
  <si>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</si>
  <si>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</si>
  <si>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</si>
  <si>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</si>
  <si>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</si>
  <si>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</si>
  <si>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</si>
  <si>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</si>
  <si>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</si>
  <si>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</si>
  <si>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</si>
  <si>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</si>
  <si>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</si>
  <si>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</si>
  <si>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</si>
  <si>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</si>
  <si>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</si>
  <si>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</si>
  <si>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</si>
  <si>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</si>
  <si>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</si>
  <si>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</si>
  <si>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</si>
  <si>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</si>
  <si>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</si>
  <si>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</si>
  <si>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</si>
  <si>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</si>
  <si>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</si>
  <si>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</si>
  <si>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</si>
  <si>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</si>
  <si>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</si>
  <si>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</si>
  <si>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</si>
  <si>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</si>
  <si>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</si>
  <si>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</si>
  <si>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</si>
  <si>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</si>
  <si>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</si>
  <si>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</si>
  <si>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</si>
  <si>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</si>
  <si>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</si>
  <si>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</si>
  <si>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</si>
  <si>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</si>
  <si>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</si>
  <si>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</si>
  <si>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</si>
  <si>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</si>
  <si>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</si>
  <si>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</si>
  <si>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</si>
  <si>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</si>
  <si>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</si>
  <si>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</si>
  <si>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</si>
  <si>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</si>
  <si>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</si>
  <si>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</si>
  <si>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</si>
  <si>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</si>
  <si>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</si>
  <si>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</si>
  <si>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</si>
  <si>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</si>
  <si>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</si>
  <si>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</si>
  <si>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</si>
  <si>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</si>
  <si>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</si>
  <si>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</si>
  <si>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</si>
  <si>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</si>
  <si>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</si>
  <si>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</si>
  <si>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</si>
  <si>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</si>
  <si>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</si>
  <si>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</si>
  <si>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</si>
  <si>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</si>
  <si>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</si>
  <si>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</si>
  <si>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</si>
  <si>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</si>
  <si>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</si>
  <si>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</si>
  <si>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</si>
  <si>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</si>
  <si>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</si>
  <si>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</si>
  <si>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</si>
  <si>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</si>
  <si>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</si>
  <si>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</si>
  <si>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</si>
  <si>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</si>
  <si>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</si>
  <si>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</si>
  <si>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</si>
  <si>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</si>
  <si>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</si>
  <si>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</si>
  <si>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</si>
  <si>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</si>
  <si>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</si>
  <si>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</si>
  <si>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</si>
  <si>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</si>
  <si>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</si>
  <si>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</si>
  <si>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</si>
  <si>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</si>
  <si>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</si>
  <si>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</si>
  <si>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</si>
  <si>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</si>
  <si>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</si>
  <si>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</si>
  <si>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</si>
  <si>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</si>
  <si>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</si>
  <si>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</si>
  <si>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</si>
  <si>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</si>
  <si>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</si>
  <si>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</si>
  <si>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</si>
  <si>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</si>
  <si>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</si>
  <si>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</si>
  <si>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</si>
  <si>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</si>
  <si>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</si>
  <si>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</si>
  <si>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</si>
  <si>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</si>
  <si>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</si>
  <si>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</si>
  <si>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</si>
  <si>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</si>
  <si>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</si>
  <si>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</si>
  <si>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</si>
  <si>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</si>
  <si>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</si>
  <si>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</si>
  <si>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</si>
  <si>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</si>
  <si>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</si>
  <si>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</si>
  <si>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</si>
  <si>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</si>
  <si>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</si>
  <si>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</si>
  <si>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</si>
  <si>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</si>
  <si>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</si>
  <si>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</si>
  <si>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</si>
  <si>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</si>
  <si>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</si>
  <si>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</si>
  <si>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</si>
  <si>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</si>
  <si>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</si>
  <si>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</si>
  <si>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</si>
  <si>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</si>
  <si>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</si>
  <si>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</si>
  <si>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</si>
  <si>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</si>
  <si>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</si>
  <si>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</si>
  <si>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</si>
  <si>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</si>
  <si>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</si>
  <si>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</si>
  <si>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</si>
  <si>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</si>
  <si>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</si>
  <si>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</si>
  <si>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</si>
  <si>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</si>
  <si>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</si>
  <si>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</si>
  <si>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</si>
  <si>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</si>
  <si>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</si>
  <si>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</si>
  <si>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</si>
  <si>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</si>
  <si>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</si>
  <si>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</si>
  <si>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</si>
  <si>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</si>
  <si>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</si>
  <si>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</si>
  <si>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</si>
  <si>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</si>
  <si>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</si>
  <si>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</si>
  <si>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</si>
  <si>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</si>
  <si>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</si>
  <si>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</si>
  <si>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</si>
  <si>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</si>
  <si>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</si>
  <si>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</si>
  <si>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</si>
  <si>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</si>
  <si>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</si>
  <si>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</si>
  <si>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</si>
  <si>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</si>
  <si>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</si>
  <si>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</si>
  <si>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</si>
  <si>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</si>
  <si>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</si>
  <si>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</si>
  <si>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</si>
  <si>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</si>
  <si>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</si>
  <si>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</si>
  <si>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</si>
  <si>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</si>
  <si>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</si>
  <si>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</si>
  <si>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</si>
  <si>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</si>
  <si>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</si>
  <si>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</si>
  <si>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</si>
  <si>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</si>
  <si>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</si>
  <si>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</si>
  <si>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</si>
  <si>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</si>
  <si>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</si>
  <si>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</si>
  <si>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</si>
  <si>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</si>
  <si>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</si>
  <si>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</si>
  <si>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</si>
  <si>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</si>
  <si>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</si>
  <si>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</si>
  <si>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</si>
  <si>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</si>
  <si>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</si>
  <si>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</si>
  <si>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</si>
  <si>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</si>
  <si>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</si>
  <si>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</si>
  <si>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</si>
  <si>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</si>
  <si>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</si>
  <si>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</si>
  <si>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</si>
  <si>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</si>
  <si>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</si>
  <si>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</si>
  <si>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</si>
  <si>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</si>
  <si>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</si>
  <si>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</si>
  <si>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</si>
  <si>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</si>
  <si>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</si>
  <si>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</si>
  <si>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</si>
  <si>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</si>
  <si>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</si>
  <si>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</si>
  <si>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</si>
  <si>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</si>
  <si>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</si>
  <si>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</si>
  <si>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</si>
  <si>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</si>
  <si>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</si>
  <si>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</si>
  <si>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</si>
  <si>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</si>
  <si>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</si>
  <si>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</si>
  <si>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</si>
  <si>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</si>
  <si>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</si>
  <si>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</si>
  <si>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</si>
  <si>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</si>
  <si>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</si>
  <si>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</si>
  <si>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</si>
  <si>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</si>
  <si>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</si>
  <si>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</si>
  <si>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</si>
  <si>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</si>
  <si>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</si>
  <si>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</si>
  <si>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</si>
  <si>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</si>
  <si>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</si>
  <si>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</si>
  <si>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</si>
  <si>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</si>
  <si>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</si>
  <si>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</si>
  <si>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</si>
  <si>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</si>
  <si>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</si>
  <si>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</si>
  <si>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</si>
  <si>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</si>
  <si>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</si>
  <si>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</si>
  <si>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</si>
  <si>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</si>
  <si>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</si>
  <si>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</si>
  <si>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</si>
  <si>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</si>
  <si>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</si>
  <si>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</si>
  <si>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</si>
  <si>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</si>
  <si>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</si>
  <si>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</si>
  <si>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</si>
  <si>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</si>
  <si>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</si>
  <si>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</si>
  <si>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</si>
  <si>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</si>
  <si>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</si>
  <si>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</si>
  <si>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</si>
  <si>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</si>
  <si>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</si>
  <si>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</si>
  <si>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</si>
  <si>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</si>
  <si>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</si>
  <si>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</si>
  <si>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</si>
  <si>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</si>
  <si>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</si>
  <si>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</si>
  <si>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</si>
  <si>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</si>
  <si>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</si>
  <si>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</si>
  <si>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</si>
  <si>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</si>
  <si>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</si>
  <si>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</si>
  <si>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</si>
  <si>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</si>
  <si>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</si>
  <si>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</si>
  <si>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</si>
  <si>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</si>
  <si>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</si>
  <si>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</si>
  <si>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</si>
  <si>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</si>
  <si>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</si>
  <si>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</si>
  <si>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</si>
  <si>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</si>
  <si>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</si>
  <si>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</si>
  <si>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</si>
  <si>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</si>
  <si>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</si>
  <si>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</si>
  <si>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</si>
  <si>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</si>
  <si>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</si>
  <si>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</si>
  <si>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</si>
  <si>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</si>
  <si>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</si>
  <si>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</si>
  <si>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</si>
  <si>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</si>
  <si>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</si>
  <si>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</si>
  <si>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</si>
  <si>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</si>
  <si>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</si>
  <si>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</si>
  <si>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</si>
  <si>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</si>
  <si>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</si>
  <si>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</si>
  <si>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</si>
  <si>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</si>
  <si>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</si>
  <si>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</si>
  <si>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</si>
  <si>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</si>
  <si>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</si>
  <si>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</si>
  <si>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</si>
  <si>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</si>
  <si>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</si>
  <si>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</si>
  <si>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</si>
  <si>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</si>
  <si>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</si>
  <si>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</si>
  <si>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</si>
  <si>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</si>
  <si>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</si>
  <si>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</si>
  <si>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</si>
  <si>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</si>
  <si>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</si>
  <si>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</si>
  <si>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</si>
  <si>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</si>
  <si>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</si>
  <si>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</si>
  <si>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</si>
  <si>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</si>
  <si>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</si>
  <si>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</si>
  <si>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</si>
  <si>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</si>
  <si>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</si>
  <si>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</si>
  <si>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</si>
  <si>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</si>
  <si>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</si>
  <si>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</si>
  <si>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</si>
  <si>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</si>
  <si>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</si>
  <si>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</si>
  <si>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</si>
  <si>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</si>
  <si>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</si>
  <si>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</si>
  <si>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</si>
  <si>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</si>
  <si>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</si>
  <si>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</si>
  <si>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</si>
  <si>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</si>
  <si>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</si>
  <si>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</si>
  <si>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</si>
  <si>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</si>
  <si>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</si>
  <si>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</si>
  <si>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</si>
  <si>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</si>
  <si>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</si>
  <si>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</si>
  <si>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</si>
  <si>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</si>
  <si>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</si>
  <si>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</si>
  <si>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</si>
  <si>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</si>
  <si>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</si>
  <si>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</si>
  <si>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</si>
  <si>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</si>
  <si>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</si>
  <si>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</si>
  <si>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</si>
  <si>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</si>
  <si>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</si>
  <si>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</si>
  <si>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</si>
  <si>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</si>
  <si>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</si>
  <si>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</si>
  <si>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</si>
  <si>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</si>
  <si>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</si>
  <si>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</si>
  <si>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</si>
  <si>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</si>
  <si>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</si>
  <si>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</si>
  <si>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</si>
  <si>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</si>
  <si>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</si>
  <si>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</si>
  <si>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</si>
  <si>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</si>
  <si>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</si>
  <si>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</si>
  <si>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</si>
  <si>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</si>
  <si>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</si>
  <si>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</si>
  <si>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</si>
  <si>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</si>
  <si>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</si>
  <si>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</si>
  <si>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</si>
  <si>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</si>
  <si>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</si>
  <si>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</si>
  <si>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</si>
  <si>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</si>
  <si>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</si>
  <si>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</si>
  <si>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</si>
  <si>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</si>
  <si>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</si>
  <si>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</si>
  <si>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</si>
  <si>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</si>
  <si>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</si>
  <si>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</si>
  <si>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</si>
  <si>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</si>
  <si>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</si>
  <si>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</si>
  <si>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</si>
  <si>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</si>
  <si>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</si>
  <si>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</si>
  <si>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</si>
  <si>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</si>
  <si>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</si>
  <si>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</si>
  <si>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</si>
  <si>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</si>
  <si>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</si>
  <si>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</si>
  <si>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</si>
  <si>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</si>
  <si>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</si>
  <si>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</si>
  <si>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</si>
  <si>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</si>
  <si>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</si>
  <si>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</si>
  <si>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</si>
  <si>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</si>
  <si>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</si>
  <si>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</si>
  <si>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</si>
  <si>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</si>
  <si>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</si>
  <si>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</si>
  <si>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</si>
  <si>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</si>
  <si>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</si>
  <si>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</si>
  <si>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</si>
  <si>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</si>
  <si>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</si>
  <si>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</si>
  <si>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</si>
  <si>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</si>
  <si>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</si>
  <si>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</si>
  <si>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</si>
  <si>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</si>
  <si>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</si>
  <si>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</si>
  <si>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</si>
  <si>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</si>
  <si>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</si>
  <si>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</si>
  <si>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</si>
  <si>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</si>
  <si>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</si>
  <si>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</si>
  <si>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</si>
  <si>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</si>
  <si>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</si>
  <si>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</si>
  <si>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</si>
  <si>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</si>
  <si>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</si>
  <si>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</si>
  <si>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</si>
  <si>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</si>
  <si>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</si>
  <si>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</si>
  <si>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</si>
  <si>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</si>
  <si>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</si>
  <si>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</si>
  <si>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</si>
  <si>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</si>
  <si>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</si>
  <si>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</si>
  <si>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</si>
  <si>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</si>
  <si>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</si>
  <si>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</si>
  <si>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</si>
  <si>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</si>
  <si>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</si>
  <si>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</si>
  <si>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</si>
  <si>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</si>
  <si>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</si>
  <si>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</si>
  <si>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</si>
  <si>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</si>
  <si>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</si>
  <si>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</si>
  <si>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</si>
  <si>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</si>
  <si>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</si>
  <si>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</si>
  <si>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</si>
  <si>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</si>
  <si>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</si>
  <si>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</si>
  <si>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</si>
  <si>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</si>
  <si>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</si>
  <si>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</si>
  <si>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</si>
  <si>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</si>
  <si>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</si>
  <si>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</si>
  <si>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</si>
  <si>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</si>
  <si>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</si>
  <si>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</si>
  <si>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</si>
  <si>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</si>
  <si>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</si>
  <si>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</si>
  <si>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</si>
  <si>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</si>
  <si>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</si>
  <si>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</si>
  <si>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</si>
  <si>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</si>
  <si>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</si>
  <si>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</si>
  <si>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</si>
  <si>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</si>
  <si>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</si>
  <si>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</si>
  <si>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</si>
  <si>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</si>
  <si>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</si>
  <si>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</si>
  <si>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</si>
  <si>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</si>
  <si>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</si>
  <si>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</si>
  <si>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</si>
  <si>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</si>
  <si>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</si>
  <si>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</si>
  <si>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</si>
  <si>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</si>
  <si>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</si>
  <si>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</si>
  <si>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</si>
  <si>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</si>
  <si>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</si>
  <si>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</si>
  <si>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</si>
  <si>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</si>
  <si>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</si>
  <si>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</si>
  <si>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</si>
  <si>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</si>
  <si>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</si>
  <si>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</si>
  <si>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</si>
  <si>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</si>
  <si>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</si>
  <si>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</si>
  <si>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</si>
  <si>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</si>
  <si>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</si>
  <si>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</si>
  <si>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</si>
  <si>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</si>
  <si>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</si>
  <si>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</si>
  <si>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</si>
  <si>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</si>
  <si>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</si>
  <si>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</si>
  <si>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</si>
  <si>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</si>
  <si>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</si>
  <si>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</si>
  <si>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</si>
  <si>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</si>
  <si>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</si>
  <si>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</si>
  <si>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</si>
  <si>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</si>
  <si>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</si>
  <si>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</si>
  <si>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</si>
  <si>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</si>
  <si>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</si>
  <si>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</si>
  <si>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</si>
  <si>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</si>
  <si>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</si>
  <si>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</si>
  <si>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</si>
  <si>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</si>
  <si>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</si>
  <si>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</si>
  <si>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</si>
  <si>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</si>
  <si>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</si>
  <si>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</si>
  <si>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</si>
  <si>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</si>
  <si>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</si>
  <si>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</si>
  <si>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</si>
  <si>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</si>
  <si>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</si>
  <si>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</si>
  <si>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</si>
  <si>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</si>
  <si>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</si>
  <si>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</si>
  <si>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</si>
  <si>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</si>
  <si>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</si>
  <si>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</si>
  <si>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</si>
  <si>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</si>
  <si>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</si>
  <si>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</si>
  <si>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</si>
  <si>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</si>
  <si>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</si>
  <si>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</si>
  <si>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</si>
  <si>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</si>
  <si>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</si>
  <si>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</si>
  <si>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</si>
  <si>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</si>
  <si>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</si>
  <si>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</si>
  <si>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</si>
  <si>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</si>
  <si>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</si>
  <si>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</si>
  <si>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</si>
  <si>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</si>
  <si>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</si>
  <si>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</si>
  <si>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</si>
  <si>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</si>
  <si>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</si>
  <si>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</si>
  <si>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</si>
  <si>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</si>
  <si>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</si>
  <si>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</si>
  <si>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</si>
  <si>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</si>
  <si>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</si>
  <si>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</si>
  <si>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</si>
  <si>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</si>
  <si>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</si>
  <si>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</si>
  <si>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</si>
  <si>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</si>
  <si>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</si>
  <si>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</si>
  <si>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</si>
  <si>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</si>
  <si>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</si>
  <si>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</si>
  <si>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</si>
  <si>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</si>
  <si>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</si>
  <si>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</si>
  <si>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</si>
  <si>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</si>
  <si>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</si>
  <si>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</si>
  <si>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</si>
  <si>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</si>
  <si>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</si>
  <si>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</si>
  <si>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</si>
  <si>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</si>
  <si>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</si>
  <si>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</si>
  <si>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</si>
  <si>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</si>
  <si>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</si>
  <si>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</si>
  <si>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</si>
  <si>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</si>
  <si>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</si>
  <si>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</si>
  <si>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</si>
  <si>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</si>
  <si>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</si>
  <si>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</si>
  <si>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</si>
  <si>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</si>
  <si>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</si>
  <si>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</si>
  <si>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</si>
  <si>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</si>
  <si>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</si>
  <si>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</si>
  <si>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</si>
  <si>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</si>
  <si>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</si>
  <si>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</si>
  <si>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</si>
  <si>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</si>
  <si>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</si>
  <si>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</si>
  <si>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</si>
  <si>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</si>
  <si>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</si>
  <si>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</si>
  <si>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</si>
  <si>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</si>
  <si>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</si>
  <si>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</si>
  <si>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</si>
  <si>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</si>
  <si>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</si>
  <si>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</si>
  <si>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</si>
  <si>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</si>
  <si>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</si>
  <si>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</si>
  <si>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</si>
  <si>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</si>
  <si>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</si>
  <si>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</si>
  <si>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</si>
  <si>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</si>
  <si>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</si>
  <si>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</si>
  <si>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</si>
  <si>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</si>
  <si>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</si>
  <si>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</si>
  <si>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</si>
  <si>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</si>
  <si>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</si>
  <si>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</si>
  <si>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</si>
  <si>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</si>
  <si>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</si>
  <si>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</si>
  <si>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</si>
  <si>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</si>
  <si>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</si>
  <si>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</si>
  <si>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</si>
  <si>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</si>
  <si>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</si>
  <si>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</si>
  <si>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</si>
  <si>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</si>
  <si>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</si>
  <si>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</si>
  <si>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</si>
  <si>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</si>
  <si>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</si>
  <si>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</si>
  <si>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</si>
  <si>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</si>
  <si>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</si>
  <si>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</si>
  <si>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</si>
  <si>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</si>
  <si>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</si>
  <si>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</si>
  <si>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</si>
  <si>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</si>
  <si>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</si>
  <si>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</si>
  <si>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</si>
  <si>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</si>
  <si>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</si>
  <si>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</si>
  <si>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</si>
  <si>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</si>
  <si>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</si>
  <si>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</si>
  <si>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</si>
  <si>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</si>
  <si>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</si>
  <si>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</si>
  <si>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</si>
  <si>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</si>
  <si>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</si>
  <si>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</si>
  <si>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</si>
  <si>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</si>
  <si>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</si>
  <si>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</si>
  <si>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</si>
  <si>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</si>
  <si>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</si>
  <si>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</si>
  <si>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</si>
  <si>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</si>
  <si>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</si>
  <si>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</si>
  <si>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</si>
  <si>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</si>
  <si>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</si>
  <si>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</si>
  <si>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</si>
  <si>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</si>
  <si>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</si>
  <si>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</si>
  <si>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</si>
  <si>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</si>
  <si>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</si>
  <si>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</si>
  <si>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</si>
  <si>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</si>
  <si>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</si>
  <si>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</si>
  <si>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</si>
  <si>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</si>
  <si>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</si>
  <si>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</si>
  <si>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</si>
  <si>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</si>
  <si>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</si>
  <si>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</si>
  <si>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</si>
  <si>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</si>
  <si>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</si>
  <si>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</si>
  <si>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</si>
  <si>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</si>
  <si>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</si>
  <si>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</si>
  <si>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</si>
  <si>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</si>
  <si>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</si>
  <si>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</si>
  <si>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</si>
  <si>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</si>
  <si>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</si>
  <si>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</si>
  <si>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</si>
  <si>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</si>
  <si>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</si>
  <si>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</si>
  <si>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</si>
  <si>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</si>
  <si>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</si>
  <si>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</si>
  <si>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</si>
  <si>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</si>
  <si>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</si>
  <si>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</si>
  <si>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</si>
  <si>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</si>
  <si>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</si>
  <si>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</si>
  <si>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</si>
  <si>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</si>
  <si>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</si>
  <si>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</si>
  <si>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</si>
  <si>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</si>
  <si>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</si>
  <si>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</si>
  <si>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</si>
  <si>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</si>
  <si>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</si>
  <si>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</si>
  <si>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</si>
  <si>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</si>
  <si>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</si>
  <si>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</si>
  <si>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</si>
  <si>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</si>
  <si>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</si>
  <si>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</si>
  <si>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</si>
  <si>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</si>
  <si>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</si>
  <si>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</si>
  <si>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</si>
  <si>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</si>
  <si>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</si>
  <si>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</si>
  <si>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</si>
  <si>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</si>
  <si>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</si>
  <si>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</si>
  <si>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</si>
  <si>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</si>
  <si>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</si>
  <si>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</si>
  <si>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</si>
  <si>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</si>
  <si>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</si>
  <si>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</si>
  <si>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</si>
  <si>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</si>
  <si>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</si>
  <si>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</si>
  <si>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</si>
  <si>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</si>
  <si>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</si>
  <si>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</si>
  <si>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</si>
  <si>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</si>
  <si>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</si>
  <si>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</si>
  <si>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</si>
  <si>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</si>
  <si>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</si>
  <si>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</si>
  <si>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</si>
  <si>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</si>
  <si>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</si>
  <si>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</si>
  <si>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</si>
  <si>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</si>
  <si>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</si>
  <si>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</si>
  <si>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</si>
  <si>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</si>
  <si>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</si>
  <si>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</si>
  <si>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</si>
  <si>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</si>
  <si>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</si>
  <si>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</si>
  <si>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</si>
  <si>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</si>
  <si>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</si>
  <si>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</si>
  <si>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</si>
  <si>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</si>
  <si>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</si>
  <si>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</si>
  <si>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</si>
  <si>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</si>
  <si>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</si>
  <si>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</si>
  <si>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</si>
  <si>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</si>
  <si>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</si>
  <si>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</si>
  <si>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</si>
  <si>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</si>
  <si>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</si>
  <si>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</si>
  <si>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</si>
  <si>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</si>
  <si>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</si>
  <si>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</si>
  <si>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</si>
  <si>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</si>
  <si>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</si>
  <si>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</si>
  <si>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</si>
  <si>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</si>
  <si>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</si>
  <si>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</si>
  <si>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</si>
  <si>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</si>
  <si>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</si>
  <si>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</si>
  <si>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</si>
  <si>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</si>
  <si>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</si>
  <si>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</si>
  <si>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</si>
  <si>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</si>
  <si>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</si>
  <si>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</si>
  <si>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</si>
  <si>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</si>
  <si>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</si>
  <si>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</si>
  <si>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</si>
  <si>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</si>
  <si>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</si>
  <si>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</si>
  <si>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</si>
  <si>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</si>
  <si>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</si>
  <si>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</si>
  <si>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</si>
  <si>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</si>
  <si>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</si>
  <si>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</si>
  <si>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</si>
  <si>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</si>
  <si>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</si>
  <si>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</si>
  <si>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</si>
  <si>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</si>
  <si>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</si>
  <si>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</si>
  <si>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</si>
  <si>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</si>
  <si>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</si>
  <si>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</si>
  <si>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</si>
  <si>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</si>
  <si>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</si>
  <si>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</si>
  <si>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</si>
  <si>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</si>
  <si>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</si>
  <si>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</si>
  <si>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</si>
  <si>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</si>
  <si>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</si>
  <si>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</si>
  <si>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</si>
  <si>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</si>
  <si>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</si>
  <si>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</si>
  <si>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</si>
  <si>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</si>
  <si>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</si>
  <si>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</si>
  <si>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</si>
  <si>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</si>
  <si>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</si>
  <si>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</si>
  <si>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</si>
  <si>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</si>
  <si>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</si>
  <si>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</si>
  <si>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</si>
  <si>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</si>
  <si>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</si>
  <si>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</si>
  <si>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</si>
  <si>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</si>
  <si>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</si>
  <si>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</si>
  <si>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</si>
  <si>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</si>
  <si>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</si>
  <si>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</si>
  <si>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</si>
  <si>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</si>
  <si>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</si>
  <si>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</si>
  <si>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</si>
  <si>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</si>
  <si>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</si>
  <si>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</si>
  <si>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</si>
  <si>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</si>
  <si>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</si>
  <si>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</si>
  <si>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</si>
  <si>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</si>
  <si>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</si>
  <si>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</si>
  <si>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</si>
  <si>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</si>
  <si>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</si>
  <si>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</si>
  <si>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</si>
  <si>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</si>
  <si>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</si>
  <si>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</si>
  <si>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</si>
  <si>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</si>
  <si>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</si>
  <si>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</si>
  <si>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</si>
  <si>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</si>
  <si>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</si>
  <si>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</si>
  <si>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</si>
  <si>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</si>
  <si>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</si>
  <si>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</si>
  <si>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</si>
  <si>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</si>
  <si>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</si>
  <si>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</si>
  <si>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</si>
  <si>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</si>
  <si>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</si>
  <si>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</si>
  <si>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</si>
  <si>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</si>
  <si>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</si>
  <si>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</si>
  <si>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</si>
  <si>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</si>
  <si>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</si>
  <si>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</si>
  <si>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</si>
  <si>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</si>
  <si>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</si>
  <si>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</si>
  <si>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</si>
  <si>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</si>
  <si>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</si>
  <si>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</si>
  <si>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</si>
  <si>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</si>
  <si>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</si>
  <si>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</si>
  <si>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</si>
  <si>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</si>
  <si>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</si>
  <si>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</si>
  <si>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</si>
  <si>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</si>
  <si>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</si>
  <si>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</si>
  <si>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</si>
  <si>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</si>
  <si>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</si>
  <si>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</si>
  <si>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</si>
  <si>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</si>
  <si>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</si>
  <si>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</si>
  <si>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</si>
  <si>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</si>
  <si>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</si>
  <si>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</si>
  <si>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</si>
  <si>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</si>
  <si>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</si>
  <si>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</si>
  <si>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</si>
  <si>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</si>
  <si>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</si>
  <si>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</si>
  <si>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</si>
  <si>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</si>
  <si>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</si>
  <si>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</si>
  <si>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</si>
  <si>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</si>
  <si>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</si>
  <si>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</si>
  <si>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</si>
  <si>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</si>
  <si>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</si>
  <si>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</si>
  <si>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</si>
  <si>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</si>
  <si>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</si>
  <si>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</si>
  <si>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</si>
  <si>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</si>
  <si>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</si>
  <si>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</si>
  <si>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</si>
  <si>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</si>
  <si>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</si>
  <si>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</si>
  <si>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</si>
  <si>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</si>
  <si>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</si>
  <si>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</si>
  <si>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</si>
  <si>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</si>
  <si>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</si>
  <si>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</si>
  <si>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</si>
  <si>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</si>
  <si>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</si>
  <si>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</si>
  <si>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</si>
  <si>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</si>
  <si>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</si>
  <si>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</si>
  <si>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</si>
  <si>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</si>
  <si>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</si>
  <si>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</si>
  <si>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</si>
  <si>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</si>
  <si>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</si>
  <si>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</si>
  <si>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</si>
  <si>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</si>
  <si>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</si>
  <si>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</si>
  <si>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</si>
  <si>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</si>
  <si>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</si>
  <si>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</si>
  <si>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</si>
  <si>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</si>
  <si>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</si>
  <si>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</si>
  <si>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</si>
  <si>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</si>
  <si>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</si>
  <si>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</si>
  <si>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</si>
  <si>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</si>
  <si>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</si>
  <si>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</si>
  <si>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</si>
  <si>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</si>
  <si>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</si>
  <si>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</si>
  <si>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</si>
  <si>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</si>
  <si>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</si>
  <si>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</si>
  <si>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</si>
  <si>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</si>
  <si>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</si>
  <si>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</si>
  <si>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</si>
  <si>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</si>
  <si>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</si>
  <si>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</si>
  <si>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</si>
  <si>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</si>
  <si>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</si>
  <si>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</si>
  <si>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</si>
  <si>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</si>
  <si>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</si>
  <si>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</si>
  <si>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</si>
  <si>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</si>
  <si>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</si>
  <si>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</si>
  <si>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</si>
  <si>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</si>
  <si>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</si>
  <si>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</si>
  <si>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</si>
  <si>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</si>
  <si>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</si>
  <si>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</si>
  <si>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</si>
  <si>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</si>
  <si>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</si>
  <si>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</si>
  <si>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</si>
  <si>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</si>
  <si>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</si>
  <si>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</si>
  <si>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</si>
  <si>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</si>
  <si>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</si>
  <si>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</si>
  <si>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</si>
  <si>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</si>
  <si>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</si>
  <si>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</si>
  <si>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</si>
  <si>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</si>
  <si>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</si>
  <si>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</si>
  <si>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</si>
  <si>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</si>
  <si>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</si>
  <si>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</si>
  <si>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</si>
  <si>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</si>
  <si>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</si>
  <si>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</si>
  <si>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</si>
  <si>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</si>
  <si>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</si>
  <si>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</si>
  <si>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</si>
  <si>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</si>
  <si>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</si>
  <si>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</si>
  <si>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</si>
  <si>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</si>
  <si>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</si>
  <si>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</si>
  <si>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</si>
  <si>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</si>
  <si>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</si>
  <si>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</si>
  <si>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</si>
  <si>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</si>
  <si>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</si>
  <si>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</si>
  <si>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</si>
  <si>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</si>
  <si>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</si>
  <si>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</si>
  <si>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</si>
  <si>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</si>
  <si>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</si>
  <si>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</si>
  <si>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</si>
  <si>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</si>
  <si>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</si>
  <si>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</si>
  <si>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</si>
  <si>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</si>
  <si>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</si>
  <si>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</si>
  <si>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</si>
  <si>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</si>
  <si>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</si>
  <si>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</si>
  <si>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</si>
  <si>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</si>
  <si>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</si>
  <si>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</si>
  <si>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</si>
  <si>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</si>
  <si>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</si>
  <si>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</si>
  <si>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</si>
  <si>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</si>
  <si>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</si>
  <si>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</si>
  <si>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</si>
  <si>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</si>
  <si>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</si>
  <si>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</si>
  <si>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</si>
  <si>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</si>
  <si>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</si>
  <si>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</si>
  <si>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</si>
  <si>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</si>
  <si>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</si>
  <si>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</si>
  <si>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</si>
  <si>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</si>
  <si>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</si>
  <si>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</si>
  <si>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</si>
  <si>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</si>
  <si>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</si>
  <si>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</si>
  <si>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</si>
  <si>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</si>
  <si>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</si>
  <si>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</si>
  <si>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</si>
  <si>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</si>
  <si>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</si>
  <si>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</si>
  <si>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</si>
  <si>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</si>
  <si>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</si>
  <si>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</si>
  <si>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</si>
  <si>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</si>
  <si>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</si>
  <si>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</si>
  <si>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</si>
  <si>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</si>
  <si>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</si>
  <si>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</si>
  <si>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</si>
  <si>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</si>
  <si>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</si>
  <si>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</si>
  <si>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</si>
  <si>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</si>
  <si>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</si>
  <si>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</si>
  <si>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</si>
  <si>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</si>
  <si>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</si>
  <si>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</si>
  <si>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</si>
  <si>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</si>
  <si>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</si>
  <si>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</si>
  <si>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</si>
  <si>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</si>
  <si>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</si>
  <si>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</si>
  <si>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</si>
  <si>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</si>
  <si>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</si>
  <si>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</si>
  <si>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</si>
  <si>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</si>
  <si>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</si>
  <si>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</si>
  <si>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</si>
  <si>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</si>
  <si>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</si>
  <si>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</si>
  <si>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</si>
  <si>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</si>
  <si>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</si>
  <si>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</si>
  <si>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</si>
  <si>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</si>
  <si>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</si>
  <si>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</si>
  <si>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</si>
  <si>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</si>
  <si>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</si>
  <si>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</si>
  <si>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</si>
  <si>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</si>
  <si>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</si>
  <si>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</si>
  <si>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</si>
  <si>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</si>
  <si>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</si>
  <si>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</si>
  <si>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</si>
  <si>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</si>
  <si>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</si>
  <si>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</si>
  <si>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</si>
  <si>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</si>
  <si>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</si>
  <si>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</si>
  <si>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</si>
  <si>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</si>
  <si>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</si>
  <si>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</si>
  <si>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</si>
  <si>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</si>
  <si>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</si>
  <si>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</si>
  <si>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</si>
  <si>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</si>
  <si>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</si>
  <si>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</si>
  <si>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</si>
  <si>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</si>
  <si>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</si>
  <si>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</si>
  <si>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</si>
  <si>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</si>
  <si>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</si>
  <si>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</si>
  <si>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</si>
  <si>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</si>
  <si>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</si>
  <si>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</si>
  <si>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</si>
  <si>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</si>
  <si>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</si>
  <si>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</si>
  <si>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</si>
  <si>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</si>
  <si>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</si>
  <si>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</si>
  <si>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</si>
  <si>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</si>
  <si>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</si>
  <si>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</si>
  <si>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</si>
  <si>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</si>
  <si>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</si>
  <si>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</si>
  <si>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</si>
  <si>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</si>
  <si>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</si>
  <si>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</si>
  <si>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</si>
  <si>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</si>
  <si>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</si>
  <si>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</si>
  <si>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</si>
  <si>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</si>
  <si>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</si>
  <si>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</si>
  <si>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</si>
  <si>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</si>
  <si>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</si>
  <si>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</si>
  <si>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</si>
  <si>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</si>
  <si>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</si>
  <si>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</si>
  <si>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</si>
  <si>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</si>
  <si>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</si>
  <si>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</si>
  <si>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</si>
  <si>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</si>
  <si>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</si>
  <si>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</si>
  <si>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</si>
  <si>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</si>
  <si>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</si>
  <si>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</si>
  <si>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</si>
  <si>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</si>
  <si>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</si>
  <si>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</si>
  <si>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</si>
  <si>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</si>
  <si>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</si>
  <si>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</si>
  <si>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</si>
  <si>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</si>
  <si>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</si>
  <si>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</si>
  <si>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</si>
  <si>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</si>
  <si>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</si>
  <si>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</si>
  <si>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</si>
  <si>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</si>
  <si>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</si>
  <si>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</si>
  <si>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</si>
  <si>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</si>
  <si>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</si>
  <si>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</si>
  <si>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</si>
  <si>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</si>
  <si>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</si>
  <si>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</si>
  <si>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</si>
  <si>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</si>
  <si>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</si>
  <si>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</si>
  <si>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</si>
  <si>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</si>
  <si>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</si>
  <si>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</si>
  <si>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</si>
  <si>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</si>
  <si>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</si>
  <si>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</si>
  <si>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</si>
  <si>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</si>
  <si>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</si>
  <si>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</si>
  <si>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</si>
  <si>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</si>
  <si>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</si>
  <si>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</si>
  <si>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</si>
  <si>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</si>
  <si>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</si>
  <si>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</si>
  <si>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</si>
  <si>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</si>
  <si>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</si>
  <si>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</si>
  <si>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</si>
  <si>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</si>
  <si>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</si>
  <si>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</si>
  <si>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</si>
  <si>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</si>
  <si>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</si>
  <si>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</si>
  <si>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</si>
  <si>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</si>
  <si>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</si>
  <si>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</si>
  <si>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</si>
  <si>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</si>
  <si>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</si>
  <si>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</si>
  <si>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</si>
  <si>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</si>
  <si>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</si>
  <si>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</si>
  <si>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</si>
  <si>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</si>
  <si>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</si>
  <si>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</si>
  <si>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</si>
  <si>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</si>
  <si>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</si>
  <si>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</si>
  <si>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</si>
  <si>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</si>
  <si>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</si>
  <si>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</si>
  <si>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</si>
  <si>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</si>
  <si>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</si>
  <si>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</si>
  <si>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</si>
  <si>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</si>
  <si>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</si>
  <si>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</si>
  <si>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</si>
  <si>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</si>
  <si>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</si>
  <si>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</si>
  <si>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</si>
  <si>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</si>
  <si>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</si>
  <si>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</si>
  <si>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</si>
  <si>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</si>
  <si>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</si>
  <si>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</si>
  <si>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</si>
  <si>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</si>
  <si>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</si>
  <si>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</si>
  <si>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</si>
  <si>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</si>
  <si>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</si>
  <si>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</si>
  <si>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</si>
  <si>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</si>
  <si>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</si>
  <si>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</si>
  <si>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</si>
  <si>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</si>
  <si>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</si>
  <si>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</si>
  <si>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</si>
  <si>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</si>
  <si>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</si>
  <si>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</si>
  <si>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</si>
  <si>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</si>
  <si>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</si>
  <si>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</si>
  <si>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</si>
  <si>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</si>
  <si>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</si>
  <si>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</si>
  <si>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</si>
  <si>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</si>
  <si>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</si>
  <si>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</si>
  <si>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</si>
  <si>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</si>
  <si>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</si>
  <si>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</si>
  <si>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</si>
  <si>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</si>
  <si>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</si>
  <si>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</si>
  <si>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</si>
  <si>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</si>
  <si>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</si>
  <si>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</si>
  <si>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</si>
  <si>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</si>
  <si>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</si>
  <si>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</si>
  <si>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</si>
  <si>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</si>
  <si>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</si>
  <si>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</si>
  <si>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</si>
  <si>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</si>
  <si>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</si>
  <si>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</si>
  <si>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</si>
  <si>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</si>
  <si>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</si>
  <si>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</si>
  <si>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</si>
  <si>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</si>
  <si>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</si>
  <si>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</si>
  <si>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</si>
  <si>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</si>
  <si>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</si>
  <si>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</si>
  <si>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</si>
  <si>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</si>
  <si>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</si>
  <si>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</si>
  <si>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</si>
  <si>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</si>
  <si>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</si>
  <si>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</si>
  <si>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</si>
  <si>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</si>
  <si>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</si>
  <si>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</si>
  <si>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</si>
  <si>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</si>
  <si>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</si>
  <si>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</si>
  <si>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</si>
  <si>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</si>
  <si>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</si>
  <si>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</si>
  <si>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</si>
  <si>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</si>
  <si>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</si>
  <si>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</si>
  <si>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</si>
  <si>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</si>
  <si>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</si>
  <si>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</si>
  <si>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</si>
  <si>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</si>
  <si>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</si>
  <si>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</si>
  <si>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</si>
  <si>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</si>
  <si>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</si>
  <si>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</si>
  <si>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</si>
  <si>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</si>
  <si>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</si>
  <si>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</si>
  <si>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</si>
  <si>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</si>
  <si>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</si>
  <si>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</si>
  <si>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</si>
  <si>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</si>
  <si>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</si>
  <si>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</si>
  <si>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</si>
  <si>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</si>
  <si>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</si>
  <si>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</si>
  <si>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</si>
  <si>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</si>
  <si>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</si>
  <si>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</si>
  <si>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</si>
  <si>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</si>
  <si>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</si>
  <si>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</si>
  <si>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</si>
  <si>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</si>
  <si>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</si>
  <si>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</si>
  <si>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</si>
  <si>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</si>
  <si>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</si>
  <si>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</si>
  <si>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</si>
  <si>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</si>
  <si>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</si>
  <si>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</si>
  <si>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</si>
  <si>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</si>
  <si>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欧红伟</t>
  </si>
  <si>
    <t>梁津</t>
  </si>
  <si>
    <t>北京古北水镇旅游有限公司</t>
    <phoneticPr fontId="3" type="noConversion"/>
  </si>
  <si>
    <t>抵押</t>
  </si>
  <si>
    <t>房地产抵押价值</t>
  </si>
  <si>
    <t>已注销</t>
  </si>
  <si>
    <t>北京市</t>
  </si>
  <si>
    <t>企业</t>
  </si>
  <si>
    <t>密云县司马台村</t>
    <phoneticPr fontId="6" type="noConversion"/>
  </si>
  <si>
    <t>商业34.06年</t>
    <phoneticPr fontId="6" type="noConversion"/>
  </si>
  <si>
    <t>商业</t>
    <phoneticPr fontId="6" type="noConversion"/>
  </si>
  <si>
    <t>是</t>
  </si>
  <si>
    <t>商业项目</t>
  </si>
  <si>
    <t>旅游地产</t>
  </si>
  <si>
    <t>在建</t>
  </si>
  <si>
    <t>通路</t>
  </si>
  <si>
    <t>通电</t>
  </si>
  <si>
    <t>通讯</t>
  </si>
  <si>
    <t>通热</t>
  </si>
  <si>
    <t>Ⅻ-密1</t>
  </si>
  <si>
    <t>地上</t>
  </si>
  <si>
    <t>独立商业</t>
  </si>
  <si>
    <t>地下</t>
  </si>
  <si>
    <t>住宿餐饮</t>
    <phoneticPr fontId="3" type="noConversion"/>
  </si>
  <si>
    <t>土地证号</t>
    <phoneticPr fontId="3" type="noConversion"/>
  </si>
  <si>
    <t>工程规划证号</t>
    <phoneticPr fontId="3" type="noConversion"/>
  </si>
  <si>
    <t>施工证号</t>
    <phoneticPr fontId="3" type="noConversion"/>
  </si>
  <si>
    <t>坐落</t>
    <phoneticPr fontId="261" type="noConversion"/>
  </si>
  <si>
    <t>楼号</t>
    <phoneticPr fontId="261" type="noConversion"/>
  </si>
  <si>
    <t>规划用途</t>
    <phoneticPr fontId="3" type="noConversion"/>
  </si>
  <si>
    <t>总建筑面积(㎡)</t>
    <phoneticPr fontId="3" type="noConversion"/>
  </si>
  <si>
    <t>地上建筑面积(㎡)</t>
    <phoneticPr fontId="3" type="noConversion"/>
  </si>
  <si>
    <t>地下建筑面积(㎡)</t>
    <phoneticPr fontId="3" type="noConversion"/>
  </si>
  <si>
    <t>屋面附属用房建筑面积(㎡)</t>
    <phoneticPr fontId="261" type="noConversion"/>
  </si>
  <si>
    <t>土地使用权面积</t>
    <phoneticPr fontId="3" type="noConversion"/>
  </si>
  <si>
    <t>地上层数</t>
    <phoneticPr fontId="3" type="noConversion"/>
  </si>
  <si>
    <t>地下层数</t>
    <phoneticPr fontId="3" type="noConversion"/>
  </si>
  <si>
    <t>结构</t>
    <phoneticPr fontId="261" type="noConversion"/>
  </si>
  <si>
    <t>京密国用（2011出）第00075号</t>
    <phoneticPr fontId="3" type="noConversion"/>
  </si>
  <si>
    <t>2014规(密）建字0001号</t>
    <phoneticPr fontId="3" type="noConversion"/>
  </si>
  <si>
    <t>2014施(密）建字0045号</t>
    <phoneticPr fontId="3" type="noConversion"/>
  </si>
  <si>
    <t>四区</t>
    <phoneticPr fontId="261" type="noConversion"/>
  </si>
  <si>
    <t>1号</t>
    <phoneticPr fontId="261" type="noConversion"/>
  </si>
  <si>
    <t>古北大酒店-机房</t>
    <phoneticPr fontId="3" type="noConversion"/>
  </si>
  <si>
    <t>钢混</t>
    <phoneticPr fontId="261" type="noConversion"/>
  </si>
  <si>
    <t>2015施(密）建字0005号</t>
    <phoneticPr fontId="3" type="noConversion"/>
  </si>
  <si>
    <t>5号</t>
    <phoneticPr fontId="261" type="noConversion"/>
  </si>
  <si>
    <t>古北大酒店-星级酒店</t>
    <phoneticPr fontId="3" type="noConversion"/>
  </si>
  <si>
    <t>京密国用（2011出）第00074号</t>
    <phoneticPr fontId="261" type="noConversion"/>
  </si>
  <si>
    <t>2014规（密）建字0019号</t>
    <phoneticPr fontId="3" type="noConversion"/>
  </si>
  <si>
    <t>2014施（密）建字0037号</t>
    <phoneticPr fontId="3" type="noConversion"/>
  </si>
  <si>
    <t>五区</t>
    <phoneticPr fontId="261" type="noConversion"/>
  </si>
  <si>
    <t>酒店</t>
    <phoneticPr fontId="3" type="noConversion"/>
  </si>
  <si>
    <t>2015施（密）建字0004号</t>
    <phoneticPr fontId="3" type="noConversion"/>
  </si>
  <si>
    <t>3号</t>
    <phoneticPr fontId="261" type="noConversion"/>
  </si>
  <si>
    <t>2014施(密）建字0036号</t>
  </si>
  <si>
    <t>6号</t>
    <phoneticPr fontId="261" type="noConversion"/>
  </si>
  <si>
    <t>空调机房</t>
    <phoneticPr fontId="3" type="noConversion"/>
  </si>
  <si>
    <t>砖木</t>
    <phoneticPr fontId="261" type="noConversion"/>
  </si>
  <si>
    <t>7号</t>
    <phoneticPr fontId="261" type="noConversion"/>
  </si>
  <si>
    <t>景观民宿</t>
    <phoneticPr fontId="261" type="noConversion"/>
  </si>
  <si>
    <t>9号</t>
    <phoneticPr fontId="261" type="noConversion"/>
  </si>
  <si>
    <t>商铺</t>
    <phoneticPr fontId="261" type="noConversion"/>
  </si>
  <si>
    <t>10号</t>
    <phoneticPr fontId="261" type="noConversion"/>
  </si>
  <si>
    <t>13号</t>
    <phoneticPr fontId="261" type="noConversion"/>
  </si>
  <si>
    <t>14号</t>
    <phoneticPr fontId="261" type="noConversion"/>
  </si>
  <si>
    <t>16号</t>
    <phoneticPr fontId="261" type="noConversion"/>
  </si>
  <si>
    <t>17号</t>
  </si>
  <si>
    <t>八旗展馆</t>
    <phoneticPr fontId="261" type="noConversion"/>
  </si>
  <si>
    <t>——</t>
    <phoneticPr fontId="3" type="noConversion"/>
  </si>
  <si>
    <t>砖木</t>
    <phoneticPr fontId="261" type="noConversion"/>
  </si>
  <si>
    <t>五区</t>
    <phoneticPr fontId="261" type="noConversion"/>
  </si>
  <si>
    <t>22号</t>
    <phoneticPr fontId="261" type="noConversion"/>
  </si>
  <si>
    <t>景观民宿</t>
    <phoneticPr fontId="261" type="noConversion"/>
  </si>
  <si>
    <t>23号</t>
    <phoneticPr fontId="261" type="noConversion"/>
  </si>
  <si>
    <t>24号</t>
    <phoneticPr fontId="261" type="noConversion"/>
  </si>
  <si>
    <t>25号</t>
    <phoneticPr fontId="261" type="noConversion"/>
  </si>
  <si>
    <t>展厅</t>
    <phoneticPr fontId="3" type="noConversion"/>
  </si>
  <si>
    <t>26号</t>
  </si>
  <si>
    <t>展厅</t>
    <phoneticPr fontId="3" type="noConversion"/>
  </si>
  <si>
    <t>27号</t>
  </si>
  <si>
    <t>28号</t>
  </si>
  <si>
    <t>29号</t>
  </si>
  <si>
    <t>30号</t>
    <phoneticPr fontId="261" type="noConversion"/>
  </si>
  <si>
    <t>商铺</t>
    <phoneticPr fontId="3" type="noConversion"/>
  </si>
  <si>
    <t>31号</t>
  </si>
  <si>
    <t>35号</t>
    <phoneticPr fontId="261" type="noConversion"/>
  </si>
  <si>
    <t>36号</t>
    <phoneticPr fontId="261" type="noConversion"/>
  </si>
  <si>
    <t>2015施(密）建字0010号</t>
    <phoneticPr fontId="261" type="noConversion"/>
  </si>
  <si>
    <t>37号</t>
    <phoneticPr fontId="261" type="noConversion"/>
  </si>
  <si>
    <t>会议中心</t>
    <phoneticPr fontId="3" type="noConversion"/>
  </si>
  <si>
    <t>39号</t>
    <phoneticPr fontId="261" type="noConversion"/>
  </si>
  <si>
    <t>40号</t>
    <phoneticPr fontId="261" type="noConversion"/>
  </si>
  <si>
    <t>景观民宿</t>
    <phoneticPr fontId="3" type="noConversion"/>
  </si>
  <si>
    <t>43号</t>
    <phoneticPr fontId="261" type="noConversion"/>
  </si>
  <si>
    <t>44号</t>
    <phoneticPr fontId="261" type="noConversion"/>
  </si>
  <si>
    <t>45号</t>
    <phoneticPr fontId="261" type="noConversion"/>
  </si>
  <si>
    <t>46号</t>
    <phoneticPr fontId="261" type="noConversion"/>
  </si>
  <si>
    <t>钢混</t>
    <phoneticPr fontId="261" type="noConversion"/>
  </si>
  <si>
    <t>47号</t>
    <phoneticPr fontId="261" type="noConversion"/>
  </si>
  <si>
    <t>2015施（密）建字0004号</t>
    <phoneticPr fontId="3" type="noConversion"/>
  </si>
  <si>
    <t>48号</t>
    <phoneticPr fontId="261" type="noConversion"/>
  </si>
  <si>
    <t>商铺</t>
    <phoneticPr fontId="261" type="noConversion"/>
  </si>
  <si>
    <t>49号</t>
    <phoneticPr fontId="261" type="noConversion"/>
  </si>
  <si>
    <t>51号</t>
    <phoneticPr fontId="261" type="noConversion"/>
  </si>
  <si>
    <t>休息室</t>
    <phoneticPr fontId="3" type="noConversion"/>
  </si>
  <si>
    <t>京密国用（2011出）第00056号</t>
    <phoneticPr fontId="261" type="noConversion"/>
  </si>
  <si>
    <t>2013规(密）建字0067号</t>
    <phoneticPr fontId="3" type="noConversion"/>
  </si>
  <si>
    <t>2014施(密）建字0036号</t>
    <phoneticPr fontId="3" type="noConversion"/>
  </si>
  <si>
    <t>六区</t>
    <phoneticPr fontId="261" type="noConversion"/>
  </si>
  <si>
    <t>1号</t>
    <phoneticPr fontId="261" type="noConversion"/>
  </si>
  <si>
    <t>山顶餐厅</t>
    <phoneticPr fontId="3" type="noConversion"/>
  </si>
  <si>
    <t>2号</t>
    <phoneticPr fontId="261" type="noConversion"/>
  </si>
  <si>
    <t>酒店客房</t>
    <phoneticPr fontId="3" type="noConversion"/>
  </si>
  <si>
    <t>3号</t>
    <phoneticPr fontId="261" type="noConversion"/>
  </si>
  <si>
    <t>接待大厅</t>
    <phoneticPr fontId="3" type="noConversion"/>
  </si>
  <si>
    <t>六区</t>
    <phoneticPr fontId="261" type="noConversion"/>
  </si>
  <si>
    <t>4号</t>
    <phoneticPr fontId="261" type="noConversion"/>
  </si>
  <si>
    <t>酒店机房</t>
    <phoneticPr fontId="3" type="noConversion"/>
  </si>
  <si>
    <t>京密国用（2011出）第00060号</t>
    <phoneticPr fontId="261" type="noConversion"/>
  </si>
  <si>
    <t>2013规(密）建字0071号</t>
    <phoneticPr fontId="3" type="noConversion"/>
  </si>
  <si>
    <t>温泉SPA</t>
    <phoneticPr fontId="3" type="noConversion"/>
  </si>
  <si>
    <t>山顶客房</t>
    <phoneticPr fontId="3" type="noConversion"/>
  </si>
  <si>
    <t>户外剧场</t>
    <phoneticPr fontId="3" type="noConversion"/>
  </si>
  <si>
    <t>京密国用（2011出）第00067号</t>
    <phoneticPr fontId="261" type="noConversion"/>
  </si>
  <si>
    <t>2013规（密）建字0064号</t>
    <phoneticPr fontId="3" type="noConversion"/>
  </si>
  <si>
    <t>2014施（密）建字0035号</t>
  </si>
  <si>
    <t>七区</t>
    <phoneticPr fontId="261" type="noConversion"/>
  </si>
  <si>
    <t>民居</t>
    <phoneticPr fontId="3" type="noConversion"/>
  </si>
  <si>
    <t>2号</t>
  </si>
  <si>
    <t>3号</t>
  </si>
  <si>
    <t>梨园客栈</t>
    <phoneticPr fontId="3" type="noConversion"/>
  </si>
  <si>
    <t>老戏台附房</t>
    <phoneticPr fontId="3" type="noConversion"/>
  </si>
  <si>
    <t>枣儿书场</t>
    <phoneticPr fontId="3" type="noConversion"/>
  </si>
  <si>
    <t>老戏台</t>
    <phoneticPr fontId="3" type="noConversion"/>
  </si>
  <si>
    <t>8号</t>
    <phoneticPr fontId="261" type="noConversion"/>
  </si>
  <si>
    <t>大戏楼附属房二</t>
    <phoneticPr fontId="3" type="noConversion"/>
  </si>
  <si>
    <t>设备机房</t>
    <phoneticPr fontId="3" type="noConversion"/>
  </si>
  <si>
    <t>11号</t>
    <phoneticPr fontId="261" type="noConversion"/>
  </si>
  <si>
    <t>七区</t>
    <phoneticPr fontId="261" type="noConversion"/>
  </si>
  <si>
    <t>12号</t>
    <phoneticPr fontId="261" type="noConversion"/>
  </si>
  <si>
    <t>大戏楼附属房一</t>
    <phoneticPr fontId="3" type="noConversion"/>
  </si>
  <si>
    <t>大戏楼</t>
    <phoneticPr fontId="3" type="noConversion"/>
  </si>
  <si>
    <t>15号</t>
    <phoneticPr fontId="261" type="noConversion"/>
  </si>
  <si>
    <t>剧院附房</t>
    <phoneticPr fontId="3" type="noConversion"/>
  </si>
  <si>
    <t>17号</t>
    <phoneticPr fontId="261" type="noConversion"/>
  </si>
  <si>
    <t>剧院</t>
    <phoneticPr fontId="3" type="noConversion"/>
  </si>
  <si>
    <t>18号</t>
    <phoneticPr fontId="261" type="noConversion"/>
  </si>
  <si>
    <t>公共厕所</t>
    <phoneticPr fontId="3" type="noConversion"/>
  </si>
  <si>
    <t>19号</t>
    <phoneticPr fontId="261" type="noConversion"/>
  </si>
  <si>
    <t>20号</t>
    <phoneticPr fontId="261" type="noConversion"/>
  </si>
  <si>
    <t>21号</t>
    <phoneticPr fontId="261" type="noConversion"/>
  </si>
  <si>
    <t>22号</t>
    <phoneticPr fontId="261" type="noConversion"/>
  </si>
  <si>
    <t>景观城楼</t>
    <phoneticPr fontId="3" type="noConversion"/>
  </si>
  <si>
    <t>25号</t>
    <phoneticPr fontId="261" type="noConversion"/>
  </si>
  <si>
    <t>景观民居</t>
    <phoneticPr fontId="3" type="noConversion"/>
  </si>
  <si>
    <t>26号</t>
    <phoneticPr fontId="261" type="noConversion"/>
  </si>
  <si>
    <t>——</t>
    <phoneticPr fontId="261" type="noConversion"/>
  </si>
  <si>
    <t>27号</t>
    <phoneticPr fontId="261" type="noConversion"/>
  </si>
  <si>
    <t>京密国用（2011出）第00072号</t>
    <phoneticPr fontId="261" type="noConversion"/>
  </si>
  <si>
    <t>2013规（密）建字0070号</t>
    <phoneticPr fontId="3" type="noConversion"/>
  </si>
  <si>
    <t>八区</t>
    <phoneticPr fontId="261" type="noConversion"/>
  </si>
  <si>
    <t>2号</t>
    <phoneticPr fontId="261" type="noConversion"/>
  </si>
  <si>
    <t>卫生间</t>
    <phoneticPr fontId="3" type="noConversion"/>
  </si>
  <si>
    <t>器材库</t>
    <phoneticPr fontId="3" type="noConversion"/>
  </si>
  <si>
    <t>12号</t>
    <phoneticPr fontId="261" type="noConversion"/>
  </si>
  <si>
    <t>公共厕所</t>
    <phoneticPr fontId="261" type="noConversion"/>
  </si>
  <si>
    <t>八区</t>
    <phoneticPr fontId="261" type="noConversion"/>
  </si>
  <si>
    <t>18号</t>
    <phoneticPr fontId="261" type="noConversion"/>
  </si>
  <si>
    <t>辅房</t>
    <phoneticPr fontId="3" type="noConversion"/>
  </si>
  <si>
    <t>店铺</t>
    <phoneticPr fontId="3" type="noConversion"/>
  </si>
  <si>
    <t>20号</t>
    <phoneticPr fontId="261" type="noConversion"/>
  </si>
  <si>
    <t>21号</t>
    <phoneticPr fontId="261" type="noConversion"/>
  </si>
  <si>
    <t>住宿用房</t>
    <phoneticPr fontId="3" type="noConversion"/>
  </si>
  <si>
    <t>23号</t>
    <phoneticPr fontId="261" type="noConversion"/>
  </si>
  <si>
    <t>民居</t>
    <phoneticPr fontId="3" type="noConversion"/>
  </si>
  <si>
    <t>24号</t>
    <phoneticPr fontId="261" type="noConversion"/>
  </si>
  <si>
    <t>管理用房</t>
    <phoneticPr fontId="3" type="noConversion"/>
  </si>
  <si>
    <t>商铺</t>
    <phoneticPr fontId="3" type="noConversion"/>
  </si>
  <si>
    <t>26号</t>
    <phoneticPr fontId="261" type="noConversion"/>
  </si>
  <si>
    <t>27号</t>
    <phoneticPr fontId="261" type="noConversion"/>
  </si>
  <si>
    <t>28号</t>
    <phoneticPr fontId="261" type="noConversion"/>
  </si>
  <si>
    <t>29号</t>
    <phoneticPr fontId="261" type="noConversion"/>
  </si>
  <si>
    <t>厨卫</t>
    <phoneticPr fontId="3" type="noConversion"/>
  </si>
  <si>
    <t>30号</t>
    <phoneticPr fontId="261" type="noConversion"/>
  </si>
  <si>
    <t>店铺</t>
    <phoneticPr fontId="3" type="noConversion"/>
  </si>
  <si>
    <t>31号</t>
    <phoneticPr fontId="261" type="noConversion"/>
  </si>
  <si>
    <t>32号</t>
    <phoneticPr fontId="261" type="noConversion"/>
  </si>
  <si>
    <t>33号</t>
    <phoneticPr fontId="261" type="noConversion"/>
  </si>
  <si>
    <t>34号</t>
    <phoneticPr fontId="261" type="noConversion"/>
  </si>
  <si>
    <t>35号</t>
    <phoneticPr fontId="261" type="noConversion"/>
  </si>
  <si>
    <t>展厅</t>
    <phoneticPr fontId="261" type="noConversion"/>
  </si>
  <si>
    <t>正厅</t>
    <phoneticPr fontId="3" type="noConversion"/>
  </si>
  <si>
    <t>38号</t>
    <phoneticPr fontId="261" type="noConversion"/>
  </si>
  <si>
    <t>厕所</t>
    <phoneticPr fontId="3" type="noConversion"/>
  </si>
  <si>
    <t>39号</t>
    <phoneticPr fontId="261" type="noConversion"/>
  </si>
  <si>
    <t>店铺</t>
    <phoneticPr fontId="261" type="noConversion"/>
  </si>
  <si>
    <t>40号</t>
    <phoneticPr fontId="261" type="noConversion"/>
  </si>
  <si>
    <t>41号</t>
    <phoneticPr fontId="261" type="noConversion"/>
  </si>
  <si>
    <t>景观民居</t>
    <phoneticPr fontId="3" type="noConversion"/>
  </si>
  <si>
    <t>42号</t>
  </si>
  <si>
    <t>老戏台</t>
    <phoneticPr fontId="3" type="noConversion"/>
  </si>
  <si>
    <t>43号</t>
    <phoneticPr fontId="261" type="noConversion"/>
  </si>
  <si>
    <t>前厅</t>
    <phoneticPr fontId="3" type="noConversion"/>
  </si>
  <si>
    <t>44号</t>
  </si>
  <si>
    <t>西厢房</t>
    <phoneticPr fontId="3" type="noConversion"/>
  </si>
  <si>
    <t>45号</t>
    <phoneticPr fontId="261" type="noConversion"/>
  </si>
  <si>
    <t>东厢房</t>
    <phoneticPr fontId="3" type="noConversion"/>
  </si>
  <si>
    <t>46号</t>
    <phoneticPr fontId="261" type="noConversion"/>
  </si>
  <si>
    <t>书院祭堂及耳房</t>
    <phoneticPr fontId="3" type="noConversion"/>
  </si>
  <si>
    <t>二进院</t>
    <phoneticPr fontId="3" type="noConversion"/>
  </si>
  <si>
    <t>一进院</t>
    <phoneticPr fontId="3" type="noConversion"/>
  </si>
  <si>
    <t>50号</t>
    <phoneticPr fontId="261" type="noConversion"/>
  </si>
  <si>
    <t>西庑房</t>
    <phoneticPr fontId="3" type="noConversion"/>
  </si>
  <si>
    <t>51号</t>
  </si>
  <si>
    <t>52号</t>
    <phoneticPr fontId="261" type="noConversion"/>
  </si>
  <si>
    <t>三进院</t>
    <phoneticPr fontId="3" type="noConversion"/>
  </si>
  <si>
    <t>53号</t>
    <phoneticPr fontId="261" type="noConversion"/>
  </si>
  <si>
    <t>水榭</t>
    <phoneticPr fontId="3" type="noConversion"/>
  </si>
  <si>
    <t>54号</t>
    <phoneticPr fontId="261" type="noConversion"/>
  </si>
  <si>
    <t>连廊</t>
    <phoneticPr fontId="3" type="noConversion"/>
  </si>
  <si>
    <t>55号</t>
    <phoneticPr fontId="261" type="noConversion"/>
  </si>
  <si>
    <t>讲堂及耳房</t>
    <phoneticPr fontId="3" type="noConversion"/>
  </si>
  <si>
    <t>56号</t>
    <phoneticPr fontId="261" type="noConversion"/>
  </si>
  <si>
    <t>倒座房</t>
    <phoneticPr fontId="3" type="noConversion"/>
  </si>
  <si>
    <t>57号</t>
    <phoneticPr fontId="261" type="noConversion"/>
  </si>
  <si>
    <t>58号</t>
    <phoneticPr fontId="261" type="noConversion"/>
  </si>
  <si>
    <t>金柱门附房</t>
    <phoneticPr fontId="3" type="noConversion"/>
  </si>
  <si>
    <t>59号</t>
    <phoneticPr fontId="261" type="noConversion"/>
  </si>
  <si>
    <t>60号</t>
    <phoneticPr fontId="261" type="noConversion"/>
  </si>
  <si>
    <t>61号</t>
    <phoneticPr fontId="261" type="noConversion"/>
  </si>
  <si>
    <t>咖啡厅</t>
    <phoneticPr fontId="3" type="noConversion"/>
  </si>
  <si>
    <t>62号</t>
    <phoneticPr fontId="261" type="noConversion"/>
  </si>
  <si>
    <t>民居</t>
    <phoneticPr fontId="261" type="noConversion"/>
  </si>
  <si>
    <t>63号</t>
    <phoneticPr fontId="261" type="noConversion"/>
  </si>
  <si>
    <t>64号</t>
    <phoneticPr fontId="261" type="noConversion"/>
  </si>
  <si>
    <t>65号</t>
    <phoneticPr fontId="261" type="noConversion"/>
  </si>
  <si>
    <t>公共厕所</t>
    <phoneticPr fontId="3" type="noConversion"/>
  </si>
  <si>
    <t>66号</t>
    <phoneticPr fontId="261" type="noConversion"/>
  </si>
  <si>
    <t>机房</t>
    <phoneticPr fontId="3" type="noConversion"/>
  </si>
  <si>
    <t>67号</t>
    <phoneticPr fontId="261" type="noConversion"/>
  </si>
  <si>
    <t>68号</t>
    <phoneticPr fontId="261" type="noConversion"/>
  </si>
  <si>
    <t>69号</t>
    <phoneticPr fontId="261" type="noConversion"/>
  </si>
  <si>
    <t>70号</t>
    <phoneticPr fontId="261" type="noConversion"/>
  </si>
  <si>
    <t>京密国用（2011出）第00062号</t>
    <phoneticPr fontId="261" type="noConversion"/>
  </si>
  <si>
    <t>2013规（密）建字0066号</t>
    <phoneticPr fontId="3" type="noConversion"/>
  </si>
  <si>
    <t>九区</t>
    <phoneticPr fontId="261" type="noConversion"/>
  </si>
  <si>
    <t>景观居民</t>
    <phoneticPr fontId="261" type="noConversion"/>
  </si>
  <si>
    <t>景观居民</t>
    <phoneticPr fontId="3" type="noConversion"/>
  </si>
  <si>
    <t>4号</t>
    <phoneticPr fontId="261" type="noConversion"/>
  </si>
  <si>
    <t>九区</t>
    <phoneticPr fontId="261" type="noConversion"/>
  </si>
  <si>
    <t>景观居民</t>
    <phoneticPr fontId="261" type="noConversion"/>
  </si>
  <si>
    <t>四合院</t>
    <phoneticPr fontId="3" type="noConversion"/>
  </si>
  <si>
    <t>2014施（密）建字0037号</t>
    <phoneticPr fontId="3" type="noConversion"/>
  </si>
  <si>
    <t>7号</t>
    <phoneticPr fontId="261" type="noConversion"/>
  </si>
  <si>
    <t>酒店</t>
    <phoneticPr fontId="3" type="noConversion"/>
  </si>
  <si>
    <t>京密国用（2011出）第00055号</t>
    <phoneticPr fontId="261" type="noConversion"/>
  </si>
  <si>
    <t>2013规（密）建字0069号</t>
    <phoneticPr fontId="3" type="noConversion"/>
  </si>
  <si>
    <t>2014施（密）建字0044号</t>
    <phoneticPr fontId="3" type="noConversion"/>
  </si>
  <si>
    <t>十区</t>
    <phoneticPr fontId="261" type="noConversion"/>
  </si>
  <si>
    <t>5号</t>
    <phoneticPr fontId="261" type="noConversion"/>
  </si>
  <si>
    <t>6号</t>
    <phoneticPr fontId="261" type="noConversion"/>
  </si>
  <si>
    <t>7号</t>
  </si>
  <si>
    <t>8号</t>
  </si>
  <si>
    <t>9号</t>
  </si>
  <si>
    <t>10号</t>
  </si>
  <si>
    <t>11号</t>
  </si>
  <si>
    <t>会所</t>
    <phoneticPr fontId="3" type="noConversion"/>
  </si>
  <si>
    <t>京密国用（2011出）第00068号</t>
    <phoneticPr fontId="261" type="noConversion"/>
  </si>
  <si>
    <t>2013规（密）建字0073号</t>
    <phoneticPr fontId="3" type="noConversion"/>
  </si>
  <si>
    <t>2014施（密）建字0038号</t>
    <phoneticPr fontId="3" type="noConversion"/>
  </si>
  <si>
    <t>十一区</t>
    <phoneticPr fontId="261" type="noConversion"/>
  </si>
  <si>
    <t>十一区</t>
    <phoneticPr fontId="261" type="noConversion"/>
  </si>
  <si>
    <t>8号</t>
    <phoneticPr fontId="261" type="noConversion"/>
  </si>
  <si>
    <t>9号</t>
    <phoneticPr fontId="261" type="noConversion"/>
  </si>
  <si>
    <t>10号</t>
    <phoneticPr fontId="261" type="noConversion"/>
  </si>
  <si>
    <t>13号</t>
    <phoneticPr fontId="261" type="noConversion"/>
  </si>
  <si>
    <t>展厅</t>
    <phoneticPr fontId="261" type="noConversion"/>
  </si>
  <si>
    <t>14号</t>
    <phoneticPr fontId="261" type="noConversion"/>
  </si>
  <si>
    <t>2014施(密）建字0039号</t>
    <phoneticPr fontId="3" type="noConversion"/>
  </si>
  <si>
    <t>15号</t>
    <phoneticPr fontId="261" type="noConversion"/>
  </si>
  <si>
    <t>附房</t>
    <phoneticPr fontId="3" type="noConversion"/>
  </si>
  <si>
    <t>16号</t>
    <phoneticPr fontId="261" type="noConversion"/>
  </si>
  <si>
    <t>客房</t>
    <phoneticPr fontId="3" type="noConversion"/>
  </si>
  <si>
    <t>2014施(密）建字0040号</t>
    <phoneticPr fontId="3" type="noConversion"/>
  </si>
  <si>
    <t>17号</t>
    <phoneticPr fontId="261" type="noConversion"/>
  </si>
  <si>
    <t>19号</t>
  </si>
  <si>
    <t>22号</t>
  </si>
  <si>
    <t>23号</t>
  </si>
  <si>
    <t>25号</t>
  </si>
  <si>
    <t>30号</t>
  </si>
  <si>
    <t>32号</t>
  </si>
  <si>
    <t>33号</t>
  </si>
  <si>
    <t>34号</t>
  </si>
  <si>
    <t>35号</t>
  </si>
  <si>
    <t>36号</t>
  </si>
  <si>
    <t>37号</t>
  </si>
  <si>
    <t>公卫</t>
    <phoneticPr fontId="3" type="noConversion"/>
  </si>
  <si>
    <t>42号</t>
    <phoneticPr fontId="261" type="noConversion"/>
  </si>
  <si>
    <t>47号</t>
  </si>
  <si>
    <t>48号</t>
  </si>
  <si>
    <t>49号</t>
  </si>
  <si>
    <t>50号</t>
    <phoneticPr fontId="261" type="noConversion"/>
  </si>
  <si>
    <t>51号</t>
    <phoneticPr fontId="261" type="noConversion"/>
  </si>
  <si>
    <t>2014施(密）建字0039号</t>
    <phoneticPr fontId="3" type="noConversion"/>
  </si>
  <si>
    <t>52号</t>
    <phoneticPr fontId="261" type="noConversion"/>
  </si>
  <si>
    <t>2014施(密）建字0040号</t>
    <phoneticPr fontId="3" type="noConversion"/>
  </si>
  <si>
    <t>53号</t>
    <phoneticPr fontId="261" type="noConversion"/>
  </si>
  <si>
    <t>56号</t>
    <phoneticPr fontId="261" type="noConversion"/>
  </si>
  <si>
    <t>58号</t>
    <phoneticPr fontId="261" type="noConversion"/>
  </si>
  <si>
    <t>60号</t>
  </si>
  <si>
    <t>61号</t>
  </si>
  <si>
    <t>62号</t>
  </si>
  <si>
    <t>63号</t>
  </si>
  <si>
    <t>64号</t>
  </si>
  <si>
    <t>66号</t>
  </si>
  <si>
    <t>67号</t>
  </si>
  <si>
    <t>69号</t>
  </si>
  <si>
    <t>71号</t>
    <phoneticPr fontId="261" type="noConversion"/>
  </si>
  <si>
    <t>过街楼</t>
    <phoneticPr fontId="3" type="noConversion"/>
  </si>
  <si>
    <t>72号</t>
    <phoneticPr fontId="261" type="noConversion"/>
  </si>
  <si>
    <t>73号</t>
    <phoneticPr fontId="261" type="noConversion"/>
  </si>
  <si>
    <t>74号</t>
    <phoneticPr fontId="261" type="noConversion"/>
  </si>
  <si>
    <t>75号</t>
    <phoneticPr fontId="261" type="noConversion"/>
  </si>
  <si>
    <t>76号</t>
    <phoneticPr fontId="261" type="noConversion"/>
  </si>
  <si>
    <t>77号</t>
    <phoneticPr fontId="261" type="noConversion"/>
  </si>
  <si>
    <t>78号</t>
    <phoneticPr fontId="261" type="noConversion"/>
  </si>
  <si>
    <t>79号</t>
  </si>
  <si>
    <t>80号</t>
    <phoneticPr fontId="261" type="noConversion"/>
  </si>
  <si>
    <t>81号</t>
    <phoneticPr fontId="261" type="noConversion"/>
  </si>
  <si>
    <t>82号</t>
    <phoneticPr fontId="261" type="noConversion"/>
  </si>
  <si>
    <t>商铺及长廊</t>
    <phoneticPr fontId="3" type="noConversion"/>
  </si>
  <si>
    <t>83号</t>
  </si>
  <si>
    <t>84号</t>
    <phoneticPr fontId="261" type="noConversion"/>
  </si>
  <si>
    <t>85号</t>
    <phoneticPr fontId="261" type="noConversion"/>
  </si>
  <si>
    <t>86号</t>
  </si>
  <si>
    <t>87号</t>
  </si>
  <si>
    <t>88号</t>
  </si>
  <si>
    <t>89号</t>
  </si>
  <si>
    <t>90号</t>
    <phoneticPr fontId="261" type="noConversion"/>
  </si>
  <si>
    <t>91号</t>
  </si>
  <si>
    <t>92号</t>
  </si>
  <si>
    <t>93号</t>
    <phoneticPr fontId="261" type="noConversion"/>
  </si>
  <si>
    <t>餐厅</t>
    <phoneticPr fontId="3" type="noConversion"/>
  </si>
  <si>
    <t>94号</t>
    <phoneticPr fontId="261" type="noConversion"/>
  </si>
  <si>
    <t>95号</t>
  </si>
  <si>
    <t>五星公厕</t>
    <phoneticPr fontId="3" type="noConversion"/>
  </si>
  <si>
    <t>96号</t>
    <phoneticPr fontId="261" type="noConversion"/>
  </si>
  <si>
    <t>97号</t>
    <phoneticPr fontId="261" type="noConversion"/>
  </si>
  <si>
    <t>98号</t>
  </si>
  <si>
    <t>99号</t>
    <phoneticPr fontId="261" type="noConversion"/>
  </si>
  <si>
    <t>100号</t>
    <phoneticPr fontId="261" type="noConversion"/>
  </si>
  <si>
    <t>101号</t>
    <phoneticPr fontId="261" type="noConversion"/>
  </si>
  <si>
    <t>102号</t>
  </si>
  <si>
    <t>103号</t>
  </si>
  <si>
    <t>104号</t>
  </si>
  <si>
    <t>105号</t>
  </si>
  <si>
    <t>商铺及长廊</t>
    <phoneticPr fontId="3" type="noConversion"/>
  </si>
  <si>
    <t>106号</t>
  </si>
  <si>
    <t>107号</t>
  </si>
  <si>
    <t>108号</t>
  </si>
  <si>
    <t>109号</t>
    <phoneticPr fontId="261" type="noConversion"/>
  </si>
  <si>
    <t>110号</t>
    <phoneticPr fontId="261" type="noConversion"/>
  </si>
  <si>
    <t>111号</t>
  </si>
  <si>
    <t>112号</t>
  </si>
  <si>
    <t>113号</t>
    <phoneticPr fontId="261" type="noConversion"/>
  </si>
  <si>
    <t>114号</t>
    <phoneticPr fontId="261" type="noConversion"/>
  </si>
  <si>
    <t>115号</t>
  </si>
  <si>
    <t>116号</t>
    <phoneticPr fontId="261" type="noConversion"/>
  </si>
  <si>
    <t>工具房</t>
    <phoneticPr fontId="3" type="noConversion"/>
  </si>
  <si>
    <t>117号</t>
    <phoneticPr fontId="261" type="noConversion"/>
  </si>
  <si>
    <t>118号</t>
    <phoneticPr fontId="261" type="noConversion"/>
  </si>
  <si>
    <t>119号</t>
  </si>
  <si>
    <t>2014施（密）建字0038号</t>
    <phoneticPr fontId="3" type="noConversion"/>
  </si>
  <si>
    <t>120号</t>
    <phoneticPr fontId="261" type="noConversion"/>
  </si>
  <si>
    <t>121号</t>
    <phoneticPr fontId="261" type="noConversion"/>
  </si>
  <si>
    <t>122号</t>
    <phoneticPr fontId="261" type="noConversion"/>
  </si>
  <si>
    <t>123号</t>
    <phoneticPr fontId="261" type="noConversion"/>
  </si>
  <si>
    <t>124号</t>
  </si>
  <si>
    <t>125号</t>
    <phoneticPr fontId="261" type="noConversion"/>
  </si>
  <si>
    <t>126号</t>
    <phoneticPr fontId="261" type="noConversion"/>
  </si>
  <si>
    <t>127号</t>
    <phoneticPr fontId="261" type="noConversion"/>
  </si>
  <si>
    <t>128号</t>
    <phoneticPr fontId="261" type="noConversion"/>
  </si>
  <si>
    <t>129号</t>
    <phoneticPr fontId="261" type="noConversion"/>
  </si>
  <si>
    <t>130号</t>
  </si>
  <si>
    <t>131号</t>
    <phoneticPr fontId="261" type="noConversion"/>
  </si>
  <si>
    <t>132号</t>
    <phoneticPr fontId="261" type="noConversion"/>
  </si>
  <si>
    <t>城楼</t>
    <phoneticPr fontId="3" type="noConversion"/>
  </si>
  <si>
    <t>133号</t>
    <phoneticPr fontId="261" type="noConversion"/>
  </si>
  <si>
    <t>134号</t>
    <phoneticPr fontId="261" type="noConversion"/>
  </si>
  <si>
    <t>135号</t>
    <phoneticPr fontId="261" type="noConversion"/>
  </si>
  <si>
    <t>136号</t>
    <phoneticPr fontId="261" type="noConversion"/>
  </si>
  <si>
    <t>京密国用（2011出）第00073号</t>
    <phoneticPr fontId="261" type="noConversion"/>
  </si>
  <si>
    <t>2013规（密）建字0072号</t>
    <phoneticPr fontId="3" type="noConversion"/>
  </si>
  <si>
    <t>十二区</t>
    <phoneticPr fontId="261" type="noConversion"/>
  </si>
  <si>
    <t>茶吧</t>
    <phoneticPr fontId="3" type="noConversion"/>
  </si>
  <si>
    <t>2013施（密）建字0033号</t>
    <phoneticPr fontId="3" type="noConversion"/>
  </si>
  <si>
    <t>水镇大酒店工程酒店</t>
    <phoneticPr fontId="3" type="noConversion"/>
  </si>
  <si>
    <t>京密国用（2011出）第00070号</t>
    <phoneticPr fontId="261" type="noConversion"/>
  </si>
  <si>
    <t>2013规（密）建字0077号</t>
    <phoneticPr fontId="3" type="noConversion"/>
  </si>
  <si>
    <t>2013施（密）建字0035号</t>
    <phoneticPr fontId="3" type="noConversion"/>
  </si>
  <si>
    <t>十三区</t>
    <phoneticPr fontId="261" type="noConversion"/>
  </si>
  <si>
    <t>十三区</t>
    <phoneticPr fontId="261" type="noConversion"/>
  </si>
  <si>
    <t>12号</t>
  </si>
  <si>
    <t>13号</t>
  </si>
  <si>
    <t>15号</t>
  </si>
  <si>
    <t>过街楼</t>
    <phoneticPr fontId="3" type="noConversion"/>
  </si>
  <si>
    <t>自行车棚</t>
    <phoneticPr fontId="3" type="noConversion"/>
  </si>
  <si>
    <t>18号</t>
  </si>
  <si>
    <t>游客中心</t>
    <phoneticPr fontId="3" type="noConversion"/>
  </si>
  <si>
    <t>商业用房</t>
    <phoneticPr fontId="3" type="noConversion"/>
  </si>
  <si>
    <t>民居</t>
    <phoneticPr fontId="261" type="noConversion"/>
  </si>
  <si>
    <t>24号</t>
  </si>
  <si>
    <t>32号</t>
    <phoneticPr fontId="261" type="noConversion"/>
  </si>
  <si>
    <t>38号</t>
  </si>
  <si>
    <t>41号</t>
    <phoneticPr fontId="261" type="noConversion"/>
  </si>
  <si>
    <t>47号</t>
    <phoneticPr fontId="261" type="noConversion"/>
  </si>
  <si>
    <t>48号</t>
    <phoneticPr fontId="261" type="noConversion"/>
  </si>
  <si>
    <t>49号</t>
    <phoneticPr fontId="261" type="noConversion"/>
  </si>
  <si>
    <t>54号</t>
  </si>
  <si>
    <t>55号</t>
  </si>
  <si>
    <t>56号</t>
  </si>
  <si>
    <t>57号</t>
  </si>
  <si>
    <t>市楼</t>
    <phoneticPr fontId="3" type="noConversion"/>
  </si>
  <si>
    <t>59号</t>
    <phoneticPr fontId="261" type="noConversion"/>
  </si>
  <si>
    <t>60号</t>
    <phoneticPr fontId="261" type="noConversion"/>
  </si>
  <si>
    <t>61号</t>
    <phoneticPr fontId="261" type="noConversion"/>
  </si>
  <si>
    <t>62号</t>
    <phoneticPr fontId="261" type="noConversion"/>
  </si>
  <si>
    <t>63号</t>
    <phoneticPr fontId="261" type="noConversion"/>
  </si>
  <si>
    <t>64号</t>
    <phoneticPr fontId="261" type="noConversion"/>
  </si>
  <si>
    <t>65号</t>
    <phoneticPr fontId="261" type="noConversion"/>
  </si>
  <si>
    <t>配电房</t>
    <phoneticPr fontId="3" type="noConversion"/>
  </si>
  <si>
    <t>合计</t>
    <phoneticPr fontId="261" type="noConversion"/>
  </si>
  <si>
    <t>总建筑面积</t>
    <phoneticPr fontId="261" type="noConversion"/>
  </si>
  <si>
    <t>总土地</t>
    <phoneticPr fontId="261" type="noConversion"/>
  </si>
  <si>
    <t>不可收益建筑面积</t>
    <phoneticPr fontId="261" type="noConversion"/>
  </si>
  <si>
    <t>地上容积率</t>
    <phoneticPr fontId="261" type="noConversion"/>
  </si>
  <si>
    <t>可收益建筑面积</t>
    <phoneticPr fontId="261" type="noConversion"/>
  </si>
  <si>
    <t>地上</t>
    <phoneticPr fontId="261" type="noConversion"/>
  </si>
  <si>
    <t>地下</t>
    <phoneticPr fontId="261" type="noConversion"/>
  </si>
  <si>
    <t>各部分建安</t>
    <phoneticPr fontId="3" type="noConversion"/>
  </si>
  <si>
    <t>总</t>
    <phoneticPr fontId="3" type="noConversion"/>
  </si>
  <si>
    <t>利润</t>
    <phoneticPr fontId="205" type="noConversion"/>
  </si>
  <si>
    <t>不可收益建安</t>
    <phoneticPr fontId="3" type="noConversion"/>
  </si>
  <si>
    <t>四区古北大酒店</t>
    <phoneticPr fontId="261" type="noConversion"/>
  </si>
  <si>
    <t>五区望京温泉酒店</t>
    <phoneticPr fontId="261" type="noConversion"/>
  </si>
  <si>
    <t>五区温泉汤屋酒店</t>
    <phoneticPr fontId="261" type="noConversion"/>
  </si>
  <si>
    <t>五区工程会议中心</t>
    <phoneticPr fontId="261" type="noConversion"/>
  </si>
  <si>
    <t>五区商铺等29项</t>
    <phoneticPr fontId="261" type="noConversion"/>
  </si>
  <si>
    <t>六区江南酒店一期</t>
    <phoneticPr fontId="261" type="noConversion"/>
  </si>
  <si>
    <t>六区江南酒店二期</t>
    <phoneticPr fontId="261" type="noConversion"/>
  </si>
  <si>
    <t>七区民居等21项</t>
    <phoneticPr fontId="261" type="noConversion"/>
  </si>
  <si>
    <t>八区商铺等60项</t>
    <phoneticPr fontId="261" type="noConversion"/>
  </si>
  <si>
    <t>九区山水城酒店</t>
    <phoneticPr fontId="261" type="noConversion"/>
  </si>
  <si>
    <t>九区景观名居等6项</t>
    <phoneticPr fontId="205" type="noConversion"/>
  </si>
  <si>
    <r>
      <t>十区兰谷S</t>
    </r>
    <r>
      <rPr>
        <sz val="10"/>
        <color indexed="8"/>
        <rFont val="宋体"/>
        <family val="3"/>
        <charset val="134"/>
      </rPr>
      <t>PA会所</t>
    </r>
    <phoneticPr fontId="261" type="noConversion"/>
  </si>
  <si>
    <r>
      <t>十一区商铺等1</t>
    </r>
    <r>
      <rPr>
        <sz val="10"/>
        <color indexed="8"/>
        <rFont val="宋体"/>
        <family val="3"/>
        <charset val="134"/>
      </rPr>
      <t>36项</t>
    </r>
    <phoneticPr fontId="261" type="noConversion"/>
  </si>
  <si>
    <t>十二区水镇大酒店</t>
    <phoneticPr fontId="261" type="noConversion"/>
  </si>
  <si>
    <t>十三区游客中心</t>
    <phoneticPr fontId="261" type="noConversion"/>
  </si>
  <si>
    <t>十三区商铺等61项</t>
    <phoneticPr fontId="261" type="noConversion"/>
  </si>
  <si>
    <t>人防易地建设费</t>
  </si>
  <si>
    <t>室外工程费</t>
    <phoneticPr fontId="205" type="noConversion"/>
  </si>
  <si>
    <t>住宿餐饮</t>
    <phoneticPr fontId="3" type="noConversion"/>
  </si>
  <si>
    <t>工程进度</t>
  </si>
  <si>
    <t>行业利润率</t>
    <phoneticPr fontId="3" type="noConversion"/>
  </si>
  <si>
    <t>收益法</t>
  </si>
  <si>
    <t>估价对象周边居住用地比例、居住小区规模和社区发展完善程度，综合评价居住社区成熟度一般</t>
    <phoneticPr fontId="3" type="noConversion"/>
  </si>
  <si>
    <t>估价对象区域内无大型商业项目，零星分布农村商店，人流量较少，区域内商业繁华度一般</t>
    <phoneticPr fontId="3" type="noConversion"/>
  </si>
  <si>
    <t>估价对象位于XX商圈，周边办公楼项目较多，入驻率高，办公集聚程度较好</t>
    <phoneticPr fontId="3" type="noConversion"/>
  </si>
  <si>
    <t>估价对象紧邻大广高速，周边有密37、密50、密51路等公交线路，综合评价交通便捷度较好</t>
    <phoneticPr fontId="3" type="noConversion"/>
  </si>
  <si>
    <t>估价对象所在区域公共配套设施齐备情况；基础设施水平；综合评价公用设施及基础设施水平一般</t>
    <phoneticPr fontId="3" type="noConversion"/>
  </si>
  <si>
    <t>区域有司马台长城、鸳鸯湖水库；综合评价环境状况好</t>
    <phoneticPr fontId="3" type="noConversion"/>
  </si>
  <si>
    <t>高速路——大广高速</t>
    <phoneticPr fontId="3" type="noConversion"/>
  </si>
  <si>
    <t>零星有其他用地，基本不影响本宗地</t>
  </si>
  <si>
    <t>双面临街</t>
  </si>
  <si>
    <t>住宿餐饮</t>
  </si>
  <si>
    <t>成本法</t>
  </si>
  <si>
    <t>假设开发法</t>
  </si>
  <si>
    <t>住宿餐饮用地</t>
  </si>
  <si>
    <t>不临58条商业街</t>
  </si>
  <si>
    <t>1000米以外</t>
  </si>
  <si>
    <t>四通一平</t>
  </si>
  <si>
    <t>缺少</t>
  </si>
  <si>
    <t>通上水</t>
  </si>
  <si>
    <t>通下水</t>
  </si>
  <si>
    <t>燃气</t>
  </si>
  <si>
    <t>按公示增长率计算</t>
  </si>
  <si>
    <t>容积率修正</t>
  </si>
  <si>
    <t>较好</t>
  </si>
  <si>
    <t>一般</t>
  </si>
  <si>
    <t>好</t>
  </si>
  <si>
    <t>未包含在土地购买价格中</t>
  </si>
  <si>
    <t>已包含在土地取得成本中</t>
  </si>
  <si>
    <t>钢混</t>
  </si>
  <si>
    <t>工程进度</t>
    <phoneticPr fontId="205" type="noConversion"/>
  </si>
  <si>
    <t>在建建安</t>
    <phoneticPr fontId="205" type="noConversion"/>
  </si>
  <si>
    <t>续建建安</t>
    <phoneticPr fontId="205" type="noConversion"/>
  </si>
  <si>
    <t>设备等</t>
    <phoneticPr fontId="205" type="noConversion"/>
  </si>
  <si>
    <t>北方景观民宿修复修缮-商铺14</t>
  </si>
  <si>
    <t>施工证号</t>
    <phoneticPr fontId="3" type="noConversion"/>
  </si>
  <si>
    <t>坐落</t>
    <phoneticPr fontId="261" type="noConversion"/>
  </si>
  <si>
    <t>规划用途</t>
    <phoneticPr fontId="3" type="noConversion"/>
  </si>
  <si>
    <t>总建筑面积(㎡)</t>
    <phoneticPr fontId="3" type="noConversion"/>
  </si>
  <si>
    <t>结构</t>
    <phoneticPr fontId="261" type="noConversion"/>
  </si>
  <si>
    <t>四区</t>
    <phoneticPr fontId="261" type="noConversion"/>
  </si>
  <si>
    <t>古北大酒店-机房</t>
    <phoneticPr fontId="3" type="noConversion"/>
  </si>
  <si>
    <t>京密国用（2011出）第00074号</t>
    <phoneticPr fontId="261" type="noConversion"/>
  </si>
  <si>
    <t>3号</t>
    <phoneticPr fontId="261" type="noConversion"/>
  </si>
  <si>
    <t>酒店</t>
    <phoneticPr fontId="3" type="noConversion"/>
  </si>
  <si>
    <t>——</t>
    <phoneticPr fontId="3" type="noConversion"/>
  </si>
  <si>
    <t>钢混</t>
    <phoneticPr fontId="261" type="noConversion"/>
  </si>
  <si>
    <t>五区</t>
    <phoneticPr fontId="261" type="noConversion"/>
  </si>
  <si>
    <t>6号</t>
    <phoneticPr fontId="261" type="noConversion"/>
  </si>
  <si>
    <t>空调机房</t>
    <phoneticPr fontId="3" type="noConversion"/>
  </si>
  <si>
    <t>——</t>
    <phoneticPr fontId="3" type="noConversion"/>
  </si>
  <si>
    <t>砖木</t>
    <phoneticPr fontId="261" type="noConversion"/>
  </si>
  <si>
    <t>五区</t>
    <phoneticPr fontId="261" type="noConversion"/>
  </si>
  <si>
    <t>7号</t>
    <phoneticPr fontId="261" type="noConversion"/>
  </si>
  <si>
    <t>景观民宿</t>
    <phoneticPr fontId="261" type="noConversion"/>
  </si>
  <si>
    <t>9号</t>
    <phoneticPr fontId="261" type="noConversion"/>
  </si>
  <si>
    <t>商铺</t>
    <phoneticPr fontId="261" type="noConversion"/>
  </si>
  <si>
    <t>10号</t>
    <phoneticPr fontId="261" type="noConversion"/>
  </si>
  <si>
    <t>13号</t>
    <phoneticPr fontId="261" type="noConversion"/>
  </si>
  <si>
    <t>景观民宿</t>
    <phoneticPr fontId="261" type="noConversion"/>
  </si>
  <si>
    <t>14号</t>
    <phoneticPr fontId="261" type="noConversion"/>
  </si>
  <si>
    <t>商铺</t>
    <phoneticPr fontId="261" type="noConversion"/>
  </si>
  <si>
    <t>16号</t>
    <phoneticPr fontId="261" type="noConversion"/>
  </si>
  <si>
    <t>八旗展馆</t>
    <phoneticPr fontId="261" type="noConversion"/>
  </si>
  <si>
    <t>22号</t>
    <phoneticPr fontId="261" type="noConversion"/>
  </si>
  <si>
    <t>23号</t>
    <phoneticPr fontId="261" type="noConversion"/>
  </si>
  <si>
    <t>24号</t>
    <phoneticPr fontId="261" type="noConversion"/>
  </si>
  <si>
    <t>25号</t>
    <phoneticPr fontId="261" type="noConversion"/>
  </si>
  <si>
    <t>展厅</t>
    <phoneticPr fontId="3" type="noConversion"/>
  </si>
  <si>
    <t>30号</t>
    <phoneticPr fontId="261" type="noConversion"/>
  </si>
  <si>
    <t>商铺</t>
    <phoneticPr fontId="3" type="noConversion"/>
  </si>
  <si>
    <t>35号</t>
    <phoneticPr fontId="261" type="noConversion"/>
  </si>
  <si>
    <t>36号</t>
    <phoneticPr fontId="261" type="noConversion"/>
  </si>
  <si>
    <t>37号</t>
    <phoneticPr fontId="261" type="noConversion"/>
  </si>
  <si>
    <t>会议中心</t>
    <phoneticPr fontId="3" type="noConversion"/>
  </si>
  <si>
    <t>钢混</t>
    <phoneticPr fontId="261" type="noConversion"/>
  </si>
  <si>
    <t>39号</t>
    <phoneticPr fontId="261" type="noConversion"/>
  </si>
  <si>
    <t>40号</t>
    <phoneticPr fontId="261" type="noConversion"/>
  </si>
  <si>
    <t>景观民宿</t>
    <phoneticPr fontId="3" type="noConversion"/>
  </si>
  <si>
    <t>43号</t>
    <phoneticPr fontId="261" type="noConversion"/>
  </si>
  <si>
    <t>44号</t>
    <phoneticPr fontId="261" type="noConversion"/>
  </si>
  <si>
    <t>45号</t>
    <phoneticPr fontId="261" type="noConversion"/>
  </si>
  <si>
    <t>46号</t>
    <phoneticPr fontId="261" type="noConversion"/>
  </si>
  <si>
    <t>47号</t>
    <phoneticPr fontId="261" type="noConversion"/>
  </si>
  <si>
    <t>48号</t>
    <phoneticPr fontId="261" type="noConversion"/>
  </si>
  <si>
    <t>49号</t>
    <phoneticPr fontId="261" type="noConversion"/>
  </si>
  <si>
    <t>51号</t>
    <phoneticPr fontId="261" type="noConversion"/>
  </si>
  <si>
    <t>休息室</t>
    <phoneticPr fontId="3" type="noConversion"/>
  </si>
  <si>
    <t>北方景观民宿修复修缮-商铺13</t>
    <phoneticPr fontId="3" type="noConversion"/>
  </si>
  <si>
    <t>北方景观民宿修复修缮-景观城楼</t>
    <phoneticPr fontId="3" type="noConversion"/>
  </si>
  <si>
    <t>京密国用（2011出）第00056号</t>
    <phoneticPr fontId="261" type="noConversion"/>
  </si>
  <si>
    <t>2013规(密）建字0067号</t>
    <phoneticPr fontId="3" type="noConversion"/>
  </si>
  <si>
    <t>六区</t>
    <phoneticPr fontId="261" type="noConversion"/>
  </si>
  <si>
    <t>1号</t>
    <phoneticPr fontId="261" type="noConversion"/>
  </si>
  <si>
    <t>山顶餐厅</t>
    <phoneticPr fontId="3" type="noConversion"/>
  </si>
  <si>
    <t>——</t>
    <phoneticPr fontId="3" type="noConversion"/>
  </si>
  <si>
    <t>钢混</t>
    <phoneticPr fontId="261" type="noConversion"/>
  </si>
  <si>
    <t>六区</t>
    <phoneticPr fontId="261" type="noConversion"/>
  </si>
  <si>
    <t>2号</t>
    <phoneticPr fontId="261" type="noConversion"/>
  </si>
  <si>
    <t>酒店客房</t>
    <phoneticPr fontId="3" type="noConversion"/>
  </si>
  <si>
    <t>六区</t>
    <phoneticPr fontId="261" type="noConversion"/>
  </si>
  <si>
    <t>3号</t>
    <phoneticPr fontId="261" type="noConversion"/>
  </si>
  <si>
    <t>接待大厅</t>
    <phoneticPr fontId="3" type="noConversion"/>
  </si>
  <si>
    <t>4号</t>
    <phoneticPr fontId="261" type="noConversion"/>
  </si>
  <si>
    <t>酒店机房</t>
    <phoneticPr fontId="3" type="noConversion"/>
  </si>
  <si>
    <t>京密国用（2011出）第00060号</t>
    <phoneticPr fontId="261" type="noConversion"/>
  </si>
  <si>
    <t>2013规(密）建字0071号</t>
    <phoneticPr fontId="3" type="noConversion"/>
  </si>
  <si>
    <t>5号</t>
    <phoneticPr fontId="261" type="noConversion"/>
  </si>
  <si>
    <t>温泉SPA</t>
    <phoneticPr fontId="3" type="noConversion"/>
  </si>
  <si>
    <t>6号</t>
    <phoneticPr fontId="261" type="noConversion"/>
  </si>
  <si>
    <t>山顶客房</t>
    <phoneticPr fontId="3" type="noConversion"/>
  </si>
  <si>
    <t>户外剧场</t>
    <phoneticPr fontId="3" type="noConversion"/>
  </si>
  <si>
    <t>京密国用（2011出）第00067号</t>
    <phoneticPr fontId="261" type="noConversion"/>
  </si>
  <si>
    <t>2013规（密）建字0064号</t>
    <phoneticPr fontId="3" type="noConversion"/>
  </si>
  <si>
    <t>七区</t>
    <phoneticPr fontId="261" type="noConversion"/>
  </si>
  <si>
    <t>1号</t>
    <phoneticPr fontId="261" type="noConversion"/>
  </si>
  <si>
    <t>民居</t>
    <phoneticPr fontId="3" type="noConversion"/>
  </si>
  <si>
    <t>梨园客栈</t>
    <phoneticPr fontId="3" type="noConversion"/>
  </si>
  <si>
    <t>老戏台附房</t>
    <phoneticPr fontId="3" type="noConversion"/>
  </si>
  <si>
    <t>枣儿书场</t>
    <phoneticPr fontId="3" type="noConversion"/>
  </si>
  <si>
    <t>老戏台</t>
    <phoneticPr fontId="3" type="noConversion"/>
  </si>
  <si>
    <t>8号</t>
    <phoneticPr fontId="261" type="noConversion"/>
  </si>
  <si>
    <t>9号</t>
    <phoneticPr fontId="261" type="noConversion"/>
  </si>
  <si>
    <t>大戏楼附属房二</t>
    <phoneticPr fontId="3" type="noConversion"/>
  </si>
  <si>
    <t>设备机房</t>
    <phoneticPr fontId="3" type="noConversion"/>
  </si>
  <si>
    <t>11号</t>
    <phoneticPr fontId="261" type="noConversion"/>
  </si>
  <si>
    <t>12号</t>
    <phoneticPr fontId="261" type="noConversion"/>
  </si>
  <si>
    <t>大戏楼附属房一</t>
    <phoneticPr fontId="3" type="noConversion"/>
  </si>
  <si>
    <t>13号</t>
    <phoneticPr fontId="261" type="noConversion"/>
  </si>
  <si>
    <t>大戏楼</t>
    <phoneticPr fontId="3" type="noConversion"/>
  </si>
  <si>
    <t>15号</t>
    <phoneticPr fontId="261" type="noConversion"/>
  </si>
  <si>
    <t>剧院附房</t>
    <phoneticPr fontId="3" type="noConversion"/>
  </si>
  <si>
    <t>17号</t>
    <phoneticPr fontId="261" type="noConversion"/>
  </si>
  <si>
    <t>剧院</t>
    <phoneticPr fontId="3" type="noConversion"/>
  </si>
  <si>
    <t>18号</t>
    <phoneticPr fontId="261" type="noConversion"/>
  </si>
  <si>
    <t>公共厕所</t>
    <phoneticPr fontId="3" type="noConversion"/>
  </si>
  <si>
    <t>19号</t>
    <phoneticPr fontId="261" type="noConversion"/>
  </si>
  <si>
    <t>20号</t>
    <phoneticPr fontId="261" type="noConversion"/>
  </si>
  <si>
    <t>21号</t>
    <phoneticPr fontId="261" type="noConversion"/>
  </si>
  <si>
    <t>景观城楼</t>
    <phoneticPr fontId="3" type="noConversion"/>
  </si>
  <si>
    <t>景观民居</t>
    <phoneticPr fontId="3" type="noConversion"/>
  </si>
  <si>
    <t>26号</t>
    <phoneticPr fontId="261" type="noConversion"/>
  </si>
  <si>
    <t>——</t>
    <phoneticPr fontId="261" type="noConversion"/>
  </si>
  <si>
    <t>27号</t>
    <phoneticPr fontId="261" type="noConversion"/>
  </si>
  <si>
    <t>京密国用（2011出）第00072号</t>
    <phoneticPr fontId="261" type="noConversion"/>
  </si>
  <si>
    <t>2013规（密）建字0070号</t>
    <phoneticPr fontId="3" type="noConversion"/>
  </si>
  <si>
    <t>八区</t>
    <phoneticPr fontId="261" type="noConversion"/>
  </si>
  <si>
    <t>卫生间</t>
    <phoneticPr fontId="3" type="noConversion"/>
  </si>
  <si>
    <t>器材库</t>
    <phoneticPr fontId="3" type="noConversion"/>
  </si>
  <si>
    <t>公共厕所</t>
    <phoneticPr fontId="261" type="noConversion"/>
  </si>
  <si>
    <t>辅房</t>
    <phoneticPr fontId="3" type="noConversion"/>
  </si>
  <si>
    <t>店铺</t>
    <phoneticPr fontId="3" type="noConversion"/>
  </si>
  <si>
    <t>住宿用房</t>
    <phoneticPr fontId="3" type="noConversion"/>
  </si>
  <si>
    <t>管理用房</t>
    <phoneticPr fontId="3" type="noConversion"/>
  </si>
  <si>
    <t>28号</t>
    <phoneticPr fontId="261" type="noConversion"/>
  </si>
  <si>
    <t>29号</t>
    <phoneticPr fontId="261" type="noConversion"/>
  </si>
  <si>
    <t>厨卫</t>
    <phoneticPr fontId="3" type="noConversion"/>
  </si>
  <si>
    <t>31号</t>
    <phoneticPr fontId="261" type="noConversion"/>
  </si>
  <si>
    <t>店铺</t>
    <phoneticPr fontId="3" type="noConversion"/>
  </si>
  <si>
    <t>——</t>
    <phoneticPr fontId="3" type="noConversion"/>
  </si>
  <si>
    <t>砖木</t>
    <phoneticPr fontId="261" type="noConversion"/>
  </si>
  <si>
    <t>八区</t>
    <phoneticPr fontId="261" type="noConversion"/>
  </si>
  <si>
    <t>32号</t>
    <phoneticPr fontId="261" type="noConversion"/>
  </si>
  <si>
    <t>33号</t>
    <phoneticPr fontId="261" type="noConversion"/>
  </si>
  <si>
    <t>34号</t>
    <phoneticPr fontId="261" type="noConversion"/>
  </si>
  <si>
    <t>35号</t>
    <phoneticPr fontId="261" type="noConversion"/>
  </si>
  <si>
    <t>展厅</t>
    <phoneticPr fontId="261" type="noConversion"/>
  </si>
  <si>
    <t>正厅</t>
    <phoneticPr fontId="3" type="noConversion"/>
  </si>
  <si>
    <t>38号</t>
    <phoneticPr fontId="261" type="noConversion"/>
  </si>
  <si>
    <t>厕所</t>
    <phoneticPr fontId="3" type="noConversion"/>
  </si>
  <si>
    <t>店铺</t>
    <phoneticPr fontId="261" type="noConversion"/>
  </si>
  <si>
    <t>41号</t>
    <phoneticPr fontId="261" type="noConversion"/>
  </si>
  <si>
    <t>前厅</t>
    <phoneticPr fontId="3" type="noConversion"/>
  </si>
  <si>
    <t>西厢房</t>
    <phoneticPr fontId="3" type="noConversion"/>
  </si>
  <si>
    <t>东厢房</t>
    <phoneticPr fontId="3" type="noConversion"/>
  </si>
  <si>
    <t>书院祭堂及耳房</t>
    <phoneticPr fontId="3" type="noConversion"/>
  </si>
  <si>
    <t>二进院</t>
    <phoneticPr fontId="3" type="noConversion"/>
  </si>
  <si>
    <t>一进院</t>
    <phoneticPr fontId="3" type="noConversion"/>
  </si>
  <si>
    <t>50号</t>
    <phoneticPr fontId="261" type="noConversion"/>
  </si>
  <si>
    <t>西庑房</t>
    <phoneticPr fontId="3" type="noConversion"/>
  </si>
  <si>
    <t>52号</t>
    <phoneticPr fontId="261" type="noConversion"/>
  </si>
  <si>
    <t>三进院</t>
    <phoneticPr fontId="3" type="noConversion"/>
  </si>
  <si>
    <t>53号</t>
    <phoneticPr fontId="261" type="noConversion"/>
  </si>
  <si>
    <t>水榭</t>
    <phoneticPr fontId="3" type="noConversion"/>
  </si>
  <si>
    <t>54号</t>
    <phoneticPr fontId="261" type="noConversion"/>
  </si>
  <si>
    <t>连廊</t>
    <phoneticPr fontId="3" type="noConversion"/>
  </si>
  <si>
    <t>55号</t>
    <phoneticPr fontId="261" type="noConversion"/>
  </si>
  <si>
    <t>讲堂及耳房</t>
    <phoneticPr fontId="3" type="noConversion"/>
  </si>
  <si>
    <t>56号</t>
    <phoneticPr fontId="261" type="noConversion"/>
  </si>
  <si>
    <t>倒座房</t>
    <phoneticPr fontId="3" type="noConversion"/>
  </si>
  <si>
    <t>57号</t>
    <phoneticPr fontId="261" type="noConversion"/>
  </si>
  <si>
    <t>58号</t>
    <phoneticPr fontId="261" type="noConversion"/>
  </si>
  <si>
    <t>金柱门附房</t>
    <phoneticPr fontId="3" type="noConversion"/>
  </si>
  <si>
    <t>59号</t>
    <phoneticPr fontId="261" type="noConversion"/>
  </si>
  <si>
    <t>60号</t>
    <phoneticPr fontId="261" type="noConversion"/>
  </si>
  <si>
    <t>61号</t>
    <phoneticPr fontId="261" type="noConversion"/>
  </si>
  <si>
    <t>咖啡厅</t>
    <phoneticPr fontId="3" type="noConversion"/>
  </si>
  <si>
    <t>62号</t>
    <phoneticPr fontId="261" type="noConversion"/>
  </si>
  <si>
    <t>民居</t>
    <phoneticPr fontId="261" type="noConversion"/>
  </si>
  <si>
    <t>63号</t>
    <phoneticPr fontId="261" type="noConversion"/>
  </si>
  <si>
    <t>64号</t>
    <phoneticPr fontId="261" type="noConversion"/>
  </si>
  <si>
    <t>65号</t>
    <phoneticPr fontId="261" type="noConversion"/>
  </si>
  <si>
    <t>66号</t>
    <phoneticPr fontId="261" type="noConversion"/>
  </si>
  <si>
    <t>机房</t>
    <phoneticPr fontId="3" type="noConversion"/>
  </si>
  <si>
    <t>67号</t>
    <phoneticPr fontId="261" type="noConversion"/>
  </si>
  <si>
    <t>68号</t>
    <phoneticPr fontId="261" type="noConversion"/>
  </si>
  <si>
    <t>69号</t>
    <phoneticPr fontId="261" type="noConversion"/>
  </si>
  <si>
    <t>70号</t>
    <phoneticPr fontId="261" type="noConversion"/>
  </si>
  <si>
    <t>京密国用（2011出）第00062号</t>
    <phoneticPr fontId="261" type="noConversion"/>
  </si>
  <si>
    <t>2013规（密）建字0066号</t>
    <phoneticPr fontId="3" type="noConversion"/>
  </si>
  <si>
    <t>九区</t>
    <phoneticPr fontId="261" type="noConversion"/>
  </si>
  <si>
    <t>景观居民</t>
    <phoneticPr fontId="261" type="noConversion"/>
  </si>
  <si>
    <t>景观居民</t>
    <phoneticPr fontId="3" type="noConversion"/>
  </si>
  <si>
    <t>四合院</t>
    <phoneticPr fontId="3" type="noConversion"/>
  </si>
  <si>
    <t>酒店</t>
    <phoneticPr fontId="3" type="noConversion"/>
  </si>
  <si>
    <t>京密国用（2011出）第00055号</t>
    <phoneticPr fontId="261" type="noConversion"/>
  </si>
  <si>
    <t>2013规（密）建字0069号</t>
    <phoneticPr fontId="3" type="noConversion"/>
  </si>
  <si>
    <t>十区</t>
    <phoneticPr fontId="261" type="noConversion"/>
  </si>
  <si>
    <t>会所</t>
    <phoneticPr fontId="3" type="noConversion"/>
  </si>
  <si>
    <t>京密国用（2011出）第00068号</t>
    <phoneticPr fontId="261" type="noConversion"/>
  </si>
  <si>
    <t>2013规（密）建字0073号</t>
    <phoneticPr fontId="3" type="noConversion"/>
  </si>
  <si>
    <t>十一区</t>
    <phoneticPr fontId="261" type="noConversion"/>
  </si>
  <si>
    <t>砖木</t>
    <phoneticPr fontId="261" type="noConversion"/>
  </si>
  <si>
    <t>十一区</t>
    <phoneticPr fontId="261" type="noConversion"/>
  </si>
  <si>
    <t>5号</t>
    <phoneticPr fontId="261" type="noConversion"/>
  </si>
  <si>
    <t>商铺</t>
    <phoneticPr fontId="3" type="noConversion"/>
  </si>
  <si>
    <t>7号</t>
    <phoneticPr fontId="261" type="noConversion"/>
  </si>
  <si>
    <t>附房</t>
    <phoneticPr fontId="3" type="noConversion"/>
  </si>
  <si>
    <t>客房</t>
    <phoneticPr fontId="3" type="noConversion"/>
  </si>
  <si>
    <t>31号</t>
    <phoneticPr fontId="261" type="noConversion"/>
  </si>
  <si>
    <t>公卫</t>
    <phoneticPr fontId="3" type="noConversion"/>
  </si>
  <si>
    <t>42号</t>
    <phoneticPr fontId="261" type="noConversion"/>
  </si>
  <si>
    <t>43号</t>
    <phoneticPr fontId="261" type="noConversion"/>
  </si>
  <si>
    <t>餐厅</t>
    <phoneticPr fontId="3" type="noConversion"/>
  </si>
  <si>
    <t>71号</t>
    <phoneticPr fontId="261" type="noConversion"/>
  </si>
  <si>
    <t>过街楼</t>
    <phoneticPr fontId="3" type="noConversion"/>
  </si>
  <si>
    <t>72号</t>
    <phoneticPr fontId="261" type="noConversion"/>
  </si>
  <si>
    <t>73号</t>
    <phoneticPr fontId="261" type="noConversion"/>
  </si>
  <si>
    <t>74号</t>
    <phoneticPr fontId="261" type="noConversion"/>
  </si>
  <si>
    <t>75号</t>
    <phoneticPr fontId="261" type="noConversion"/>
  </si>
  <si>
    <t>76号</t>
    <phoneticPr fontId="261" type="noConversion"/>
  </si>
  <si>
    <t>77号</t>
    <phoneticPr fontId="261" type="noConversion"/>
  </si>
  <si>
    <t>78号</t>
    <phoneticPr fontId="261" type="noConversion"/>
  </si>
  <si>
    <t>80号</t>
    <phoneticPr fontId="261" type="noConversion"/>
  </si>
  <si>
    <t>81号</t>
    <phoneticPr fontId="261" type="noConversion"/>
  </si>
  <si>
    <t>82号</t>
    <phoneticPr fontId="261" type="noConversion"/>
  </si>
  <si>
    <t>商铺及长廊</t>
    <phoneticPr fontId="3" type="noConversion"/>
  </si>
  <si>
    <t>84号</t>
    <phoneticPr fontId="261" type="noConversion"/>
  </si>
  <si>
    <t>85号</t>
    <phoneticPr fontId="261" type="noConversion"/>
  </si>
  <si>
    <t>90号</t>
    <phoneticPr fontId="261" type="noConversion"/>
  </si>
  <si>
    <t>93号</t>
    <phoneticPr fontId="261" type="noConversion"/>
  </si>
  <si>
    <t>94号</t>
    <phoneticPr fontId="261" type="noConversion"/>
  </si>
  <si>
    <t>五星公厕</t>
    <phoneticPr fontId="3" type="noConversion"/>
  </si>
  <si>
    <t>96号</t>
    <phoneticPr fontId="261" type="noConversion"/>
  </si>
  <si>
    <t>展厅</t>
    <phoneticPr fontId="261" type="noConversion"/>
  </si>
  <si>
    <t>97号</t>
    <phoneticPr fontId="261" type="noConversion"/>
  </si>
  <si>
    <t>十一区</t>
    <phoneticPr fontId="261" type="noConversion"/>
  </si>
  <si>
    <t>101号</t>
    <phoneticPr fontId="261" type="noConversion"/>
  </si>
  <si>
    <t>113号</t>
    <phoneticPr fontId="261" type="noConversion"/>
  </si>
  <si>
    <t>工具房</t>
    <phoneticPr fontId="3" type="noConversion"/>
  </si>
  <si>
    <t>120号</t>
    <phoneticPr fontId="261" type="noConversion"/>
  </si>
  <si>
    <t>122号</t>
    <phoneticPr fontId="261" type="noConversion"/>
  </si>
  <si>
    <t>123号</t>
    <phoneticPr fontId="261" type="noConversion"/>
  </si>
  <si>
    <t>128号</t>
    <phoneticPr fontId="261" type="noConversion"/>
  </si>
  <si>
    <t>129号</t>
    <phoneticPr fontId="261" type="noConversion"/>
  </si>
  <si>
    <t>133号</t>
    <phoneticPr fontId="261" type="noConversion"/>
  </si>
  <si>
    <t>136号</t>
    <phoneticPr fontId="261" type="noConversion"/>
  </si>
  <si>
    <t>十二区</t>
    <phoneticPr fontId="261" type="noConversion"/>
  </si>
  <si>
    <t>水镇大酒店工程水城墙</t>
    <phoneticPr fontId="3" type="noConversion"/>
  </si>
  <si>
    <t>京密国用（2011出）第00070号</t>
    <phoneticPr fontId="261" type="noConversion"/>
  </si>
  <si>
    <t>——</t>
    <phoneticPr fontId="3" type="noConversion"/>
  </si>
  <si>
    <t>钢混</t>
    <phoneticPr fontId="261" type="noConversion"/>
  </si>
  <si>
    <t>十三区</t>
    <phoneticPr fontId="261" type="noConversion"/>
  </si>
  <si>
    <t>4号</t>
    <phoneticPr fontId="261" type="noConversion"/>
  </si>
  <si>
    <t>商铺</t>
    <phoneticPr fontId="261" type="noConversion"/>
  </si>
  <si>
    <t>——</t>
    <phoneticPr fontId="3" type="noConversion"/>
  </si>
  <si>
    <t>钢混</t>
    <phoneticPr fontId="261" type="noConversion"/>
  </si>
  <si>
    <t>十三区</t>
    <phoneticPr fontId="261" type="noConversion"/>
  </si>
  <si>
    <t>5号</t>
    <phoneticPr fontId="261" type="noConversion"/>
  </si>
  <si>
    <t>商铺</t>
    <phoneticPr fontId="261" type="noConversion"/>
  </si>
  <si>
    <t>6号</t>
    <phoneticPr fontId="261" type="noConversion"/>
  </si>
  <si>
    <t>14号</t>
    <phoneticPr fontId="261" type="noConversion"/>
  </si>
  <si>
    <t>过街楼</t>
    <phoneticPr fontId="3" type="noConversion"/>
  </si>
  <si>
    <t>自行车棚</t>
    <phoneticPr fontId="3" type="noConversion"/>
  </si>
  <si>
    <t>19号</t>
    <phoneticPr fontId="261" type="noConversion"/>
  </si>
  <si>
    <t>游客中心</t>
    <phoneticPr fontId="3" type="noConversion"/>
  </si>
  <si>
    <t>34号</t>
    <phoneticPr fontId="261" type="noConversion"/>
  </si>
  <si>
    <t>42号</t>
    <phoneticPr fontId="261" type="noConversion"/>
  </si>
  <si>
    <t>43号</t>
    <phoneticPr fontId="261" type="noConversion"/>
  </si>
  <si>
    <t>47号</t>
    <phoneticPr fontId="261" type="noConversion"/>
  </si>
  <si>
    <t>商铺</t>
    <phoneticPr fontId="3" type="noConversion"/>
  </si>
  <si>
    <t>48号</t>
    <phoneticPr fontId="261" type="noConversion"/>
  </si>
  <si>
    <t>49号</t>
    <phoneticPr fontId="261" type="noConversion"/>
  </si>
  <si>
    <t>50号</t>
    <phoneticPr fontId="261" type="noConversion"/>
  </si>
  <si>
    <t>51号</t>
    <phoneticPr fontId="261" type="noConversion"/>
  </si>
  <si>
    <t>52号</t>
    <phoneticPr fontId="261" type="noConversion"/>
  </si>
  <si>
    <t>53号</t>
    <phoneticPr fontId="261" type="noConversion"/>
  </si>
  <si>
    <t>58号</t>
    <phoneticPr fontId="261" type="noConversion"/>
  </si>
  <si>
    <t>市楼</t>
    <phoneticPr fontId="3" type="noConversion"/>
  </si>
  <si>
    <t>59号</t>
    <phoneticPr fontId="261" type="noConversion"/>
  </si>
  <si>
    <t>景观民居</t>
    <phoneticPr fontId="3" type="noConversion"/>
  </si>
  <si>
    <t>60号</t>
    <phoneticPr fontId="261" type="noConversion"/>
  </si>
  <si>
    <t>商业用房</t>
    <phoneticPr fontId="3" type="noConversion"/>
  </si>
  <si>
    <t>——</t>
    <phoneticPr fontId="3" type="noConversion"/>
  </si>
  <si>
    <t>钢混</t>
    <phoneticPr fontId="261" type="noConversion"/>
  </si>
  <si>
    <t>十三区</t>
    <phoneticPr fontId="261" type="noConversion"/>
  </si>
  <si>
    <t>61号</t>
    <phoneticPr fontId="261" type="noConversion"/>
  </si>
  <si>
    <t>商业用房</t>
    <phoneticPr fontId="3" type="noConversion"/>
  </si>
  <si>
    <t>——</t>
    <phoneticPr fontId="3" type="noConversion"/>
  </si>
  <si>
    <t>钢混</t>
    <phoneticPr fontId="261" type="noConversion"/>
  </si>
  <si>
    <t>十三区</t>
    <phoneticPr fontId="261" type="noConversion"/>
  </si>
  <si>
    <t>62号</t>
    <phoneticPr fontId="261" type="noConversion"/>
  </si>
  <si>
    <t>商业用房</t>
    <phoneticPr fontId="3" type="noConversion"/>
  </si>
  <si>
    <t>63号</t>
    <phoneticPr fontId="261" type="noConversion"/>
  </si>
  <si>
    <t>过街楼</t>
    <phoneticPr fontId="3" type="noConversion"/>
  </si>
  <si>
    <t>64号</t>
    <phoneticPr fontId="261" type="noConversion"/>
  </si>
  <si>
    <t>餐厅</t>
    <phoneticPr fontId="3" type="noConversion"/>
  </si>
  <si>
    <t>65号</t>
    <phoneticPr fontId="261" type="noConversion"/>
  </si>
  <si>
    <t>配电房</t>
    <phoneticPr fontId="3" type="noConversion"/>
  </si>
  <si>
    <t>合计</t>
    <phoneticPr fontId="261" type="noConversion"/>
  </si>
  <si>
    <t>总建筑面积</t>
    <phoneticPr fontId="261" type="noConversion"/>
  </si>
  <si>
    <t>地上容积率</t>
    <phoneticPr fontId="261" type="noConversion"/>
  </si>
  <si>
    <t>15#商铺</t>
  </si>
  <si>
    <t>16#商铺</t>
  </si>
  <si>
    <t>17#商铺</t>
  </si>
  <si>
    <t>18#商铺</t>
  </si>
  <si>
    <t>19#商铺</t>
  </si>
  <si>
    <t>20#商铺</t>
  </si>
  <si>
    <t>21#商铺</t>
  </si>
  <si>
    <t>花店</t>
  </si>
  <si>
    <t>保龄球馆</t>
  </si>
  <si>
    <t>台球馆</t>
  </si>
  <si>
    <t>甜品店</t>
  </si>
  <si>
    <t>休闲中心</t>
  </si>
  <si>
    <t>城门楼</t>
  </si>
  <si>
    <t>十三妹酒店</t>
  </si>
  <si>
    <t>电瓶车收费站</t>
  </si>
  <si>
    <t>景观木廊</t>
  </si>
  <si>
    <t>温泉酒店</t>
    <phoneticPr fontId="205" type="noConversion"/>
  </si>
  <si>
    <t>垃圾房</t>
    <phoneticPr fontId="3" type="noConversion"/>
  </si>
  <si>
    <t>附属用房</t>
    <phoneticPr fontId="3" type="noConversion"/>
  </si>
  <si>
    <t>温泉酒店</t>
    <phoneticPr fontId="261" type="noConversion"/>
  </si>
  <si>
    <t>段家大院温泉酒店</t>
    <phoneticPr fontId="261" type="noConversion"/>
  </si>
  <si>
    <t>十三妹酒店</t>
    <phoneticPr fontId="261" type="noConversion"/>
  </si>
  <si>
    <t>休闲中心</t>
    <phoneticPr fontId="261" type="noConversion"/>
  </si>
  <si>
    <t>2015规（密）建字0002号</t>
    <phoneticPr fontId="261" type="noConversion"/>
  </si>
  <si>
    <t>2016规（密）建字0005号</t>
    <phoneticPr fontId="261" type="noConversion"/>
  </si>
  <si>
    <t>——</t>
    <phoneticPr fontId="205" type="noConversion"/>
  </si>
  <si>
    <t>2013规（密）建字0064号</t>
    <phoneticPr fontId="3" type="noConversion"/>
  </si>
  <si>
    <t>差</t>
  </si>
  <si>
    <t>较差</t>
  </si>
  <si>
    <t>[2013]施[密]建字0033号</t>
    <phoneticPr fontId="3" type="noConversion"/>
  </si>
  <si>
    <t>[2016]施[密]建字0025号</t>
    <phoneticPr fontId="261" type="noConversion"/>
  </si>
  <si>
    <t>[2016]施[密]建字0003号</t>
    <phoneticPr fontId="205" type="noConversion"/>
  </si>
  <si>
    <t>[2016]施[密]建字0003号</t>
    <phoneticPr fontId="261" type="noConversion"/>
  </si>
  <si>
    <t>[2016]施[密]建字0026号</t>
    <phoneticPr fontId="205" type="noConversion"/>
  </si>
  <si>
    <t>[2013]施[密]建字0035号</t>
    <phoneticPr fontId="3" type="noConversion"/>
  </si>
  <si>
    <t>[2014]施[密]建字0035号</t>
    <phoneticPr fontId="261" type="noConversion"/>
  </si>
  <si>
    <t>[2014]施[密]建字0036号</t>
    <phoneticPr fontId="3" type="noConversion"/>
  </si>
  <si>
    <t>[2014]施[密]建字0036号</t>
    <phoneticPr fontId="261" type="noConversion"/>
  </si>
  <si>
    <t>[2014]施[密]建字0037号</t>
    <phoneticPr fontId="3" type="noConversion"/>
  </si>
  <si>
    <t>[2014]施[密]建字0038号</t>
    <phoneticPr fontId="3" type="noConversion"/>
  </si>
  <si>
    <t>[2014]施[密]建字0038号</t>
    <phoneticPr fontId="3" type="noConversion"/>
  </si>
  <si>
    <t>[2015]施[密]建字0010号</t>
    <phoneticPr fontId="261" type="noConversion"/>
  </si>
  <si>
    <t>[2015]施[密]建字0005号</t>
    <phoneticPr fontId="3" type="noConversion"/>
  </si>
  <si>
    <t>[2014]施[密]建字0039号</t>
    <phoneticPr fontId="3" type="noConversion"/>
  </si>
  <si>
    <t>[2014]施[密]建字0039号</t>
    <phoneticPr fontId="3" type="noConversion"/>
  </si>
  <si>
    <t>[2014]施[密]建字0039号</t>
    <phoneticPr fontId="3" type="noConversion"/>
  </si>
  <si>
    <t>[2014]施[密]建字0040号</t>
    <phoneticPr fontId="3" type="noConversion"/>
  </si>
  <si>
    <t>[2014]施[密]建字0040号</t>
    <phoneticPr fontId="3" type="noConversion"/>
  </si>
  <si>
    <t>[2014]施[密]建字0044号</t>
    <phoneticPr fontId="3" type="noConversion"/>
  </si>
  <si>
    <t>[2014]施[密]建字0045号</t>
    <phoneticPr fontId="3" type="noConversion"/>
  </si>
  <si>
    <t>[2015]施[密]建字0004号</t>
    <phoneticPr fontId="3" type="noConversion"/>
  </si>
  <si>
    <t>[2014]施[密]建字0036号</t>
    <phoneticPr fontId="261" type="noConversion"/>
  </si>
  <si>
    <t>建筑面积</t>
  </si>
  <si>
    <t>项目全部</t>
  </si>
  <si>
    <t>土地面积</t>
  </si>
  <si>
    <t>部分缴纳</t>
  </si>
  <si>
    <t>已部分缴纳</t>
  </si>
  <si>
    <t>五区商铺等49项</t>
    <phoneticPr fontId="261" type="noConversion"/>
  </si>
  <si>
    <t>[2014]施[密]建字0045号</t>
    <phoneticPr fontId="3" type="noConversion"/>
  </si>
  <si>
    <t>[2015]施[密]建字0005号</t>
    <phoneticPr fontId="3" type="noConversion"/>
  </si>
  <si>
    <t>[2016]施[密]建字0025号</t>
    <phoneticPr fontId="261" type="noConversion"/>
  </si>
  <si>
    <t>[2014]施[密]建字0037号</t>
    <phoneticPr fontId="3" type="noConversion"/>
  </si>
  <si>
    <t>[2015]施[密]建字0004号</t>
    <phoneticPr fontId="3" type="noConversion"/>
  </si>
  <si>
    <t>[2015]施[密]建字0010号</t>
    <phoneticPr fontId="261" type="noConversion"/>
  </si>
  <si>
    <t>[2016]施[密]建字0003号</t>
    <phoneticPr fontId="205" type="noConversion"/>
  </si>
  <si>
    <t>[2016]施[密]建字0026号</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</si>
</sst>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9"/>
      <name val="宋体"/>
      <family val="2"/>
      <charset val="134"/>
      <scheme val="minor"/>
    </font>
    <font>
      <sz val="10"/>
      <name val="宋体"/>
      <family val="3"/>
      <charset val="134"/>
      <scheme val="minor"/>
    </font>
    <font>
      <b/>
      <sz val="10"/>
      <name val="宋体"/>
      <family val="3"/>
      <charset val="134"/>
      <scheme val="minor"/>
    </font>
    <font>
      <b/>
      <sz val="10"/>
      <color rgb="FFFF0000"/>
      <name val="宋体"/>
      <family val="3"/>
      <charset val="134"/>
      <scheme val="minor"/>
    </font>
    <font>
      <sz val="12"/>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FFC000"/>
        <bgColor indexed="64"/>
      </patternFill>
    </fill>
  </fills>
  <borders count="1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91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1" xfId="0" applyFont="1" applyFill="1" applyBorder="1" applyAlignment="1" applyProtection="1">
      <alignment vertical="center" wrapText="1"/>
    </xf>
    <xf numFmtId="0" fontId="29" fillId="6" borderId="152" xfId="0" applyFont="1" applyFill="1" applyBorder="1" applyAlignment="1" applyProtection="1">
      <alignment vertical="center" wrapText="1"/>
    </xf>
    <xf numFmtId="0" fontId="29" fillId="6" borderId="151" xfId="0" applyFont="1" applyFill="1" applyBorder="1" applyAlignment="1" applyProtection="1">
      <alignment horizontal="center" vertical="center" wrapText="1"/>
    </xf>
    <xf numFmtId="0" fontId="29" fillId="0" borderId="151" xfId="0" applyFont="1" applyBorder="1" applyAlignment="1" applyProtection="1">
      <alignment vertical="center" wrapText="1"/>
    </xf>
    <xf numFmtId="0" fontId="256" fillId="6" borderId="151"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7" fillId="7" borderId="4" xfId="0" applyFont="1" applyFill="1" applyBorder="1" applyAlignment="1" applyProtection="1">
      <alignment vertical="center"/>
      <protection locked="0"/>
    </xf>
    <xf numFmtId="0" fontId="155" fillId="0" borderId="1" xfId="0" applyFont="1" applyBorder="1" applyAlignment="1">
      <alignment horizontal="center" vertical="center" wrapText="1"/>
    </xf>
    <xf numFmtId="49" fontId="155" fillId="0" borderId="1" xfId="0" applyNumberFormat="1" applyFont="1" applyBorder="1" applyAlignment="1">
      <alignment horizontal="center" vertical="center" wrapText="1"/>
    </xf>
    <xf numFmtId="0" fontId="155" fillId="0" borderId="5" xfId="0" applyFont="1" applyBorder="1" applyAlignment="1">
      <alignment horizontal="center" vertical="center" wrapText="1"/>
    </xf>
    <xf numFmtId="0" fontId="155" fillId="0" borderId="3" xfId="0" applyFont="1" applyBorder="1" applyAlignment="1">
      <alignment horizontal="center" vertical="center" wrapText="1"/>
    </xf>
    <xf numFmtId="179" fontId="155" fillId="0" borderId="1" xfId="0" applyNumberFormat="1" applyFont="1" applyBorder="1" applyAlignment="1">
      <alignment horizontal="center" vertical="center" wrapText="1"/>
    </xf>
    <xf numFmtId="0" fontId="155" fillId="0" borderId="5" xfId="0" applyFont="1" applyFill="1" applyBorder="1" applyAlignment="1">
      <alignment horizontal="center" vertical="center" wrapText="1"/>
    </xf>
    <xf numFmtId="0" fontId="262" fillId="0" borderId="5" xfId="0" applyFont="1" applyFill="1" applyBorder="1" applyAlignment="1">
      <alignment horizontal="center" vertical="center" wrapText="1"/>
    </xf>
    <xf numFmtId="0" fontId="262" fillId="0" borderId="1" xfId="0" applyFont="1" applyFill="1" applyBorder="1" applyAlignment="1">
      <alignment horizontal="center" vertical="center" wrapText="1"/>
    </xf>
    <xf numFmtId="0" fontId="262" fillId="5" borderId="3" xfId="0" applyFont="1" applyFill="1" applyBorder="1" applyAlignment="1">
      <alignment horizontal="center" vertical="center" wrapText="1"/>
    </xf>
    <xf numFmtId="0" fontId="262" fillId="5" borderId="1" xfId="0" applyFont="1" applyFill="1" applyBorder="1" applyAlignment="1">
      <alignment horizontal="center" vertical="center" wrapText="1"/>
    </xf>
    <xf numFmtId="0" fontId="162" fillId="0" borderId="1" xfId="0" applyFont="1" applyBorder="1" applyAlignment="1">
      <alignment horizontal="center" vertical="center" wrapText="1"/>
    </xf>
    <xf numFmtId="0" fontId="162" fillId="0" borderId="5" xfId="0" applyFont="1" applyBorder="1" applyAlignment="1">
      <alignment horizontal="center" vertical="center" wrapText="1"/>
    </xf>
    <xf numFmtId="0" fontId="262" fillId="0" borderId="3" xfId="0" applyFont="1" applyFill="1" applyBorder="1" applyAlignment="1">
      <alignment horizontal="center" vertical="center" wrapText="1"/>
    </xf>
    <xf numFmtId="0" fontId="262" fillId="0" borderId="1" xfId="0" applyFont="1" applyBorder="1" applyAlignment="1">
      <alignment horizontal="center" vertical="center" wrapText="1"/>
    </xf>
    <xf numFmtId="0" fontId="262" fillId="0" borderId="1" xfId="0" applyFont="1" applyFill="1" applyBorder="1" applyAlignment="1">
      <alignment horizontal="center" vertical="center"/>
    </xf>
    <xf numFmtId="0" fontId="262" fillId="5" borderId="1" xfId="0" applyFont="1" applyFill="1" applyBorder="1" applyAlignment="1">
      <alignment horizontal="center" vertical="center"/>
    </xf>
    <xf numFmtId="0" fontId="155" fillId="7" borderId="1" xfId="0" applyFont="1" applyFill="1" applyBorder="1" applyAlignment="1">
      <alignment horizontal="center" wrapText="1"/>
    </xf>
    <xf numFmtId="0" fontId="262" fillId="7" borderId="1" xfId="0" applyFont="1" applyFill="1" applyBorder="1" applyAlignment="1">
      <alignment horizontal="center" wrapText="1"/>
    </xf>
    <xf numFmtId="0" fontId="262" fillId="0" borderId="1" xfId="0" applyFont="1" applyFill="1" applyBorder="1" applyAlignment="1">
      <alignment horizontal="left" wrapText="1"/>
    </xf>
    <xf numFmtId="0" fontId="113" fillId="0" borderId="1" xfId="0" applyFont="1" applyBorder="1" applyAlignment="1">
      <alignment horizontal="center" vertical="center" wrapText="1"/>
    </xf>
    <xf numFmtId="0" fontId="262" fillId="0" borderId="1" xfId="0" applyFont="1" applyFill="1" applyBorder="1" applyAlignment="1">
      <alignment horizontal="center" wrapText="1"/>
    </xf>
    <xf numFmtId="0" fontId="20" fillId="0" borderId="1" xfId="0" applyFont="1" applyFill="1" applyBorder="1" applyAlignment="1">
      <alignment vertical="center" wrapText="1"/>
    </xf>
    <xf numFmtId="0" fontId="108" fillId="0" borderId="1" xfId="0" applyFont="1" applyFill="1" applyBorder="1" applyAlignment="1">
      <alignment vertical="center" wrapText="1"/>
    </xf>
    <xf numFmtId="0" fontId="113" fillId="0" borderId="1" xfId="0" applyFont="1" applyFill="1" applyBorder="1" applyAlignment="1">
      <alignment horizontal="center" vertical="center" wrapText="1"/>
    </xf>
    <xf numFmtId="0" fontId="162" fillId="0" borderId="1" xfId="0" applyFont="1" applyFill="1" applyBorder="1" applyAlignment="1">
      <alignment horizontal="center" vertical="center" wrapText="1"/>
    </xf>
    <xf numFmtId="0" fontId="20" fillId="5" borderId="1" xfId="0" applyFont="1" applyFill="1" applyBorder="1" applyAlignment="1">
      <alignment vertical="center" wrapText="1"/>
    </xf>
    <xf numFmtId="0" fontId="20" fillId="0" borderId="1" xfId="0" applyFont="1" applyBorder="1" applyAlignment="1">
      <alignment vertical="center" wrapText="1"/>
    </xf>
    <xf numFmtId="0" fontId="262" fillId="0" borderId="1" xfId="0" applyFont="1" applyBorder="1" applyAlignment="1">
      <alignment horizontal="center" vertical="center"/>
    </xf>
    <xf numFmtId="0" fontId="108" fillId="0" borderId="1" xfId="0" applyFont="1" applyBorder="1" applyAlignment="1">
      <alignment vertical="center" wrapText="1"/>
    </xf>
    <xf numFmtId="0" fontId="263" fillId="0" borderId="5" xfId="0" applyFont="1" applyBorder="1" applyAlignment="1">
      <alignment horizontal="center" vertical="center" wrapText="1"/>
    </xf>
    <xf numFmtId="0" fontId="263" fillId="0" borderId="1" xfId="0" applyFont="1" applyBorder="1" applyAlignment="1">
      <alignment horizontal="center" vertical="center" wrapText="1"/>
    </xf>
    <xf numFmtId="0" fontId="263" fillId="0" borderId="3" xfId="0" applyFont="1" applyFill="1" applyBorder="1" applyAlignment="1">
      <alignment horizontal="center" vertical="center" wrapText="1"/>
    </xf>
    <xf numFmtId="0" fontId="114" fillId="0" borderId="1" xfId="0" applyFont="1" applyBorder="1" applyAlignment="1">
      <alignment horizontal="center" vertical="center" wrapText="1"/>
    </xf>
    <xf numFmtId="179" fontId="114" fillId="0" borderId="1" xfId="0" applyNumberFormat="1" applyFont="1" applyFill="1" applyBorder="1" applyAlignment="1">
      <alignment horizontal="center" vertical="center" wrapText="1"/>
    </xf>
    <xf numFmtId="0" fontId="113" fillId="5" borderId="1" xfId="0" applyFont="1" applyFill="1" applyBorder="1" applyAlignment="1">
      <alignment horizontal="center" vertical="center" wrapText="1"/>
    </xf>
    <xf numFmtId="0" fontId="263" fillId="5" borderId="5" xfId="0" applyFont="1" applyFill="1" applyBorder="1" applyAlignment="1">
      <alignment horizontal="center" vertical="center" wrapText="1"/>
    </xf>
    <xf numFmtId="0" fontId="263" fillId="5" borderId="1" xfId="0" applyFont="1" applyFill="1" applyBorder="1" applyAlignment="1">
      <alignment horizontal="center" vertical="center" wrapText="1"/>
    </xf>
    <xf numFmtId="0" fontId="263" fillId="5" borderId="3" xfId="0" applyFont="1" applyFill="1" applyBorder="1" applyAlignment="1">
      <alignment horizontal="center" vertical="center" wrapText="1"/>
    </xf>
    <xf numFmtId="179" fontId="114" fillId="5" borderId="1" xfId="0" applyNumberFormat="1" applyFont="1" applyFill="1" applyBorder="1" applyAlignment="1">
      <alignment horizontal="center" vertical="center" wrapText="1"/>
    </xf>
    <xf numFmtId="0" fontId="262" fillId="0" borderId="3" xfId="0" applyFont="1" applyFill="1" applyBorder="1" applyAlignment="1">
      <alignment horizontal="center" wrapText="1"/>
    </xf>
    <xf numFmtId="0" fontId="155" fillId="0" borderId="1" xfId="0" applyFont="1" applyBorder="1" applyAlignment="1">
      <alignment horizontal="center" vertical="center"/>
    </xf>
    <xf numFmtId="0" fontId="108" fillId="0" borderId="1" xfId="0" applyFont="1" applyBorder="1" applyAlignment="1">
      <alignment horizontal="center" vertical="center" wrapText="1"/>
    </xf>
    <xf numFmtId="0" fontId="155" fillId="0" borderId="1" xfId="0" applyFont="1" applyFill="1" applyBorder="1" applyAlignment="1">
      <alignment horizontal="center" vertical="center"/>
    </xf>
    <xf numFmtId="0" fontId="155" fillId="5" borderId="1" xfId="0" applyFont="1" applyFill="1" applyBorder="1" applyAlignment="1">
      <alignment horizontal="center" vertical="center"/>
    </xf>
    <xf numFmtId="0" fontId="263" fillId="7" borderId="1" xfId="0" applyFont="1" applyFill="1" applyBorder="1" applyAlignment="1">
      <alignment horizontal="center" vertical="center" wrapText="1"/>
    </xf>
    <xf numFmtId="0" fontId="263" fillId="0" borderId="1" xfId="0" applyFont="1" applyFill="1" applyBorder="1" applyAlignment="1">
      <alignment horizontal="center" vertical="center" wrapText="1"/>
    </xf>
    <xf numFmtId="0" fontId="262" fillId="7" borderId="1" xfId="0" applyFont="1" applyFill="1" applyBorder="1" applyAlignment="1">
      <alignment horizontal="center" vertical="center" wrapText="1"/>
    </xf>
    <xf numFmtId="0" fontId="114" fillId="0" borderId="1" xfId="0" applyFont="1" applyFill="1" applyBorder="1" applyAlignment="1">
      <alignment horizontal="center" vertical="center" wrapText="1"/>
    </xf>
    <xf numFmtId="0" fontId="195" fillId="0" borderId="1" xfId="0" applyFont="1" applyBorder="1" applyAlignment="1">
      <alignment horizontal="center" vertical="center" wrapText="1"/>
    </xf>
    <xf numFmtId="0" fontId="108" fillId="5" borderId="1" xfId="0" applyFont="1" applyFill="1" applyBorder="1" applyAlignment="1">
      <alignment horizontal="center" vertical="center" wrapText="1"/>
    </xf>
    <xf numFmtId="0" fontId="108"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95" fillId="0" borderId="1" xfId="0" applyFont="1" applyFill="1" applyBorder="1" applyAlignment="1">
      <alignment horizontal="center" vertical="center" wrapText="1"/>
    </xf>
    <xf numFmtId="0" fontId="155" fillId="0" borderId="1" xfId="0" applyFont="1" applyFill="1" applyBorder="1" applyAlignment="1">
      <alignment horizontal="center" vertical="center" wrapText="1"/>
    </xf>
    <xf numFmtId="0" fontId="155" fillId="0" borderId="13" xfId="0" applyFont="1" applyBorder="1" applyAlignment="1">
      <alignment vertical="center" wrapText="1"/>
    </xf>
    <xf numFmtId="0" fontId="163" fillId="0" borderId="1" xfId="0" applyFont="1" applyFill="1" applyBorder="1" applyAlignment="1">
      <alignment horizontal="center" vertical="center" wrapText="1"/>
    </xf>
    <xf numFmtId="0" fontId="155" fillId="5" borderId="1" xfId="0" applyFont="1" applyFill="1" applyBorder="1" applyAlignment="1">
      <alignment horizontal="center" vertical="center" wrapText="1"/>
    </xf>
    <xf numFmtId="0" fontId="155" fillId="0" borderId="0" xfId="0" applyFont="1" applyAlignment="1">
      <alignment vertical="center" wrapText="1"/>
    </xf>
    <xf numFmtId="0" fontId="162" fillId="0" borderId="1" xfId="0" applyFont="1" applyBorder="1" applyAlignment="1">
      <alignment vertical="center" wrapText="1"/>
    </xf>
    <xf numFmtId="0" fontId="155" fillId="0" borderId="1" xfId="0" applyFont="1" applyBorder="1" applyAlignment="1">
      <alignment vertical="center" wrapText="1"/>
    </xf>
    <xf numFmtId="179" fontId="162" fillId="0" borderId="1" xfId="0" applyNumberFormat="1" applyFont="1" applyBorder="1" applyAlignment="1">
      <alignment horizontal="center" vertical="center" wrapText="1"/>
    </xf>
    <xf numFmtId="0" fontId="155" fillId="0" borderId="0" xfId="0" applyFont="1" applyAlignment="1">
      <alignment horizontal="center" vertical="center" wrapText="1"/>
    </xf>
    <xf numFmtId="0" fontId="162" fillId="5" borderId="1" xfId="0" applyFont="1" applyFill="1" applyBorder="1" applyAlignment="1">
      <alignment vertical="center" wrapText="1"/>
    </xf>
    <xf numFmtId="179" fontId="162" fillId="5" borderId="1" xfId="0" applyNumberFormat="1" applyFont="1" applyFill="1" applyBorder="1" applyAlignment="1">
      <alignment vertical="center" wrapText="1"/>
    </xf>
    <xf numFmtId="179" fontId="155" fillId="0" borderId="0" xfId="0" applyNumberFormat="1" applyFont="1" applyAlignment="1">
      <alignment vertical="center" wrapText="1"/>
    </xf>
    <xf numFmtId="0" fontId="113" fillId="0" borderId="1" xfId="1" applyFont="1" applyBorder="1" applyAlignment="1" applyProtection="1">
      <alignment horizontal="left"/>
      <protection hidden="1"/>
    </xf>
    <xf numFmtId="177" fontId="113" fillId="0" borderId="1" xfId="1" applyNumberFormat="1" applyFont="1" applyBorder="1" applyAlignment="1" applyProtection="1">
      <alignment horizontal="center"/>
      <protection hidden="1"/>
    </xf>
    <xf numFmtId="0" fontId="113" fillId="0" borderId="1" xfId="1" applyFont="1" applyBorder="1" applyAlignment="1" applyProtection="1">
      <alignment horizontal="center"/>
      <protection hidden="1"/>
    </xf>
    <xf numFmtId="0" fontId="162" fillId="0" borderId="1" xfId="0" applyFont="1" applyBorder="1" applyAlignment="1">
      <alignment horizontal="center" vertical="center"/>
    </xf>
    <xf numFmtId="0" fontId="113" fillId="0" borderId="1" xfId="1" applyFont="1" applyBorder="1" applyAlignment="1" applyProtection="1">
      <alignment horizontal="center" vertical="center"/>
      <protection hidden="1"/>
    </xf>
    <xf numFmtId="0" fontId="108" fillId="0" borderId="1" xfId="1" applyFont="1" applyBorder="1" applyAlignment="1" applyProtection="1">
      <alignment horizontal="center"/>
      <protection hidden="1"/>
    </xf>
    <xf numFmtId="179" fontId="20" fillId="0" borderId="1" xfId="1" applyNumberFormat="1" applyFont="1" applyBorder="1" applyAlignment="1" applyProtection="1">
      <alignment horizontal="center"/>
      <protection hidden="1"/>
    </xf>
    <xf numFmtId="177" fontId="108" fillId="0" borderId="1" xfId="1" applyNumberFormat="1" applyFont="1" applyBorder="1" applyAlignment="1" applyProtection="1">
      <alignment horizontal="center"/>
      <protection hidden="1"/>
    </xf>
    <xf numFmtId="9" fontId="162" fillId="0" borderId="1" xfId="0" applyNumberFormat="1" applyFont="1" applyBorder="1" applyAlignment="1">
      <alignment horizontal="center" vertical="center"/>
    </xf>
    <xf numFmtId="179" fontId="162" fillId="0" borderId="1" xfId="0" applyNumberFormat="1" applyFont="1" applyBorder="1" applyAlignment="1">
      <alignment horizontal="center" vertical="center"/>
    </xf>
    <xf numFmtId="177" fontId="113" fillId="0" borderId="1" xfId="1" applyNumberFormat="1" applyFont="1" applyBorder="1" applyAlignment="1" applyProtection="1">
      <alignment horizontal="center" vertical="center"/>
      <protection hidden="1"/>
    </xf>
    <xf numFmtId="0" fontId="0" fillId="0" borderId="0" xfId="0" applyAlignment="1">
      <alignment horizontal="center"/>
    </xf>
    <xf numFmtId="179" fontId="108" fillId="0" borderId="1" xfId="1" applyNumberFormat="1" applyFont="1" applyBorder="1" applyAlignment="1" applyProtection="1">
      <alignment horizontal="center"/>
      <protection hidden="1"/>
    </xf>
    <xf numFmtId="9" fontId="264" fillId="0" borderId="1" xfId="0" applyNumberFormat="1" applyFont="1" applyBorder="1" applyAlignment="1">
      <alignment horizontal="center" vertical="center"/>
    </xf>
    <xf numFmtId="0" fontId="108" fillId="0" borderId="0" xfId="0" applyFont="1" applyAlignment="1">
      <alignment horizontal="center" vertical="center" wrapText="1"/>
    </xf>
    <xf numFmtId="0" fontId="108" fillId="0" borderId="0" xfId="1" applyFont="1" applyFill="1" applyBorder="1" applyAlignment="1" applyProtection="1">
      <alignment horizontal="center"/>
      <protection hidden="1"/>
    </xf>
    <xf numFmtId="177" fontId="0" fillId="0" borderId="0" xfId="0" applyNumberFormat="1" applyAlignment="1"/>
    <xf numFmtId="177" fontId="164" fillId="16" borderId="1" xfId="1" applyNumberFormat="1" applyFont="1" applyFill="1" applyBorder="1" applyAlignment="1" applyProtection="1">
      <alignment horizontal="center" vertical="center"/>
    </xf>
    <xf numFmtId="0" fontId="68" fillId="16" borderId="1" xfId="1" applyNumberFormat="1" applyFont="1" applyFill="1" applyBorder="1" applyAlignment="1" applyProtection="1">
      <alignment horizontal="center" vertical="center"/>
      <protection locked="0"/>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140" fillId="5" borderId="9" xfId="0" applyFont="1" applyFill="1" applyBorder="1" applyAlignment="1" applyProtection="1">
      <alignment horizontal="center" vertical="center" wrapText="1"/>
      <protection locked="0"/>
    </xf>
    <xf numFmtId="0" fontId="79" fillId="16" borderId="9" xfId="0" applyFont="1" applyFill="1" applyBorder="1" applyAlignment="1" applyProtection="1">
      <alignment horizontal="center" vertical="center" wrapText="1"/>
      <protection locked="0"/>
    </xf>
    <xf numFmtId="0" fontId="155" fillId="0" borderId="1" xfId="0" applyFont="1" applyBorder="1" applyAlignment="1">
      <alignment horizontal="center" vertical="center" wrapText="1"/>
    </xf>
    <xf numFmtId="0" fontId="162" fillId="0" borderId="1" xfId="0" applyFont="1" applyBorder="1" applyAlignment="1">
      <alignment horizontal="center" vertical="center" wrapText="1"/>
    </xf>
    <xf numFmtId="179" fontId="162" fillId="0" borderId="1" xfId="0" applyNumberFormat="1" applyFont="1" applyBorder="1" applyAlignment="1">
      <alignment horizontal="center" vertical="center" wrapText="1"/>
    </xf>
    <xf numFmtId="0" fontId="262" fillId="0" borderId="1" xfId="0" applyFont="1" applyFill="1" applyBorder="1" applyAlignment="1">
      <alignment horizontal="center" vertical="center" wrapText="1"/>
    </xf>
    <xf numFmtId="0" fontId="155" fillId="0" borderId="5" xfId="0" applyFont="1" applyBorder="1" applyAlignment="1">
      <alignment horizontal="center" vertical="center" wrapText="1"/>
    </xf>
    <xf numFmtId="0" fontId="155" fillId="7" borderId="1" xfId="0" applyFont="1" applyFill="1" applyBorder="1" applyAlignment="1">
      <alignment horizontal="center" vertical="center" wrapText="1"/>
    </xf>
    <xf numFmtId="49" fontId="155" fillId="0" borderId="1" xfId="0" applyNumberFormat="1" applyFont="1" applyBorder="1" applyAlignment="1">
      <alignment horizontal="center" vertical="center" wrapText="1"/>
    </xf>
    <xf numFmtId="0" fontId="108" fillId="0" borderId="15" xfId="1" applyFont="1" applyFill="1" applyBorder="1" applyAlignment="1" applyProtection="1">
      <alignment horizontal="center"/>
      <protection hidden="1"/>
    </xf>
    <xf numFmtId="179" fontId="0" fillId="0" borderId="0" xfId="0" applyNumberFormat="1" applyAlignment="1"/>
    <xf numFmtId="0" fontId="155" fillId="0" borderId="1" xfId="0" applyFont="1" applyBorder="1" applyAlignment="1">
      <alignment horizontal="center" vertical="center" wrapText="1"/>
    </xf>
    <xf numFmtId="43" fontId="20" fillId="0" borderId="1" xfId="0" applyNumberFormat="1" applyFont="1" applyBorder="1" applyAlignment="1"/>
    <xf numFmtId="0" fontId="262" fillId="0" borderId="3" xfId="0" applyFont="1" applyBorder="1" applyAlignment="1">
      <alignment horizontal="center" vertical="center" wrapText="1"/>
    </xf>
    <xf numFmtId="0" fontId="262" fillId="7" borderId="1" xfId="0" applyFont="1" applyFill="1" applyBorder="1" applyAlignment="1">
      <alignment horizontal="left" wrapText="1"/>
    </xf>
    <xf numFmtId="0" fontId="155" fillId="0" borderId="1" xfId="0" applyFont="1" applyFill="1" applyBorder="1" applyAlignment="1">
      <alignment horizontal="left" wrapText="1"/>
    </xf>
    <xf numFmtId="0" fontId="155" fillId="0" borderId="1" xfId="0" applyFont="1" applyFill="1" applyBorder="1" applyAlignment="1">
      <alignment horizontal="center" wrapText="1"/>
    </xf>
    <xf numFmtId="0" fontId="155" fillId="17" borderId="1" xfId="0" applyFont="1" applyFill="1" applyBorder="1" applyAlignment="1">
      <alignment horizontal="center" vertical="center" wrapText="1"/>
    </xf>
    <xf numFmtId="0" fontId="108" fillId="17" borderId="1" xfId="0" applyFont="1" applyFill="1" applyBorder="1" applyAlignment="1">
      <alignment vertical="center" wrapText="1"/>
    </xf>
    <xf numFmtId="0" fontId="162" fillId="0" borderId="3" xfId="0" applyFont="1" applyBorder="1" applyAlignment="1">
      <alignment horizontal="center" vertical="center" wrapText="1"/>
    </xf>
    <xf numFmtId="179" fontId="113" fillId="0" borderId="1" xfId="0" applyNumberFormat="1"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1" xfId="0" applyFont="1" applyFill="1" applyBorder="1" applyAlignment="1">
      <alignment horizontal="center" vertical="center" wrapText="1"/>
    </xf>
    <xf numFmtId="0" fontId="162" fillId="5" borderId="3" xfId="0" applyFont="1" applyFill="1" applyBorder="1" applyAlignment="1">
      <alignment horizontal="center" vertical="center" wrapText="1"/>
    </xf>
    <xf numFmtId="179" fontId="113" fillId="5" borderId="1" xfId="0" applyNumberFormat="1" applyFont="1" applyFill="1" applyBorder="1" applyAlignment="1">
      <alignment horizontal="center" vertical="center" wrapText="1"/>
    </xf>
    <xf numFmtId="0" fontId="155" fillId="0" borderId="3" xfId="0" applyFont="1" applyFill="1" applyBorder="1" applyAlignment="1">
      <alignment horizontal="center" wrapText="1"/>
    </xf>
    <xf numFmtId="0" fontId="162" fillId="7" borderId="1" xfId="0" applyFont="1" applyFill="1" applyBorder="1" applyAlignment="1">
      <alignment horizontal="center" vertical="center" wrapText="1"/>
    </xf>
    <xf numFmtId="0" fontId="262" fillId="0" borderId="0" xfId="0" applyFont="1" applyAlignment="1">
      <alignment vertical="center" wrapText="1"/>
    </xf>
    <xf numFmtId="0" fontId="263" fillId="0" borderId="0" xfId="0" applyFont="1" applyAlignment="1">
      <alignment vertical="center" wrapText="1"/>
    </xf>
    <xf numFmtId="179" fontId="162" fillId="0" borderId="1" xfId="0" applyNumberFormat="1" applyFont="1" applyFill="1" applyBorder="1" applyAlignment="1">
      <alignment vertical="center" wrapText="1"/>
    </xf>
    <xf numFmtId="0" fontId="155" fillId="7" borderId="1" xfId="0" applyFont="1" applyFill="1" applyBorder="1" applyAlignment="1">
      <alignment horizontal="center" vertical="center" wrapText="1"/>
    </xf>
    <xf numFmtId="0" fontId="20" fillId="0" borderId="1" xfId="0" applyFont="1" applyBorder="1" applyAlignment="1"/>
    <xf numFmtId="0" fontId="162" fillId="0" borderId="13" xfId="0" applyFont="1" applyBorder="1" applyAlignment="1">
      <alignment horizontal="center" vertical="center" wrapText="1"/>
    </xf>
    <xf numFmtId="0" fontId="163" fillId="0" borderId="5" xfId="0" applyFont="1" applyFill="1" applyBorder="1" applyAlignment="1">
      <alignment horizontal="center" vertical="center" wrapText="1"/>
    </xf>
    <xf numFmtId="0" fontId="163" fillId="0" borderId="3" xfId="0" applyFont="1" applyFill="1" applyBorder="1" applyAlignment="1">
      <alignment horizontal="center" vertical="center" wrapText="1"/>
    </xf>
    <xf numFmtId="0" fontId="163" fillId="0" borderId="1" xfId="0" applyFont="1" applyFill="1" applyBorder="1" applyAlignment="1">
      <alignment horizontal="center" vertical="center"/>
    </xf>
    <xf numFmtId="0" fontId="163" fillId="0" borderId="15" xfId="0" applyFont="1" applyFill="1" applyBorder="1" applyAlignment="1">
      <alignment horizontal="center" vertical="center" wrapText="1"/>
    </xf>
    <xf numFmtId="0" fontId="264" fillId="0" borderId="1" xfId="0" applyFont="1" applyFill="1" applyBorder="1" applyAlignment="1">
      <alignment horizontal="center" vertical="center" wrapText="1"/>
    </xf>
    <xf numFmtId="0" fontId="264" fillId="0" borderId="5" xfId="0" applyFont="1" applyFill="1" applyBorder="1" applyAlignment="1">
      <alignment horizontal="center" vertical="center" wrapText="1"/>
    </xf>
    <xf numFmtId="0" fontId="162" fillId="0" borderId="2" xfId="0" applyFont="1" applyFill="1" applyBorder="1" applyAlignment="1">
      <alignment horizontal="center" vertical="center" wrapText="1"/>
    </xf>
    <xf numFmtId="0" fontId="155" fillId="0" borderId="0" xfId="0" applyFont="1" applyFill="1" applyAlignment="1">
      <alignment vertical="center" wrapText="1"/>
    </xf>
    <xf numFmtId="0" fontId="195" fillId="0" borderId="3" xfId="0" applyFont="1" applyFill="1" applyBorder="1" applyAlignment="1">
      <alignment vertical="center" wrapText="1"/>
    </xf>
    <xf numFmtId="0" fontId="195" fillId="0" borderId="1" xfId="0" applyFont="1" applyFill="1" applyBorder="1" applyAlignment="1">
      <alignment vertical="center" wrapText="1"/>
    </xf>
    <xf numFmtId="0" fontId="155" fillId="0" borderId="3" xfId="0" applyFont="1" applyBorder="1" applyAlignment="1">
      <alignment vertical="center" wrapText="1"/>
    </xf>
    <xf numFmtId="179" fontId="155" fillId="0" borderId="1" xfId="0" applyNumberFormat="1" applyFont="1" applyBorder="1" applyAlignment="1">
      <alignment vertical="center" wrapText="1"/>
    </xf>
    <xf numFmtId="49" fontId="262" fillId="0" borderId="1" xfId="0" applyNumberFormat="1" applyFont="1" applyFill="1" applyBorder="1" applyAlignment="1">
      <alignment horizontal="center" vertical="center" wrapText="1"/>
    </xf>
    <xf numFmtId="179" fontId="262" fillId="0" borderId="1" xfId="0" applyNumberFormat="1" applyFont="1" applyFill="1" applyBorder="1" applyAlignment="1">
      <alignment horizontal="center" vertical="center" wrapText="1"/>
    </xf>
    <xf numFmtId="179" fontId="20" fillId="0" borderId="1" xfId="0" applyNumberFormat="1" applyFont="1" applyFill="1" applyBorder="1" applyAlignment="1">
      <alignment horizontal="center" vertical="center" wrapText="1"/>
    </xf>
    <xf numFmtId="0" fontId="130" fillId="0" borderId="0" xfId="0" applyFont="1" applyAlignment="1">
      <alignment horizontal="center" vertical="center"/>
    </xf>
    <xf numFmtId="0" fontId="163" fillId="7" borderId="13" xfId="0" applyFont="1" applyFill="1" applyBorder="1" applyAlignment="1">
      <alignment horizontal="center" vertical="center" wrapText="1"/>
    </xf>
    <xf numFmtId="0" fontId="155" fillId="7" borderId="0" xfId="0" applyFont="1" applyFill="1" applyAlignment="1">
      <alignment vertical="center" wrapText="1"/>
    </xf>
    <xf numFmtId="0" fontId="113" fillId="7" borderId="1" xfId="1" applyFont="1" applyFill="1" applyBorder="1" applyAlignment="1" applyProtection="1">
      <alignment horizontal="center"/>
      <protection hidden="1"/>
    </xf>
    <xf numFmtId="177" fontId="108" fillId="7" borderId="1" xfId="1" applyNumberFormat="1" applyFont="1" applyFill="1" applyBorder="1" applyAlignment="1" applyProtection="1">
      <alignment horizontal="center"/>
      <protection hidden="1"/>
    </xf>
    <xf numFmtId="0" fontId="0" fillId="7" borderId="0" xfId="0" applyFill="1" applyAlignment="1"/>
    <xf numFmtId="0" fontId="155" fillId="7" borderId="5" xfId="0" applyFont="1" applyFill="1" applyBorder="1" applyAlignment="1">
      <alignment horizontal="center" vertical="center" wrapText="1"/>
    </xf>
    <xf numFmtId="0" fontId="163" fillId="7" borderId="5" xfId="0" applyFont="1" applyFill="1" applyBorder="1" applyAlignment="1">
      <alignment horizontal="center" vertical="center" wrapText="1"/>
    </xf>
    <xf numFmtId="0" fontId="141" fillId="5" borderId="23" xfId="0" applyFont="1" applyFill="1" applyBorder="1" applyAlignment="1" applyProtection="1">
      <alignment vertical="center"/>
      <protection locked="0"/>
    </xf>
    <xf numFmtId="10" fontId="141" fillId="5" borderId="1" xfId="0" applyNumberFormat="1" applyFont="1" applyFill="1" applyBorder="1" applyAlignment="1" applyProtection="1">
      <alignment horizontal="center" vertical="center"/>
      <protection locked="0"/>
    </xf>
    <xf numFmtId="0" fontId="140" fillId="5" borderId="1" xfId="0" applyFont="1" applyFill="1" applyBorder="1" applyAlignment="1" applyProtection="1">
      <alignment horizontal="center" vertical="center" wrapText="1"/>
      <protection locked="0"/>
    </xf>
    <xf numFmtId="49" fontId="163" fillId="6" borderId="1" xfId="0" applyNumberFormat="1" applyFont="1" applyFill="1" applyBorder="1" applyAlignment="1" applyProtection="1">
      <alignment horizontal="center" vertical="center" wrapText="1"/>
    </xf>
    <xf numFmtId="0" fontId="163" fillId="0" borderId="13" xfId="0" applyNumberFormat="1" applyFont="1" applyFill="1" applyBorder="1" applyAlignment="1" applyProtection="1">
      <alignment horizontal="center" vertical="center" wrapText="1"/>
      <protection locked="0"/>
    </xf>
    <xf numFmtId="187" fontId="157" fillId="5" borderId="84" xfId="0" applyNumberFormat="1" applyFont="1" applyFill="1" applyBorder="1" applyAlignment="1" applyProtection="1">
      <alignment horizontal="center" vertical="center" wrapText="1"/>
    </xf>
    <xf numFmtId="181" fontId="210" fillId="5" borderId="61" xfId="0" applyNumberFormat="1" applyFont="1" applyFill="1" applyBorder="1" applyAlignment="1" applyProtection="1">
      <alignment horizontal="center" vertical="center"/>
      <protection locked="0"/>
    </xf>
    <xf numFmtId="181" fontId="265" fillId="5" borderId="5" xfId="0" applyNumberFormat="1" applyFont="1" applyFill="1" applyBorder="1" applyAlignment="1" applyProtection="1">
      <alignment horizontal="center" vertical="center"/>
    </xf>
    <xf numFmtId="186" fontId="164" fillId="5" borderId="13" xfId="0" applyNumberFormat="1" applyFont="1" applyFill="1" applyBorder="1" applyAlignment="1" applyProtection="1">
      <alignment horizontal="center" vertical="center"/>
      <protection locked="0"/>
    </xf>
    <xf numFmtId="0" fontId="262" fillId="0" borderId="1" xfId="0" applyFont="1" applyFill="1" applyBorder="1" applyAlignment="1">
      <alignment horizontal="center" vertical="center" wrapText="1"/>
    </xf>
    <xf numFmtId="0" fontId="155" fillId="7" borderId="1" xfId="0" applyFont="1" applyFill="1" applyBorder="1" applyAlignment="1">
      <alignment horizontal="center" vertical="center" wrapText="1"/>
    </xf>
    <xf numFmtId="0" fontId="262" fillId="7" borderId="1" xfId="0" applyFont="1" applyFill="1" applyBorder="1" applyAlignment="1">
      <alignment horizontal="center" vertical="center" wrapText="1"/>
    </xf>
    <xf numFmtId="0" fontId="155" fillId="7" borderId="5" xfId="0" applyFont="1" applyFill="1" applyBorder="1" applyAlignment="1">
      <alignment horizontal="center" vertical="center" wrapText="1"/>
    </xf>
    <xf numFmtId="0" fontId="262" fillId="7" borderId="5" xfId="0" applyFont="1" applyFill="1" applyBorder="1" applyAlignment="1">
      <alignment horizontal="center" vertical="center" wrapText="1"/>
    </xf>
    <xf numFmtId="0" fontId="155" fillId="7" borderId="0" xfId="0" applyFont="1" applyFill="1" applyAlignment="1">
      <alignment horizontal="center" vertical="center" wrapText="1"/>
    </xf>
    <xf numFmtId="0" fontId="113" fillId="7" borderId="1" xfId="1" applyFont="1" applyFill="1" applyBorder="1" applyAlignment="1" applyProtection="1">
      <alignment horizontal="center" vertical="center"/>
      <protection hidden="1"/>
    </xf>
    <xf numFmtId="177" fontId="108" fillId="7" borderId="1" xfId="1" applyNumberFormat="1" applyFont="1" applyFill="1" applyBorder="1" applyAlignment="1" applyProtection="1">
      <alignment horizontal="center" vertical="center"/>
      <protection hidden="1"/>
    </xf>
    <xf numFmtId="0" fontId="0" fillId="7" borderId="0" xfId="0" applyFill="1" applyAlignment="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55" fillId="0" borderId="1" xfId="0" applyFont="1" applyBorder="1" applyAlignment="1">
      <alignment horizontal="center" vertical="center" wrapText="1"/>
    </xf>
    <xf numFmtId="0" fontId="162" fillId="0" borderId="1" xfId="0" applyFont="1" applyBorder="1" applyAlignment="1">
      <alignment horizontal="center" vertical="center" wrapText="1"/>
    </xf>
    <xf numFmtId="179" fontId="162" fillId="0" borderId="1" xfId="0" applyNumberFormat="1" applyFont="1" applyBorder="1" applyAlignment="1">
      <alignment horizontal="center" vertical="center" wrapText="1"/>
    </xf>
    <xf numFmtId="0" fontId="113" fillId="0" borderId="1" xfId="1" applyFont="1" applyBorder="1" applyAlignment="1" applyProtection="1">
      <alignment horizontal="center" vertical="center" wrapText="1"/>
      <protection hidden="1"/>
    </xf>
    <xf numFmtId="0" fontId="155" fillId="0" borderId="13" xfId="0" applyFont="1" applyBorder="1" applyAlignment="1">
      <alignment horizontal="center" vertical="center" wrapText="1"/>
    </xf>
    <xf numFmtId="0" fontId="155" fillId="0" borderId="2" xfId="0" applyFont="1" applyBorder="1" applyAlignment="1">
      <alignment horizontal="center" vertical="center" wrapText="1"/>
    </xf>
    <xf numFmtId="0" fontId="262" fillId="0" borderId="2" xfId="0" applyFont="1" applyFill="1" applyBorder="1" applyAlignment="1">
      <alignment horizontal="center" vertical="center" wrapText="1"/>
    </xf>
    <xf numFmtId="0" fontId="155" fillId="0" borderId="15" xfId="0" applyFont="1" applyBorder="1" applyAlignment="1">
      <alignment horizontal="center" vertical="center" wrapText="1"/>
    </xf>
    <xf numFmtId="0" fontId="262" fillId="0" borderId="1" xfId="0" applyFont="1" applyFill="1" applyBorder="1" applyAlignment="1">
      <alignment horizontal="center" vertical="center" wrapText="1"/>
    </xf>
    <xf numFmtId="0" fontId="155" fillId="0" borderId="5" xfId="0" applyFont="1" applyBorder="1" applyAlignment="1">
      <alignment horizontal="center" vertical="center" wrapText="1"/>
    </xf>
    <xf numFmtId="0" fontId="262" fillId="0" borderId="5" xfId="0" applyFont="1" applyFill="1" applyBorder="1" applyAlignment="1">
      <alignment horizontal="center" vertical="center" wrapText="1"/>
    </xf>
    <xf numFmtId="0" fontId="155" fillId="7" borderId="13" xfId="0" applyFont="1" applyFill="1" applyBorder="1" applyAlignment="1">
      <alignment horizontal="center" vertical="center" wrapText="1"/>
    </xf>
    <xf numFmtId="0" fontId="155" fillId="7" borderId="15" xfId="0" applyFont="1" applyFill="1" applyBorder="1" applyAlignment="1">
      <alignment horizontal="center" vertical="center" wrapText="1"/>
    </xf>
    <xf numFmtId="0" fontId="155" fillId="7" borderId="2" xfId="0" applyFont="1" applyFill="1" applyBorder="1" applyAlignment="1">
      <alignment horizontal="center" vertical="center" wrapText="1"/>
    </xf>
    <xf numFmtId="0" fontId="262" fillId="0" borderId="15" xfId="0" applyFont="1" applyFill="1" applyBorder="1" applyAlignment="1">
      <alignment horizontal="center" vertical="center" wrapText="1"/>
    </xf>
    <xf numFmtId="0" fontId="155" fillId="7" borderId="1" xfId="0" applyFont="1" applyFill="1" applyBorder="1" applyAlignment="1">
      <alignment horizontal="center" vertical="center" wrapText="1"/>
    </xf>
    <xf numFmtId="0" fontId="162" fillId="7" borderId="13" xfId="0" applyFont="1" applyFill="1" applyBorder="1" applyAlignment="1">
      <alignment horizontal="center" vertical="center" wrapText="1"/>
    </xf>
    <xf numFmtId="0" fontId="162" fillId="7" borderId="15" xfId="0" applyFont="1" applyFill="1" applyBorder="1" applyAlignment="1">
      <alignment horizontal="center" vertical="center" wrapText="1"/>
    </xf>
    <xf numFmtId="0" fontId="162" fillId="7" borderId="2" xfId="0" applyFont="1" applyFill="1" applyBorder="1" applyAlignment="1">
      <alignment horizontal="center" vertical="center" wrapText="1"/>
    </xf>
    <xf numFmtId="49" fontId="155" fillId="0" borderId="1" xfId="0" applyNumberFormat="1" applyFont="1" applyBorder="1" applyAlignment="1">
      <alignment horizontal="center" vertical="center" wrapText="1"/>
    </xf>
    <xf numFmtId="0" fontId="155" fillId="7" borderId="13" xfId="0" applyFont="1" applyFill="1" applyBorder="1" applyAlignment="1">
      <alignment horizontal="center" wrapText="1"/>
    </xf>
    <xf numFmtId="0" fontId="155" fillId="7" borderId="2" xfId="0" applyFont="1" applyFill="1" applyBorder="1" applyAlignment="1">
      <alignment horizontal="center" wrapText="1"/>
    </xf>
    <xf numFmtId="0" fontId="262" fillId="7" borderId="15" xfId="0" applyFont="1" applyFill="1" applyBorder="1" applyAlignment="1">
      <alignment horizontal="center" vertical="center" wrapText="1"/>
    </xf>
    <xf numFmtId="0" fontId="262" fillId="7" borderId="2" xfId="0" applyFont="1" applyFill="1" applyBorder="1" applyAlignment="1">
      <alignment horizontal="center" vertical="center" wrapText="1"/>
    </xf>
    <xf numFmtId="0" fontId="262" fillId="7" borderId="1" xfId="0" applyFont="1" applyFill="1" applyBorder="1" applyAlignment="1">
      <alignment horizontal="center" vertical="center" wrapText="1"/>
    </xf>
    <xf numFmtId="0" fontId="155" fillId="7" borderId="5" xfId="0" applyFont="1" applyFill="1" applyBorder="1" applyAlignment="1">
      <alignment horizontal="center" vertical="center" wrapText="1"/>
    </xf>
    <xf numFmtId="0" fontId="262" fillId="7" borderId="5" xfId="0" applyFont="1" applyFill="1" applyBorder="1" applyAlignment="1">
      <alignment horizontal="center" vertical="center" wrapText="1"/>
    </xf>
    <xf numFmtId="0" fontId="163" fillId="7" borderId="15" xfId="0" applyFont="1" applyFill="1" applyBorder="1" applyAlignment="1">
      <alignment horizontal="center" vertical="center" wrapText="1"/>
    </xf>
    <xf numFmtId="0" fontId="163" fillId="7" borderId="2" xfId="0" applyFont="1" applyFill="1" applyBorder="1" applyAlignment="1">
      <alignment horizontal="center" vertical="center" wrapText="1"/>
    </xf>
    <xf numFmtId="0" fontId="163" fillId="7" borderId="13" xfId="0" applyFont="1" applyFill="1" applyBorder="1" applyAlignment="1">
      <alignment horizontal="center" vertical="center" wrapText="1"/>
    </xf>
    <xf numFmtId="49" fontId="155" fillId="0" borderId="13" xfId="0" applyNumberFormat="1" applyFont="1" applyBorder="1" applyAlignment="1">
      <alignment horizontal="center" vertical="center" wrapText="1"/>
    </xf>
    <xf numFmtId="49" fontId="155" fillId="0" borderId="15" xfId="0" applyNumberFormat="1" applyFont="1" applyBorder="1" applyAlignment="1">
      <alignment horizontal="center" vertical="center" wrapText="1"/>
    </xf>
    <xf numFmtId="49" fontId="155" fillId="0" borderId="2" xfId="0" applyNumberFormat="1" applyFont="1" applyBorder="1" applyAlignment="1">
      <alignment horizontal="center" vertical="center" wrapText="1"/>
    </xf>
    <xf numFmtId="49" fontId="262" fillId="0" borderId="13" xfId="0" applyNumberFormat="1" applyFont="1" applyFill="1" applyBorder="1" applyAlignment="1">
      <alignment horizontal="center" vertical="center" wrapText="1"/>
    </xf>
    <xf numFmtId="49" fontId="262" fillId="0" borderId="15" xfId="0" applyNumberFormat="1" applyFont="1" applyFill="1" applyBorder="1" applyAlignment="1">
      <alignment horizontal="center" vertical="center" wrapText="1"/>
    </xf>
    <xf numFmtId="49" fontId="262" fillId="0" borderId="2" xfId="0" applyNumberFormat="1" applyFont="1" applyFill="1" applyBorder="1" applyAlignment="1">
      <alignment horizontal="center" vertical="center" wrapText="1"/>
    </xf>
    <xf numFmtId="0" fontId="262" fillId="0" borderId="13" xfId="0" applyFont="1" applyFill="1" applyBorder="1" applyAlignment="1">
      <alignment horizontal="center" vertical="center" wrapText="1"/>
    </xf>
    <xf numFmtId="0" fontId="262" fillId="0" borderId="54" xfId="0" applyFont="1" applyFill="1" applyBorder="1" applyAlignment="1">
      <alignment horizontal="center" vertical="center" wrapText="1"/>
    </xf>
    <xf numFmtId="0" fontId="262" fillId="0" borderId="3" xfId="0" applyFont="1" applyFill="1" applyBorder="1" applyAlignment="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76;&#21271;&#27700;&#38215;&#25910;&#20837;/&#37202;&#24215;&#25910;&#20837;&#26126;&#3245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76;&#21271;&#27700;&#38215;&#25910;&#20837;/&#21476;&#21271;&#21830;&#38138;&#31080;&#21153;&#25910;&#2083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s>
    <sheetDataSet>
      <sheetData sheetId="0">
        <row r="14">
          <cell r="G14">
            <v>131058315.89</v>
          </cell>
          <cell r="H14">
            <v>65293856.32</v>
          </cell>
          <cell r="I14">
            <v>6412079.2799999993</v>
          </cell>
          <cell r="J14">
            <v>4894180.05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9">
          <cell r="E9">
            <v>0</v>
          </cell>
        </row>
        <row r="24">
          <cell r="F24">
            <v>0</v>
          </cell>
        </row>
      </sheetData>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9" customWidth="1"/>
    <col min="2" max="2" width="81" style="3076" customWidth="1"/>
    <col min="3" max="16384" width="9" style="3074"/>
  </cols>
  <sheetData>
    <row r="1" spans="1:2" s="3062" customFormat="1" ht="16.5" thickBot="1">
      <c r="A1" s="3061" t="s">
        <v>2801</v>
      </c>
      <c r="B1" s="3060" t="s">
        <v>2891</v>
      </c>
    </row>
    <row r="2" spans="1:2" s="3065" customFormat="1" ht="15" thickTop="1">
      <c r="A2" s="3063" t="s">
        <v>2802</v>
      </c>
      <c r="B2" s="3064" t="str">
        <f>'预评函-封皮'!B37:I37</f>
        <v>北京市密云县司马台村出让国有建设用地使用权及在建建筑物房地产抵押价值预评估</v>
      </c>
    </row>
    <row r="3" spans="1:2" s="3068" customFormat="1">
      <c r="A3" s="3066" t="s">
        <v>2803</v>
      </c>
      <c r="B3" s="3067" t="str">
        <f>'预评函-封皮'!B40</f>
        <v>北京古北水镇旅游有限公司</v>
      </c>
    </row>
    <row r="4" spans="1:2" s="3068" customFormat="1">
      <c r="A4" s="3066" t="s">
        <v>2804</v>
      </c>
      <c r="B4" s="3067" t="str">
        <f ca="1">'预评函-封皮'!B46</f>
        <v>欧红伟（注册号：1120000080)、梁津（注册号：1119970066)</v>
      </c>
    </row>
    <row r="5" spans="1:2" s="3062" customFormat="1" ht="15" thickBot="1">
      <c r="A5" s="3069" t="s">
        <v>2805</v>
      </c>
      <c r="B5" s="3070" t="str">
        <f>'预评函-封皮'!B49</f>
        <v>康正预评字号</v>
      </c>
    </row>
    <row r="6" spans="1:2" s="3065" customFormat="1" ht="15" thickTop="1">
      <c r="A6" s="3063" t="s">
        <v>2806</v>
      </c>
      <c r="B6" s="3064" t="str">
        <f>'预评函-1'!A4</f>
        <v>受贵公司委托，我公司对北京市密云县司马台村出让国有建设用地使用权及在建建筑物房地产抵押价值进行了预评估。</v>
      </c>
    </row>
    <row r="7" spans="1:2" s="3068" customFormat="1">
      <c r="A7" s="3066" t="s">
        <v>2846</v>
      </c>
      <c r="B7" s="3067" t="str">
        <f>'预评函-1'!A7</f>
        <v>估价对象为北京市密云县司马台村出让国有建设用地使用权及在建建筑物房地产，为所有。根据《国有土地使用证》[]，估价对象（分摊）出让国有建设用地使用权面积为346512.69平方米，建筑面积为326059.45平方米。</v>
      </c>
    </row>
    <row r="8" spans="1:2" s="3068" customFormat="1">
      <c r="A8" s="3066" t="s">
        <v>2847</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2848</v>
      </c>
      <c r="B9" s="3067" t="str">
        <f>'预评函-1'!A10</f>
        <v>估价对象为北京市密云县司马台村出让国有建设用地使用权及在建建筑物房地产,为开发建设的商业项目，该项目尚在开发建设中。根据《国有土地使用证》[]，估价对象（分摊）出让国有建设用地使用权面积为346512.69平方米，规划建筑面积为326059.45平方米。</v>
      </c>
    </row>
    <row r="10" spans="1:2" s="3068" customFormat="1">
      <c r="A10" s="3066" t="s">
        <v>2849</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2807</v>
      </c>
      <c r="B11" s="3067" t="str">
        <f>'预评函-1'!A13</f>
        <v>为估价委托人在向办理贷款手续过程中，确定房地产抵押贷款额度提供参考依据而评估房地产抵押价值。</v>
      </c>
    </row>
    <row r="12" spans="1:2" s="3068" customFormat="1">
      <c r="A12" s="3066" t="s">
        <v>2808</v>
      </c>
      <c r="B12" s="3067" t="str">
        <f>'预评函-1'!A15</f>
        <v>2017年7月25日（评估专业人员实地查勘之日）</v>
      </c>
    </row>
    <row r="13" spans="1:2" s="3068" customFormat="1">
      <c r="A13" s="3066" t="s">
        <v>2809</v>
      </c>
      <c r="B13" s="3067" t="str">
        <f>'预评函-1'!A18</f>
        <v>本次估价的“房地产价值”是指在正常市场情况下，在价值时点2017年7月25日，估价对象规划用途为商业，土地取得方式为出让，出让国有建设用地使用权剩余土地使用年限为商业34.06年，假定未设立法定优先受偿款下的房地产市场价值。</v>
      </c>
    </row>
    <row r="14" spans="1:2" s="3068" customFormat="1">
      <c r="A14" s="3066" t="s">
        <v>2810</v>
      </c>
      <c r="B14" s="3067" t="str">
        <f>'预评函-1'!A19</f>
        <v>其中，“出让国有建设用地使用权价值”是指估价对象用途为商业，实际开发程度为宗地红线外“七通”（即通路、通电、通讯、通热、、、）、红线内场地平整条件下，剩余土地使用年限为商业34.06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8" customFormat="1">
      <c r="A15" s="3066" t="s">
        <v>2811</v>
      </c>
      <c r="B15" s="3067" t="str">
        <f>'预评函-1'!A20</f>
        <v>本次估价的“抵押担保权已注销时的房地产抵押价值”是指估价对象在价值时点的“房地产价值”扣减估价师于价值时点所知悉的除抵押担保权以外的其他法定优先受偿款后的余额。</v>
      </c>
    </row>
    <row r="16" spans="1:2" s="3068" customFormat="1">
      <c r="A16" s="3066" t="s">
        <v>2812</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2813</v>
      </c>
      <c r="B17" s="30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2" customFormat="1" ht="15" thickBot="1">
      <c r="A18" s="3069" t="s">
        <v>2814</v>
      </c>
      <c r="B18" s="3070" t="str">
        <f>'预评函-1'!A24</f>
        <v>本次评估采用的主估价方法为成本法和假设开发法。</v>
      </c>
    </row>
    <row r="19" spans="1:2" s="3065" customFormat="1" ht="15" thickTop="1">
      <c r="A19" s="3063" t="s">
        <v>2815</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2816</v>
      </c>
      <c r="B20" s="3067">
        <f ca="1">'预评函-2'!D5</f>
        <v>465899</v>
      </c>
    </row>
    <row r="21" spans="1:2" s="3068" customFormat="1">
      <c r="A21" s="3066" t="s">
        <v>2817</v>
      </c>
      <c r="B21" s="3067">
        <f ca="1">'预评函-2'!D7</f>
        <v>14289</v>
      </c>
    </row>
    <row r="22" spans="1:2" s="3068" customFormat="1">
      <c r="A22" s="3066" t="s">
        <v>2818</v>
      </c>
      <c r="B22" s="3067" t="str">
        <f ca="1">'预评函-2'!D6</f>
        <v>肆拾陆亿伍仟捌佰玖拾玖万元整</v>
      </c>
    </row>
    <row r="23" spans="1:2" s="3068" customFormat="1">
      <c r="A23" s="3066" t="s">
        <v>2879</v>
      </c>
      <c r="B23" s="3067" t="str">
        <f>'预评函-2'!B8</f>
        <v>2.估价师知悉的法定优先受偿款</v>
      </c>
    </row>
    <row r="24" spans="1:2" s="3068" customFormat="1">
      <c r="A24" s="3066" t="s">
        <v>2885</v>
      </c>
      <c r="B24" s="3067">
        <f>'预评函-2'!D8</f>
        <v>14478</v>
      </c>
    </row>
    <row r="25" spans="1:2" s="3068" customFormat="1">
      <c r="A25" s="3066" t="s">
        <v>2819</v>
      </c>
      <c r="B25" s="3067" t="str">
        <f>'预评函-2'!D9</f>
        <v>壹亿肆仟肆佰柒拾捌万元整</v>
      </c>
    </row>
    <row r="26" spans="1:2" s="3068" customFormat="1">
      <c r="A26" s="3066" t="s">
        <v>2820</v>
      </c>
      <c r="B26" s="3067">
        <f>'预评函-2'!D10</f>
        <v>0</v>
      </c>
    </row>
    <row r="27" spans="1:2" s="3068" customFormat="1">
      <c r="A27" s="3066" t="s">
        <v>2821</v>
      </c>
      <c r="B27" s="3067">
        <f>'预评函-2'!D11</f>
        <v>14478</v>
      </c>
    </row>
    <row r="28" spans="1:2" s="3068" customFormat="1">
      <c r="A28" s="3066" t="s">
        <v>2822</v>
      </c>
      <c r="B28" s="3067">
        <f>'预评函-2'!D12</f>
        <v>0</v>
      </c>
    </row>
    <row r="29" spans="1:2" s="3068" customFormat="1">
      <c r="A29" s="3066" t="s">
        <v>2883</v>
      </c>
      <c r="B29" s="3067" t="str">
        <f>'预评函-2'!B13</f>
        <v>——</v>
      </c>
    </row>
    <row r="30" spans="1:2" s="3068" customFormat="1">
      <c r="A30" s="3066" t="s">
        <v>2884</v>
      </c>
      <c r="B30" s="3067" t="str">
        <f>'预评函-2'!D13</f>
        <v>——</v>
      </c>
    </row>
    <row r="31" spans="1:2" s="3068" customFormat="1">
      <c r="A31" s="3066" t="s">
        <v>2857</v>
      </c>
      <c r="B31" s="3067" t="e">
        <f>'预评函-2'!D15</f>
        <v>#VALUE!</v>
      </c>
    </row>
    <row r="32" spans="1:2" s="3068" customFormat="1">
      <c r="A32" s="3066" t="s">
        <v>2823</v>
      </c>
      <c r="B32" s="3067" t="e">
        <f>'预评函-2'!D14</f>
        <v>#VALUE!</v>
      </c>
    </row>
    <row r="33" spans="1:2" s="3068" customFormat="1">
      <c r="A33" s="3066" t="s">
        <v>2859</v>
      </c>
      <c r="B33" s="3067" t="str">
        <f>'预评函-2'!B16</f>
        <v>3.抵押担保权已注销时的房地产抵押价值</v>
      </c>
    </row>
    <row r="34" spans="1:2" s="3068" customFormat="1">
      <c r="A34" s="3066" t="s">
        <v>2886</v>
      </c>
      <c r="B34" s="3067">
        <f ca="1">'预评函-2'!D16</f>
        <v>451421</v>
      </c>
    </row>
    <row r="35" spans="1:2" s="3068" customFormat="1">
      <c r="A35" s="3066" t="s">
        <v>2858</v>
      </c>
      <c r="B35" s="3067">
        <f ca="1">'预评函-2'!D18</f>
        <v>13845</v>
      </c>
    </row>
    <row r="36" spans="1:2" s="3068" customFormat="1">
      <c r="A36" s="3066" t="s">
        <v>2824</v>
      </c>
      <c r="B36" s="3067" t="str">
        <f ca="1">'预评函-2'!D17</f>
        <v>肆拾伍亿壹仟肆佰贰拾壹万元整</v>
      </c>
    </row>
    <row r="37" spans="1:2" s="3068" customFormat="1">
      <c r="A37" s="3066" t="s">
        <v>2860</v>
      </c>
      <c r="B37" s="3067" t="str">
        <f>'预评函-2'!B19</f>
        <v>——</v>
      </c>
    </row>
    <row r="38" spans="1:2" s="3068" customFormat="1">
      <c r="A38" s="3066" t="s">
        <v>2887</v>
      </c>
      <c r="B38" s="3067" t="str">
        <f>'预评函-2'!D19</f>
        <v>——</v>
      </c>
    </row>
    <row r="39" spans="1:2" s="3068" customFormat="1">
      <c r="A39" s="3066" t="s">
        <v>2825</v>
      </c>
      <c r="B39" s="3067" t="str">
        <f>'预评函-2'!D21</f>
        <v>——</v>
      </c>
    </row>
    <row r="40" spans="1:2" s="3068" customFormat="1">
      <c r="A40" s="3066" t="s">
        <v>2826</v>
      </c>
      <c r="B40" s="3067" t="e">
        <f>'预评函-2'!D20</f>
        <v>#VALUE!</v>
      </c>
    </row>
    <row r="41" spans="1:2" s="3068" customFormat="1">
      <c r="A41" s="3066" t="s">
        <v>2882</v>
      </c>
      <c r="B41" s="3067" t="str">
        <f>'预评函-3'!A4</f>
        <v>北京市密云县司马台村出让国有建设用地使用权及在建建筑物房地产</v>
      </c>
    </row>
    <row r="42" spans="1:2" s="3068" customFormat="1">
      <c r="A42" s="3066" t="s">
        <v>2880</v>
      </c>
      <c r="B42" s="3067" t="str">
        <f>'预评函-3'!B2</f>
        <v>建筑面积</v>
      </c>
    </row>
    <row r="43" spans="1:2" s="3068" customFormat="1">
      <c r="A43" s="3066" t="s">
        <v>2881</v>
      </c>
      <c r="B43" s="3067">
        <f>'预评函-3'!B4</f>
        <v>326059.4499999999</v>
      </c>
    </row>
    <row r="44" spans="1:2" s="3068" customFormat="1">
      <c r="A44" s="3066" t="s">
        <v>2856</v>
      </c>
      <c r="B44" s="3067" t="str">
        <f>'预评函-3'!C2</f>
        <v>(分摊)土地面积</v>
      </c>
    </row>
    <row r="45" spans="1:2" s="3068" customFormat="1">
      <c r="A45" s="3066" t="s">
        <v>2827</v>
      </c>
      <c r="B45" s="3067">
        <f>'预评函-3'!C4</f>
        <v>346512.69</v>
      </c>
    </row>
    <row r="46" spans="1:2" s="3068" customFormat="1">
      <c r="A46" s="3066" t="s">
        <v>2854</v>
      </c>
      <c r="B46" s="3067" t="str">
        <f>'预评函-3'!D2</f>
        <v>出让国有建设用地使用权价值</v>
      </c>
    </row>
    <row r="47" spans="1:2" s="3068" customFormat="1">
      <c r="A47" s="3066" t="s">
        <v>2828</v>
      </c>
      <c r="B47" s="3067">
        <f ca="1">'预评函-3'!D4</f>
        <v>78961</v>
      </c>
    </row>
    <row r="48" spans="1:2" s="3068" customFormat="1">
      <c r="A48" s="3066" t="s">
        <v>2829</v>
      </c>
      <c r="B48" s="3067">
        <f ca="1">'预评函-3'!E4</f>
        <v>2422</v>
      </c>
    </row>
    <row r="49" spans="1:2" s="3068" customFormat="1">
      <c r="A49" s="3066" t="s">
        <v>2830</v>
      </c>
      <c r="B49" s="3067" t="str">
        <f ca="1">'预评函-3'!D5</f>
        <v>柒亿捌仟玖佰陆拾壹万元整</v>
      </c>
    </row>
    <row r="50" spans="1:2" s="3068" customFormat="1">
      <c r="A50" s="3066" t="s">
        <v>2855</v>
      </c>
      <c r="B50" s="3067" t="str">
        <f>'预评函-3'!F2</f>
        <v>在建建筑物价值</v>
      </c>
    </row>
    <row r="51" spans="1:2" s="3068" customFormat="1">
      <c r="A51" s="3066" t="s">
        <v>2831</v>
      </c>
      <c r="B51" s="3067">
        <f ca="1">'预评函-3'!F4</f>
        <v>386938</v>
      </c>
    </row>
    <row r="52" spans="1:2" s="3068" customFormat="1">
      <c r="A52" s="3066" t="s">
        <v>2832</v>
      </c>
      <c r="B52" s="3067">
        <f ca="1">'预评函-3'!G4</f>
        <v>11867</v>
      </c>
    </row>
    <row r="53" spans="1:2" s="3068" customFormat="1">
      <c r="A53" s="3066" t="s">
        <v>2861</v>
      </c>
      <c r="B53" s="3067" t="str">
        <f ca="1">'预评函-3'!F5</f>
        <v>叁拾捌亿陆仟玖佰叁拾捌万元整</v>
      </c>
    </row>
    <row r="54" spans="1:2" s="3068" customFormat="1">
      <c r="A54" s="3066" t="s">
        <v>2889</v>
      </c>
      <c r="B54" s="3067" t="str">
        <f>'预评函-3'!A8</f>
        <v/>
      </c>
    </row>
    <row r="55" spans="1:2" s="3068" customFormat="1">
      <c r="A55" s="3066" t="s">
        <v>2862</v>
      </c>
      <c r="B55" s="3067" t="str">
        <f>'预评函-3'!A10</f>
        <v>抵押担保权已注销时的房地产抵押价值</v>
      </c>
    </row>
    <row r="56" spans="1:2" s="3068" customFormat="1">
      <c r="A56" s="3066" t="s">
        <v>2863</v>
      </c>
      <c r="B56" s="3067" t="str">
        <f>'预评函-3'!A12</f>
        <v/>
      </c>
    </row>
    <row r="57" spans="1:2" s="3062" customFormat="1" ht="15" thickBot="1">
      <c r="A57" s="3069" t="s">
        <v>2890</v>
      </c>
      <c r="B57" s="3070" t="str">
        <f>'预评函-3'!A6</f>
        <v>估价师知悉的法定优先受偿款</v>
      </c>
    </row>
    <row r="58" spans="1:2" s="3065" customFormat="1" ht="15" thickTop="1">
      <c r="A58" s="3063" t="s">
        <v>2833</v>
      </c>
      <c r="B58" s="3064" t="str">
        <f>'预评函-4'!A12</f>
        <v>2.本《评估意见函》仅供金融机构进行内部审核使用，不做其他目的之用。</v>
      </c>
    </row>
    <row r="59" spans="1:2" s="3068" customFormat="1">
      <c r="A59" s="3066" t="s">
        <v>2834</v>
      </c>
      <c r="B59" s="3067" t="str">
        <f>'预评函-4'!A13</f>
        <v>3.抵押双方在办理抵押登记手续时，应使用本公司出具的正式《房地产评估报告》，特提醒报告使用者注意。</v>
      </c>
    </row>
    <row r="60" spans="1:2" s="3068" customFormat="1">
      <c r="A60" s="3066" t="s">
        <v>2835</v>
      </c>
      <c r="B60" s="3067" t="str">
        <f>'预评函-4'!A14</f>
        <v>4.本次评估估价师所知悉的法定优先受偿款情况说明如下：</v>
      </c>
    </row>
    <row r="61" spans="1:2" s="3068" customFormat="1">
      <c r="A61" s="3066" t="s">
        <v>2836</v>
      </c>
      <c r="B61" s="3067" t="str">
        <f>'预评函-4'!A15</f>
        <v>（1）根据估价对象《房屋所有权证》——、《国有土地使用权》原件，截至价值时点，估价对象已设定抵押。上述抵押权设定日期为，权利人为，权利范围为，权利价值为。</v>
      </c>
    </row>
    <row r="62" spans="1:2" s="3068" customFormat="1">
      <c r="A62" s="3066" t="s">
        <v>2837</v>
      </c>
      <c r="B62" s="3067" t="str">
        <f>'预评函-4'!A16</f>
        <v>（2）根据《工程款支付情况说明》，截至价值时点，估价对象不存在应付未付工程款项。（只要没有施工方盖章的，均“设定”进行表述）</v>
      </c>
    </row>
    <row r="63" spans="1:2" s="3068" customFormat="1">
      <c r="A63" s="3066" t="s">
        <v>2838</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2850</v>
      </c>
      <c r="B64" s="3067" t="str">
        <f>'预评函-4'!A18</f>
        <v>故，本次评估估价师知悉的法定优先受偿款为人民币14478万元整。</v>
      </c>
    </row>
    <row r="65" spans="1:2" s="3068" customFormat="1">
      <c r="A65" s="3066" t="s">
        <v>2839</v>
      </c>
      <c r="B65" s="30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2840</v>
      </c>
      <c r="B66" s="30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8" customFormat="1">
      <c r="A67" s="3066" t="s">
        <v>2851</v>
      </c>
      <c r="B67" s="30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8" customFormat="1">
      <c r="A68" s="3066" t="s">
        <v>2852</v>
      </c>
      <c r="B68" s="3067" t="str">
        <f>'预评函-4'!A22</f>
        <v>8.其他需特殊说明事项：无（注意调整序号）</v>
      </c>
    </row>
    <row r="69" spans="1:2" s="3062" customFormat="1" ht="15" thickBot="1">
      <c r="A69" s="3069" t="s">
        <v>2841</v>
      </c>
      <c r="B69" s="3071">
        <f>'预评函-4'!C31</f>
        <v>42551</v>
      </c>
    </row>
    <row r="70" spans="1:2" ht="15" thickTop="1">
      <c r="A70" s="3072" t="s">
        <v>2842</v>
      </c>
      <c r="B70" s="3073" t="str">
        <f>'预评函-4'!A4</f>
        <v>欧红伟</v>
      </c>
    </row>
    <row r="71" spans="1:2">
      <c r="A71" s="3066" t="s">
        <v>2843</v>
      </c>
      <c r="B71" s="3067">
        <f ca="1">'预评函-4'!B4</f>
        <v>1120000080</v>
      </c>
    </row>
    <row r="72" spans="1:2">
      <c r="A72" s="3066" t="s">
        <v>2844</v>
      </c>
      <c r="B72" s="3075" t="str">
        <f>'预评函-4'!A5</f>
        <v>梁津</v>
      </c>
    </row>
    <row r="73" spans="1:2" s="3062" customFormat="1" ht="15" thickBot="1">
      <c r="A73" s="3069" t="s">
        <v>2845</v>
      </c>
      <c r="B73" s="3070">
        <f ca="1">'预评函-4'!B5</f>
        <v>1119970066</v>
      </c>
    </row>
    <row r="74" spans="1:2" ht="15" thickTop="1">
      <c r="A74" s="3059" t="s">
        <v>2907</v>
      </c>
      <c r="B74" s="307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531</v>
      </c>
      <c r="B1" s="289" t="s">
        <v>255</v>
      </c>
      <c r="C1" s="1770" t="s">
        <v>1873</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1845</v>
      </c>
      <c r="Q1" s="11" t="s">
        <v>2645</v>
      </c>
      <c r="R1" s="1487" t="s">
        <v>2635</v>
      </c>
      <c r="S1" s="290" t="s">
        <v>268</v>
      </c>
      <c r="T1" s="291" t="s">
        <v>269</v>
      </c>
      <c r="U1" s="290" t="s">
        <v>270</v>
      </c>
      <c r="V1" s="290" t="s">
        <v>271</v>
      </c>
      <c r="W1" s="1487" t="s">
        <v>1848</v>
      </c>
    </row>
    <row r="2" spans="1:23">
      <c r="A2" s="2802" t="s">
        <v>114</v>
      </c>
      <c r="B2" s="2802" t="s">
        <v>578</v>
      </c>
      <c r="C2" s="1771" t="s">
        <v>1874</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5" t="s">
        <v>2639</v>
      </c>
      <c r="S2" s="292" t="s">
        <v>230</v>
      </c>
      <c r="T2" s="292" t="s">
        <v>231</v>
      </c>
      <c r="U2" s="292" t="s">
        <v>230</v>
      </c>
      <c r="V2" s="292" t="s">
        <v>232</v>
      </c>
      <c r="W2" s="292" t="s">
        <v>230</v>
      </c>
    </row>
    <row r="3" spans="1:23">
      <c r="A3" s="2802" t="s">
        <v>577</v>
      </c>
      <c r="B3" s="2803" t="s">
        <v>2681</v>
      </c>
      <c r="C3" s="1772" t="s">
        <v>1875</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5" t="s">
        <v>2637</v>
      </c>
      <c r="S3" s="292" t="s">
        <v>238</v>
      </c>
      <c r="T3" s="292" t="s">
        <v>239</v>
      </c>
      <c r="U3" s="292" t="s">
        <v>238</v>
      </c>
      <c r="V3" s="292" t="s">
        <v>240</v>
      </c>
      <c r="W3" s="292" t="s">
        <v>238</v>
      </c>
    </row>
    <row r="4" spans="1:23">
      <c r="A4" s="2802" t="s">
        <v>579</v>
      </c>
      <c r="B4" s="2802" t="s">
        <v>580</v>
      </c>
      <c r="C4" s="1771" t="s">
        <v>1876</v>
      </c>
      <c r="D4" s="292" t="s">
        <v>2047</v>
      </c>
      <c r="E4" s="292" t="s">
        <v>277</v>
      </c>
      <c r="F4" s="292" t="s">
        <v>278</v>
      </c>
      <c r="G4" s="292">
        <v>70</v>
      </c>
      <c r="H4" s="292" t="s">
        <v>279</v>
      </c>
      <c r="I4" s="292" t="s">
        <v>280</v>
      </c>
      <c r="K4" s="292" t="s">
        <v>241</v>
      </c>
      <c r="L4" s="292" t="s">
        <v>241</v>
      </c>
      <c r="M4" s="292" t="s">
        <v>241</v>
      </c>
      <c r="N4" s="292" t="s">
        <v>241</v>
      </c>
      <c r="O4" s="292" t="s">
        <v>241</v>
      </c>
      <c r="P4" s="292" t="s">
        <v>241</v>
      </c>
      <c r="Q4" s="292" t="s">
        <v>241</v>
      </c>
      <c r="R4" s="2765" t="s">
        <v>2640</v>
      </c>
      <c r="S4" s="292" t="s">
        <v>241</v>
      </c>
      <c r="T4" s="292" t="s">
        <v>242</v>
      </c>
      <c r="U4" s="292" t="s">
        <v>241</v>
      </c>
      <c r="W4" s="292" t="s">
        <v>241</v>
      </c>
    </row>
    <row r="5" spans="1:23">
      <c r="A5" s="2802" t="s">
        <v>581</v>
      </c>
      <c r="B5" s="2802" t="s">
        <v>582</v>
      </c>
      <c r="C5" s="1771" t="s">
        <v>1877</v>
      </c>
      <c r="F5" s="292" t="s">
        <v>243</v>
      </c>
      <c r="H5" s="292" t="s">
        <v>244</v>
      </c>
      <c r="I5" s="292" t="s">
        <v>245</v>
      </c>
      <c r="K5" s="292" t="s">
        <v>246</v>
      </c>
      <c r="L5" s="292" t="s">
        <v>246</v>
      </c>
      <c r="M5" s="292" t="s">
        <v>246</v>
      </c>
      <c r="N5" s="292" t="s">
        <v>246</v>
      </c>
      <c r="O5" s="292" t="s">
        <v>246</v>
      </c>
      <c r="P5" s="292" t="s">
        <v>246</v>
      </c>
      <c r="Q5" s="292" t="s">
        <v>246</v>
      </c>
      <c r="R5" s="2765" t="s">
        <v>2641</v>
      </c>
      <c r="S5" s="292" t="s">
        <v>246</v>
      </c>
      <c r="T5" s="292" t="s">
        <v>247</v>
      </c>
      <c r="U5" s="292" t="s">
        <v>246</v>
      </c>
      <c r="W5" s="292" t="s">
        <v>246</v>
      </c>
    </row>
    <row r="6" spans="1:23">
      <c r="A6" s="2802" t="s">
        <v>583</v>
      </c>
      <c r="B6" s="2803" t="s">
        <v>2682</v>
      </c>
      <c r="C6" s="1773" t="s">
        <v>163</v>
      </c>
      <c r="F6" s="292" t="s">
        <v>248</v>
      </c>
      <c r="H6" s="292" t="s">
        <v>249</v>
      </c>
      <c r="I6" s="292" t="s">
        <v>250</v>
      </c>
      <c r="K6" s="292" t="s">
        <v>251</v>
      </c>
      <c r="L6" s="292" t="s">
        <v>251</v>
      </c>
      <c r="M6" s="292" t="s">
        <v>251</v>
      </c>
      <c r="N6" s="292" t="s">
        <v>251</v>
      </c>
      <c r="O6" s="292" t="s">
        <v>251</v>
      </c>
      <c r="P6" s="292" t="s">
        <v>251</v>
      </c>
      <c r="Q6" s="292" t="s">
        <v>251</v>
      </c>
      <c r="R6" s="2765" t="s">
        <v>2642</v>
      </c>
      <c r="S6" s="292" t="s">
        <v>251</v>
      </c>
      <c r="T6" s="292"/>
      <c r="U6" s="292" t="s">
        <v>251</v>
      </c>
      <c r="W6" s="292" t="s">
        <v>251</v>
      </c>
    </row>
    <row r="7" spans="1:23">
      <c r="A7" s="2802" t="s">
        <v>585</v>
      </c>
      <c r="B7" s="2803" t="s">
        <v>2683</v>
      </c>
      <c r="C7" s="1771" t="s">
        <v>164</v>
      </c>
      <c r="F7" s="292" t="s">
        <v>252</v>
      </c>
      <c r="H7" s="292" t="s">
        <v>253</v>
      </c>
      <c r="I7" s="292" t="s">
        <v>254</v>
      </c>
    </row>
    <row r="8" spans="1:23">
      <c r="A8" s="2802" t="s">
        <v>587</v>
      </c>
      <c r="B8" s="2802" t="s">
        <v>584</v>
      </c>
      <c r="C8" s="1771" t="s">
        <v>1878</v>
      </c>
      <c r="F8" s="292" t="s">
        <v>281</v>
      </c>
      <c r="H8" s="292"/>
      <c r="I8" s="292" t="s">
        <v>282</v>
      </c>
    </row>
    <row r="9" spans="1:23">
      <c r="A9" s="2802" t="s">
        <v>589</v>
      </c>
      <c r="B9" s="2802" t="s">
        <v>586</v>
      </c>
      <c r="C9" s="1771" t="s">
        <v>1879</v>
      </c>
      <c r="F9" s="292" t="s">
        <v>283</v>
      </c>
      <c r="H9" s="292"/>
    </row>
    <row r="10" spans="1:23">
      <c r="A10" s="2802" t="s">
        <v>591</v>
      </c>
      <c r="B10" s="2802" t="s">
        <v>588</v>
      </c>
      <c r="C10" s="1771" t="s">
        <v>1880</v>
      </c>
      <c r="F10" s="292" t="s">
        <v>51</v>
      </c>
    </row>
    <row r="11" spans="1:23">
      <c r="A11" s="2802" t="s">
        <v>593</v>
      </c>
      <c r="B11" s="2802" t="s">
        <v>590</v>
      </c>
      <c r="C11" s="1771" t="s">
        <v>1881</v>
      </c>
    </row>
    <row r="12" spans="1:23">
      <c r="A12" s="2802" t="s">
        <v>595</v>
      </c>
      <c r="B12" s="2802" t="s">
        <v>592</v>
      </c>
      <c r="C12" s="1771" t="s">
        <v>1882</v>
      </c>
    </row>
    <row r="13" spans="1:23">
      <c r="A13" s="2802" t="s">
        <v>597</v>
      </c>
      <c r="B13" s="2802" t="s">
        <v>594</v>
      </c>
      <c r="C13" s="1771" t="s">
        <v>1883</v>
      </c>
    </row>
    <row r="14" spans="1:23">
      <c r="A14" s="2802" t="s">
        <v>599</v>
      </c>
      <c r="B14" s="2802" t="s">
        <v>596</v>
      </c>
      <c r="C14" s="292" t="s">
        <v>51</v>
      </c>
    </row>
    <row r="15" spans="1:23">
      <c r="A15" s="2802" t="s">
        <v>600</v>
      </c>
      <c r="B15" s="2802" t="s">
        <v>598</v>
      </c>
      <c r="C15" s="1774"/>
    </row>
    <row r="16" spans="1:23">
      <c r="A16" s="2802" t="s">
        <v>601</v>
      </c>
      <c r="B16" s="2802" t="s">
        <v>1864</v>
      </c>
      <c r="C16" s="1774"/>
    </row>
    <row r="17" spans="1:3">
      <c r="A17" s="2802" t="s">
        <v>602</v>
      </c>
      <c r="B17" s="2802" t="s">
        <v>1865</v>
      </c>
      <c r="C17" s="1774"/>
    </row>
    <row r="18" spans="1:3">
      <c r="A18" s="2802" t="s">
        <v>603</v>
      </c>
      <c r="B18" s="2802" t="s">
        <v>1865</v>
      </c>
      <c r="C18" s="1774"/>
    </row>
    <row r="19" spans="1:3">
      <c r="A19" s="2802" t="s">
        <v>604</v>
      </c>
      <c r="B19" s="2802" t="s">
        <v>1865</v>
      </c>
      <c r="C19" s="1774"/>
    </row>
    <row r="20" spans="1:3">
      <c r="A20" s="2802" t="s">
        <v>605</v>
      </c>
      <c r="B20" s="2802" t="s">
        <v>1865</v>
      </c>
      <c r="C20" s="1774"/>
    </row>
    <row r="21" spans="1:3">
      <c r="A21" s="2802" t="s">
        <v>606</v>
      </c>
      <c r="B21" s="2802" t="s">
        <v>1865</v>
      </c>
      <c r="C21" s="1774"/>
    </row>
    <row r="22" spans="1:3">
      <c r="A22" s="2802" t="s">
        <v>607</v>
      </c>
      <c r="B22" s="2802" t="s">
        <v>1865</v>
      </c>
      <c r="C22" s="1774"/>
    </row>
    <row r="23" spans="1:3">
      <c r="A23" s="2802" t="s">
        <v>608</v>
      </c>
      <c r="B23" s="2802" t="s">
        <v>1865</v>
      </c>
      <c r="C23" s="1774"/>
    </row>
    <row r="24" spans="1:3">
      <c r="A24" s="2802" t="s">
        <v>609</v>
      </c>
      <c r="B24" s="2802" t="s">
        <v>1865</v>
      </c>
      <c r="C24" s="1774"/>
    </row>
    <row r="25" spans="1:3">
      <c r="A25" s="2802" t="s">
        <v>610</v>
      </c>
      <c r="B25" s="2802" t="s">
        <v>1865</v>
      </c>
      <c r="C25" s="1774"/>
    </row>
    <row r="26" spans="1:3">
      <c r="A26" s="2802" t="s">
        <v>611</v>
      </c>
      <c r="B26" s="2802" t="s">
        <v>1865</v>
      </c>
      <c r="C26" s="1774"/>
    </row>
    <row r="27" spans="1:3">
      <c r="A27" s="2802" t="s">
        <v>1865</v>
      </c>
      <c r="B27" s="2802" t="s">
        <v>1865</v>
      </c>
      <c r="C27" s="1774"/>
    </row>
    <row r="28" spans="1:3">
      <c r="A28" s="2802" t="s">
        <v>1865</v>
      </c>
      <c r="B28" s="2802" t="s">
        <v>1865</v>
      </c>
      <c r="C28" s="1774"/>
    </row>
    <row r="29" spans="1:3">
      <c r="A29" s="2802" t="s">
        <v>1865</v>
      </c>
      <c r="B29" s="2802" t="s">
        <v>1865</v>
      </c>
      <c r="C29" s="1774"/>
    </row>
    <row r="30" spans="1:3">
      <c r="A30" s="2802" t="s">
        <v>1865</v>
      </c>
      <c r="B30" s="2802" t="s">
        <v>1865</v>
      </c>
      <c r="C30" s="1774"/>
    </row>
    <row r="31" spans="1:3">
      <c r="A31" s="2802" t="s">
        <v>1865</v>
      </c>
      <c r="B31" s="2802" t="s">
        <v>1865</v>
      </c>
      <c r="C31" s="1774"/>
    </row>
    <row r="32" spans="1:3">
      <c r="A32" s="2802" t="s">
        <v>1865</v>
      </c>
      <c r="B32" s="2802" t="s">
        <v>1865</v>
      </c>
      <c r="C32" s="1774"/>
    </row>
    <row r="33" spans="1:3">
      <c r="A33" s="2802" t="s">
        <v>1865</v>
      </c>
      <c r="B33" s="2802" t="s">
        <v>1865</v>
      </c>
      <c r="C33" s="1774"/>
    </row>
    <row r="34" spans="1:3">
      <c r="A34" s="2802" t="s">
        <v>1865</v>
      </c>
      <c r="B34" s="2802" t="s">
        <v>1865</v>
      </c>
      <c r="C34" s="1774"/>
    </row>
    <row r="35" spans="1:3">
      <c r="A35" s="2802" t="s">
        <v>1865</v>
      </c>
      <c r="B35" s="2802" t="s">
        <v>1865</v>
      </c>
      <c r="C35" s="1774"/>
    </row>
    <row r="36" spans="1:3">
      <c r="A36" s="2802" t="s">
        <v>1865</v>
      </c>
      <c r="B36" s="2802" t="s">
        <v>1865</v>
      </c>
      <c r="C36" s="1774"/>
    </row>
    <row r="37" spans="1:3">
      <c r="A37" s="2802" t="s">
        <v>1865</v>
      </c>
      <c r="B37" s="2802" t="s">
        <v>1865</v>
      </c>
      <c r="C37" s="1774"/>
    </row>
    <row r="38" spans="1:3">
      <c r="A38" s="2802" t="s">
        <v>1865</v>
      </c>
      <c r="B38" s="2802" t="s">
        <v>1865</v>
      </c>
      <c r="C38" s="1774"/>
    </row>
    <row r="39" spans="1:3">
      <c r="A39" s="2802" t="s">
        <v>1865</v>
      </c>
      <c r="B39" s="2802" t="s">
        <v>1865</v>
      </c>
      <c r="C39" s="1774"/>
    </row>
    <row r="40" spans="1:3">
      <c r="A40" s="2802" t="s">
        <v>1865</v>
      </c>
      <c r="B40" s="2802" t="s">
        <v>1865</v>
      </c>
      <c r="C40" s="1774"/>
    </row>
    <row r="41" spans="1:3">
      <c r="A41" s="2802" t="s">
        <v>1865</v>
      </c>
      <c r="B41" s="2802" t="s">
        <v>1865</v>
      </c>
      <c r="C41" s="1774"/>
    </row>
    <row r="42" spans="1:3">
      <c r="A42" s="2802" t="s">
        <v>1865</v>
      </c>
      <c r="B42" s="2802" t="s">
        <v>1865</v>
      </c>
      <c r="C42" s="1774"/>
    </row>
    <row r="43" spans="1:3">
      <c r="A43" s="2802" t="s">
        <v>1865</v>
      </c>
      <c r="B43" s="2802" t="s">
        <v>1865</v>
      </c>
      <c r="C43" s="1774"/>
    </row>
    <row r="44" spans="1:3">
      <c r="A44" s="2802" t="s">
        <v>1865</v>
      </c>
      <c r="B44" s="2802" t="s">
        <v>1865</v>
      </c>
      <c r="C44" s="1774"/>
    </row>
    <row r="45" spans="1:3">
      <c r="A45" s="2802" t="s">
        <v>1865</v>
      </c>
      <c r="B45" s="2802" t="s">
        <v>1865</v>
      </c>
      <c r="C45" s="1774"/>
    </row>
    <row r="46" spans="1:3">
      <c r="A46" s="2802" t="s">
        <v>1865</v>
      </c>
      <c r="B46" s="2802" t="s">
        <v>1865</v>
      </c>
      <c r="C46" s="1774"/>
    </row>
    <row r="47" spans="1:3">
      <c r="A47" s="2802" t="s">
        <v>1865</v>
      </c>
      <c r="B47" s="2802" t="s">
        <v>1865</v>
      </c>
      <c r="C47" s="1774"/>
    </row>
    <row r="48" spans="1:3">
      <c r="A48" s="2802" t="s">
        <v>1865</v>
      </c>
      <c r="B48" s="2802" t="s">
        <v>1865</v>
      </c>
      <c r="C48" s="1774"/>
    </row>
    <row r="49" spans="1:4">
      <c r="A49" s="2802" t="s">
        <v>1865</v>
      </c>
      <c r="B49" s="2802" t="s">
        <v>1865</v>
      </c>
      <c r="C49" s="1774"/>
    </row>
    <row r="50" spans="1:4">
      <c r="A50" s="2802" t="s">
        <v>1865</v>
      </c>
      <c r="B50" s="2802" t="s">
        <v>1865</v>
      </c>
      <c r="C50" s="1774"/>
    </row>
    <row r="51" spans="1:4">
      <c r="A51" s="1953" t="s">
        <v>2011</v>
      </c>
      <c r="B51" s="2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县司马台村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6" t="s">
        <v>2870</v>
      </c>
    </row>
    <row r="52" spans="1:4">
      <c r="A52" s="1953" t="s">
        <v>2015</v>
      </c>
      <c r="B52" s="1953" t="s">
        <v>2016</v>
      </c>
      <c r="C52" s="1162" t="s">
        <v>2017</v>
      </c>
      <c r="D52" s="1162" t="s">
        <v>2018</v>
      </c>
    </row>
    <row r="53" spans="1:4">
      <c r="A53" s="3544" t="s">
        <v>2019</v>
      </c>
      <c r="B53" s="2096" t="s">
        <v>2020</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25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544"/>
      <c r="B54" s="2096" t="s">
        <v>2021</v>
      </c>
      <c r="C54" s="1162" t="s">
        <v>2867</v>
      </c>
    </row>
    <row r="55" spans="1:4">
      <c r="A55" s="3544"/>
      <c r="B55" s="2096" t="s">
        <v>2022</v>
      </c>
      <c r="C55" s="1162" t="s">
        <v>2868</v>
      </c>
    </row>
    <row r="56" spans="1:4">
      <c r="A56" s="3544"/>
      <c r="B56" s="2096" t="s">
        <v>2023</v>
      </c>
      <c r="C56" s="1162" t="s">
        <v>2878</v>
      </c>
    </row>
    <row r="57" spans="1:4">
      <c r="A57" s="3544"/>
      <c r="B57" s="2096" t="s">
        <v>2024</v>
      </c>
      <c r="C57" s="1162" t="s">
        <v>2869</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37" sqref="F37"/>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2127</v>
      </c>
      <c r="B1" s="3553" t="str">
        <f>IF(B10="北京市","北京市",C10)&amp;F10&amp;IF(结果表!G1="在建","出让国有建设用地使用权及在建建筑物",IF(结果表!G1="土地","出让国有建设用地使用权",))&amp;B9&amp;"预评估"</f>
        <v>北京市密云县司马台村出让国有建设用地使用权及在建建筑物房地产抵押价值预评估</v>
      </c>
      <c r="C1" s="3554"/>
      <c r="D1" s="3554"/>
      <c r="E1" s="3554"/>
      <c r="F1" s="3554"/>
      <c r="G1" s="3554"/>
      <c r="H1" s="3554"/>
      <c r="I1" s="3555"/>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北京市密云县司马台村出让国有建设用地使用权及在建建筑物房地产抵押价值</v>
      </c>
    </row>
    <row r="2" spans="1:19" ht="18" customHeight="1">
      <c r="A2" s="1997" t="s">
        <v>2128</v>
      </c>
      <c r="B2" s="1944"/>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北京市密云县司马台村出让国有建设用地使用权及在建建筑物房地产</v>
      </c>
    </row>
    <row r="3" spans="1:19" ht="18" customHeight="1">
      <c r="A3" s="1942" t="s">
        <v>2004</v>
      </c>
      <c r="B3" s="3239">
        <v>42941</v>
      </c>
      <c r="C3" s="1925" t="s">
        <v>2005</v>
      </c>
      <c r="D3" s="3239">
        <v>42941</v>
      </c>
      <c r="E3" s="1997"/>
      <c r="F3" s="1997"/>
      <c r="G3" s="1997"/>
      <c r="H3" s="1997"/>
      <c r="I3" s="1997"/>
      <c r="J3" s="1997"/>
      <c r="K3" s="2103"/>
      <c r="L3" s="1998"/>
      <c r="M3" s="1998"/>
      <c r="N3" s="1197"/>
      <c r="O3" s="11"/>
      <c r="P3" s="1197"/>
      <c r="Q3" s="1197"/>
      <c r="R3" s="1197"/>
      <c r="S3" s="1196"/>
    </row>
    <row r="4" spans="1:19" ht="18" customHeight="1" thickBot="1">
      <c r="A4" s="1926" t="s">
        <v>2006</v>
      </c>
      <c r="B4" s="1927" t="s">
        <v>3055</v>
      </c>
      <c r="C4" s="1928">
        <f ca="1">SUMIF(注册房地产估价师,B4,估价师及机构信息!B3:B24)</f>
        <v>1120000080</v>
      </c>
      <c r="D4" s="1927" t="s">
        <v>3056</v>
      </c>
      <c r="E4" s="1929">
        <f ca="1">SUMIF(注册房地产估价师,D4,估价师及机构信息!B3:B24)</f>
        <v>1119970066</v>
      </c>
      <c r="F4" s="1927" t="s">
        <v>529</v>
      </c>
      <c r="G4" s="1956">
        <f>SUMIF(注册房地产估价师,F4,估价师及机构信息!B3:B24)</f>
        <v>0</v>
      </c>
      <c r="H4" s="1927" t="s">
        <v>529</v>
      </c>
      <c r="I4" s="2891">
        <f>SUMIF(注册房地产估价师,H4,估价师及机构信息!B3:B24)</f>
        <v>0</v>
      </c>
      <c r="J4" s="2002"/>
      <c r="K4" s="2104" t="str">
        <f ca="1">CONCATENATE(B4,"（注册号：",C4,")、",D4,"（注册号：",E4,")")</f>
        <v>欧红伟（注册号：1120000080)、梁津（注册号：1119970066)</v>
      </c>
      <c r="L4" s="1998"/>
      <c r="M4" s="1998"/>
      <c r="N4" s="1197"/>
      <c r="O4" s="11"/>
      <c r="P4" s="1197"/>
      <c r="Q4" s="1197"/>
      <c r="R4" s="1197"/>
      <c r="S4" s="1196"/>
    </row>
    <row r="5" spans="1:19" ht="18" customHeight="1" thickTop="1">
      <c r="A5" s="1930" t="s">
        <v>2092</v>
      </c>
      <c r="B5" s="3339" t="s">
        <v>3057</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c r="A6" s="1931" t="s">
        <v>2093</v>
      </c>
      <c r="B6" s="2042"/>
      <c r="C6" s="2043"/>
      <c r="D6" s="2004"/>
      <c r="E6" s="2000"/>
      <c r="F6" s="2002"/>
      <c r="G6" s="2002"/>
      <c r="H6" s="2002"/>
      <c r="I6" s="2002"/>
      <c r="J6" s="2002"/>
      <c r="K6" s="2109" t="str">
        <f>IF(COUNTIF(B6,"*上海银行*"),"上海银行","")</f>
        <v/>
      </c>
      <c r="L6" s="1998"/>
      <c r="M6" s="1998"/>
      <c r="N6" s="1197"/>
      <c r="O6" s="11"/>
      <c r="P6" s="1197"/>
      <c r="Q6" s="1197"/>
      <c r="R6" s="1197"/>
    </row>
    <row r="7" spans="1:19" ht="18" customHeight="1">
      <c r="A7" s="1931" t="s">
        <v>2873</v>
      </c>
      <c r="B7" s="3294"/>
      <c r="C7" s="2043"/>
      <c r="D7" s="2004"/>
      <c r="E7" s="2000"/>
      <c r="F7" s="2002"/>
      <c r="G7" s="2002"/>
      <c r="H7" s="2002"/>
      <c r="I7" s="2002"/>
      <c r="J7" s="2002"/>
      <c r="K7" s="2105"/>
      <c r="L7" s="1998"/>
      <c r="M7" s="1998"/>
      <c r="N7" s="1197"/>
      <c r="O7" s="11"/>
      <c r="P7" s="1197"/>
      <c r="Q7" s="1197"/>
      <c r="R7" s="1197"/>
    </row>
    <row r="8" spans="1:19" ht="18" customHeight="1">
      <c r="A8" s="1931" t="s">
        <v>1952</v>
      </c>
      <c r="B8" s="2036" t="s">
        <v>3058</v>
      </c>
      <c r="C8" s="2005"/>
      <c r="D8" s="3556" t="s">
        <v>2014</v>
      </c>
      <c r="E8" s="2037" t="s">
        <v>3060</v>
      </c>
      <c r="F8" s="2038"/>
      <c r="G8" s="1997"/>
      <c r="H8" s="1997"/>
      <c r="I8" s="1997"/>
      <c r="J8" s="2002"/>
      <c r="K8" s="2104"/>
      <c r="L8" s="1998"/>
      <c r="M8" s="1998"/>
      <c r="N8" s="1197"/>
      <c r="O8" s="11"/>
      <c r="P8" s="1197"/>
      <c r="Q8" s="1197"/>
      <c r="R8" s="1197"/>
    </row>
    <row r="9" spans="1:19" ht="18" customHeight="1" thickBot="1">
      <c r="A9" s="1956" t="s">
        <v>1953</v>
      </c>
      <c r="B9" s="1957" t="s">
        <v>3059</v>
      </c>
      <c r="C9" s="2006"/>
      <c r="D9" s="3557"/>
      <c r="E9" s="1957"/>
      <c r="F9" s="2894"/>
      <c r="G9" s="2001"/>
      <c r="H9" s="2001"/>
      <c r="I9" s="2001"/>
      <c r="J9" s="2002"/>
      <c r="K9" s="2105"/>
      <c r="L9" s="1998"/>
      <c r="M9" s="1998"/>
      <c r="N9" s="1197"/>
      <c r="O9" s="11"/>
      <c r="P9" s="1197"/>
      <c r="Q9" s="1197"/>
      <c r="R9" s="1197"/>
    </row>
    <row r="10" spans="1:19" ht="18" customHeight="1" thickTop="1">
      <c r="A10" s="2011" t="s">
        <v>2064</v>
      </c>
      <c r="B10" s="2057" t="s">
        <v>3061</v>
      </c>
      <c r="C10" s="2039"/>
      <c r="D10" s="2003"/>
      <c r="E10" s="1941" t="s">
        <v>1954</v>
      </c>
      <c r="F10" s="1954" t="s">
        <v>3063</v>
      </c>
      <c r="G10" s="2892"/>
      <c r="H10" s="2893"/>
      <c r="I10" s="2003"/>
      <c r="J10" s="2002"/>
      <c r="K10" s="2105"/>
      <c r="L10" s="1998"/>
      <c r="M10" s="1998"/>
      <c r="N10" s="1197"/>
      <c r="O10" s="11"/>
      <c r="P10" s="1197"/>
      <c r="Q10" s="1197"/>
      <c r="R10" s="1197"/>
    </row>
    <row r="11" spans="1:19" ht="18" customHeight="1">
      <c r="A11" s="1960" t="s">
        <v>2065</v>
      </c>
      <c r="B11" s="2056" t="s">
        <v>3062</v>
      </c>
      <c r="C11" s="2040"/>
      <c r="D11" s="2007"/>
      <c r="E11" s="2002"/>
      <c r="F11" s="2002"/>
      <c r="G11" s="2002"/>
      <c r="H11" s="2002"/>
      <c r="I11" s="2002"/>
      <c r="J11" s="2002"/>
      <c r="K11" s="2105"/>
      <c r="L11" s="1998"/>
      <c r="M11" s="1998"/>
      <c r="N11" s="1197"/>
      <c r="O11" s="11"/>
      <c r="P11" s="1197"/>
      <c r="Q11" s="1197"/>
      <c r="R11" s="1197"/>
    </row>
    <row r="12" spans="1:19" ht="18" customHeight="1">
      <c r="A12" s="2055" t="s">
        <v>2091</v>
      </c>
      <c r="B12" s="2056" t="s">
        <v>2025</v>
      </c>
      <c r="C12" s="2014" t="s">
        <v>2095</v>
      </c>
      <c r="D12" s="2026" t="s">
        <v>1946</v>
      </c>
      <c r="E12" s="2026" t="s">
        <v>2708</v>
      </c>
      <c r="F12" s="2026" t="s">
        <v>2709</v>
      </c>
      <c r="G12" s="2026" t="s">
        <v>2710</v>
      </c>
      <c r="H12" s="2026" t="s">
        <v>2711</v>
      </c>
      <c r="I12" s="2026" t="s">
        <v>2712</v>
      </c>
      <c r="J12" s="2002"/>
      <c r="K12" s="2105"/>
      <c r="L12" s="1998"/>
      <c r="M12" s="1998"/>
      <c r="N12" s="1197"/>
      <c r="O12" s="11"/>
      <c r="P12" s="1197"/>
      <c r="Q12" s="1197"/>
      <c r="R12" s="1197"/>
    </row>
    <row r="13" spans="1:19" ht="18" customHeight="1">
      <c r="A13" s="2010"/>
      <c r="B13" s="2085"/>
      <c r="C13" s="2086" t="s">
        <v>2094</v>
      </c>
      <c r="D13" s="3238"/>
      <c r="E13" s="2051">
        <v>55376</v>
      </c>
      <c r="F13" s="3238"/>
      <c r="G13" s="3238"/>
      <c r="H13" s="3238"/>
      <c r="I13" s="2051"/>
      <c r="J13" s="2002"/>
      <c r="K13" s="2105"/>
      <c r="L13" s="1998"/>
      <c r="M13" s="1998"/>
      <c r="N13" s="1197"/>
      <c r="O13" s="11"/>
      <c r="P13" s="1197"/>
      <c r="Q13" s="1197"/>
      <c r="R13" s="1197"/>
    </row>
    <row r="14" spans="1:19" ht="18" customHeight="1">
      <c r="A14" s="2010"/>
      <c r="B14" s="2085"/>
      <c r="C14" s="2086" t="s">
        <v>2096</v>
      </c>
      <c r="D14" s="2054"/>
      <c r="E14" s="2054">
        <v>40</v>
      </c>
      <c r="F14" s="2054"/>
      <c r="G14" s="2054"/>
      <c r="H14" s="2054"/>
      <c r="I14" s="2054"/>
      <c r="J14" s="2002"/>
      <c r="K14" s="2106"/>
      <c r="L14" s="1998"/>
      <c r="M14" s="1998"/>
      <c r="N14" s="1197"/>
      <c r="O14" s="11"/>
      <c r="P14" s="1197"/>
      <c r="Q14" s="1197"/>
      <c r="R14" s="1197"/>
    </row>
    <row r="15" spans="1:19" ht="18" customHeight="1">
      <c r="A15" s="2011"/>
      <c r="B15" s="2087"/>
      <c r="C15" s="2086" t="s">
        <v>2097</v>
      </c>
      <c r="D15" s="2053" t="str">
        <f>IF(B12="出让",IF(D13="","",ROUNDDOWN(MIN((D13-$D$3)/365,D14),2)),D14)</f>
        <v/>
      </c>
      <c r="E15" s="2053">
        <f>IF(B12="出让",IF(E13="","",ROUNDDOWN(MIN((E13-$D$3)/365,E14),2)),E14)</f>
        <v>34.06</v>
      </c>
      <c r="F15" s="2053" t="str">
        <f>IF(B12="出让",IF(F13="","",ROUNDDOWN(MIN((F13-$D$3)/365,F14),2)),F14)</f>
        <v/>
      </c>
      <c r="G15" s="2053" t="str">
        <f>IF(B12="出让",IF(G13="","",ROUNDDOWN(MIN((G13-$D$3)/365,G14),2)),G14)</f>
        <v/>
      </c>
      <c r="H15" s="2053" t="str">
        <f>IF(B12="出让",IF(H13="","",ROUNDDOWN(MIN((H13-$D$3)/365,H14),2)),H14)</f>
        <v/>
      </c>
      <c r="I15" s="2053" t="str">
        <f>IF(B12="出让",IF(I13="","",ROUNDDOWN(MIN((I13-$D$3)/365,I14),2)),I14)</f>
        <v/>
      </c>
      <c r="J15" s="2002"/>
      <c r="K15" s="2107"/>
      <c r="L15" s="1231"/>
      <c r="M15" s="1231"/>
      <c r="N15" s="2022"/>
      <c r="O15" s="1231"/>
      <c r="P15" s="2022"/>
      <c r="Q15" s="1197"/>
      <c r="R15" s="1197"/>
    </row>
    <row r="16" spans="1:19" ht="30.75" customHeight="1">
      <c r="A16" s="1941" t="s">
        <v>2098</v>
      </c>
      <c r="B16" s="3563" t="s">
        <v>3065</v>
      </c>
      <c r="C16" s="3564"/>
      <c r="D16" s="3565"/>
      <c r="E16" s="1958" t="s">
        <v>2026</v>
      </c>
      <c r="F16" s="3566" t="s">
        <v>3064</v>
      </c>
      <c r="G16" s="3567"/>
      <c r="H16" s="3567"/>
      <c r="I16" s="3568"/>
      <c r="J16" s="1197"/>
      <c r="K16" s="2107"/>
      <c r="L16" s="1231"/>
      <c r="M16" s="1231"/>
      <c r="N16" s="2022"/>
      <c r="O16" s="1231"/>
      <c r="P16" s="2022"/>
      <c r="Q16" s="1197"/>
      <c r="R16" s="1197"/>
    </row>
    <row r="17" spans="1:22" ht="18" customHeight="1">
      <c r="A17" s="2009" t="s">
        <v>1955</v>
      </c>
      <c r="B17" s="1942" t="s">
        <v>1956</v>
      </c>
      <c r="C17" s="2088">
        <f>'数据-汇总表'!E3</f>
        <v>326059.4499999999</v>
      </c>
      <c r="D17" s="1943" t="s">
        <v>1957</v>
      </c>
      <c r="E17" s="3569" t="s">
        <v>2013</v>
      </c>
      <c r="F17" s="3570"/>
      <c r="G17" s="3570"/>
      <c r="H17" s="3570"/>
      <c r="I17" s="3571"/>
      <c r="J17" s="1197"/>
      <c r="K17" s="2698"/>
      <c r="L17" s="1231"/>
      <c r="M17" s="1231"/>
      <c r="N17" s="2022"/>
      <c r="O17" s="1231"/>
      <c r="P17" s="2022"/>
      <c r="Q17" s="1197"/>
      <c r="R17" s="1197"/>
      <c r="S17" s="1197"/>
      <c r="T17" s="1197"/>
      <c r="U17" s="1197"/>
      <c r="V17" s="1197"/>
    </row>
    <row r="18" spans="1:22" ht="36" customHeight="1" thickBot="1">
      <c r="A18" s="2900" t="s">
        <v>2704</v>
      </c>
      <c r="B18" s="1926" t="s">
        <v>1958</v>
      </c>
      <c r="C18" s="2901">
        <f>'数据-汇总表'!D3</f>
        <v>346512.69</v>
      </c>
      <c r="D18" s="2902" t="s">
        <v>1957</v>
      </c>
      <c r="E18" s="3572" t="s">
        <v>3015</v>
      </c>
      <c r="F18" s="3573"/>
      <c r="G18" s="3573"/>
      <c r="H18" s="3573"/>
      <c r="I18" s="3574"/>
      <c r="J18" s="1197"/>
      <c r="K18" s="2698"/>
      <c r="L18" s="1231"/>
      <c r="M18" s="1231"/>
      <c r="N18" s="2022"/>
      <c r="O18" s="1231"/>
      <c r="P18" s="2022"/>
      <c r="Q18" s="1197"/>
      <c r="R18" s="1197"/>
      <c r="S18" s="1197"/>
      <c r="T18" s="1197"/>
      <c r="U18" s="1197"/>
      <c r="V18" s="1197"/>
    </row>
    <row r="19" spans="1:22" ht="37.5" customHeight="1" thickTop="1" thickBot="1">
      <c r="A19" s="2899" t="s">
        <v>2045</v>
      </c>
      <c r="B19" s="2062" t="s">
        <v>2046</v>
      </c>
      <c r="C19" s="2063" t="s">
        <v>3066</v>
      </c>
      <c r="D19" s="2045" t="s">
        <v>2049</v>
      </c>
      <c r="E19" s="2044" t="s">
        <v>3066</v>
      </c>
      <c r="F19" s="2046" t="str">
        <f>IF(AND(C19="是",E19="否"),"是否提供他项权证或相关说明","")</f>
        <v/>
      </c>
      <c r="G19" s="2047"/>
      <c r="H19" s="2002"/>
      <c r="I19" s="2002"/>
      <c r="J19" s="2002"/>
      <c r="K19" s="2105"/>
      <c r="L19" s="1998"/>
      <c r="M19" s="1998"/>
      <c r="N19" s="2022"/>
      <c r="O19" s="1231"/>
      <c r="P19" s="2022"/>
      <c r="Q19" s="1197"/>
      <c r="R19" s="1197"/>
      <c r="S19" s="1197"/>
      <c r="T19" s="1197"/>
      <c r="U19" s="1197"/>
      <c r="V19" s="1197"/>
    </row>
    <row r="20" spans="1:22" ht="18" customHeight="1">
      <c r="A20" s="2064" t="s">
        <v>2050</v>
      </c>
      <c r="B20" s="3559" t="s">
        <v>2051</v>
      </c>
      <c r="C20" s="3560"/>
      <c r="D20" s="3561" t="s">
        <v>2052</v>
      </c>
      <c r="E20" s="3562"/>
      <c r="F20" s="2070" t="s">
        <v>2053</v>
      </c>
      <c r="G20" s="2002"/>
      <c r="H20" s="2002"/>
      <c r="I20" s="2002"/>
      <c r="J20" s="2002"/>
      <c r="K20" s="3558" t="s">
        <v>2048</v>
      </c>
      <c r="L20" s="2612" t="str">
        <f>"根据估价对象"&amp;IF(B22="——",B21&amp;C21,B21&amp;C21&amp;"、"&amp;B22&amp;C22)&amp;"，"&amp;IF(C19="是","截至价值时点，估价对象已设定抵押。","截至价值时点，估价对象抵押权未见登记。")</f>
        <v>根据估价对象《房屋所有权证》——、《国有土地使用权》原件，截至价值时点，估价对象已设定抵押。</v>
      </c>
      <c r="M20" s="1998"/>
      <c r="N20" s="2022"/>
      <c r="O20" s="1231"/>
      <c r="P20" s="2022"/>
      <c r="Q20" s="1197"/>
      <c r="R20" s="1197"/>
      <c r="S20" s="1197"/>
      <c r="T20" s="1197"/>
      <c r="U20" s="1197"/>
      <c r="V20" s="1197"/>
    </row>
    <row r="21" spans="1:22" ht="24.75" customHeight="1">
      <c r="A21" s="2064"/>
      <c r="B21" s="2065" t="s">
        <v>2054</v>
      </c>
      <c r="C21" s="2034" t="s">
        <v>529</v>
      </c>
      <c r="D21" s="1991" t="s">
        <v>2057</v>
      </c>
      <c r="E21" s="2035" t="s">
        <v>529</v>
      </c>
      <c r="F21" s="1980"/>
      <c r="G21" s="2002"/>
      <c r="H21" s="2002"/>
      <c r="I21" s="2002"/>
      <c r="J21" s="2002"/>
      <c r="K21" s="3558"/>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8"/>
      <c r="N21" s="2022"/>
      <c r="O21" s="1231"/>
      <c r="P21" s="2022"/>
      <c r="Q21" s="1197"/>
      <c r="R21" s="1197"/>
      <c r="S21" s="1197"/>
      <c r="T21" s="1197"/>
      <c r="U21" s="1197"/>
      <c r="V21" s="1197"/>
    </row>
    <row r="22" spans="1:22" ht="24.75" customHeight="1" thickBot="1">
      <c r="A22" s="2064"/>
      <c r="B22" s="2066" t="s">
        <v>2056</v>
      </c>
      <c r="C22" s="2034" t="s">
        <v>2055</v>
      </c>
      <c r="D22" s="1997"/>
      <c r="E22" s="1997"/>
      <c r="F22" s="2071"/>
      <c r="G22" s="2002"/>
      <c r="H22" s="2002"/>
      <c r="I22" s="2002"/>
      <c r="J22" s="2002"/>
      <c r="K22" s="3558"/>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2058</v>
      </c>
      <c r="B23" s="2067" t="s">
        <v>2059</v>
      </c>
      <c r="C23" s="2068"/>
      <c r="D23" s="1981" t="s">
        <v>2059</v>
      </c>
      <c r="E23" s="1989"/>
      <c r="F23" s="2071"/>
      <c r="G23" s="2002"/>
      <c r="H23" s="2002"/>
      <c r="I23" s="2002"/>
      <c r="J23" s="2002"/>
      <c r="K23" s="226"/>
      <c r="L23" s="2612"/>
      <c r="M23" s="1998"/>
      <c r="N23" s="2022"/>
      <c r="O23" s="1231"/>
      <c r="P23" s="2022"/>
      <c r="Q23" s="1197"/>
      <c r="R23" s="1197"/>
      <c r="S23" s="1197"/>
      <c r="T23" s="1197"/>
      <c r="U23" s="1197"/>
      <c r="V23" s="1197"/>
    </row>
    <row r="24" spans="1:22" ht="18" customHeight="1">
      <c r="A24" s="1982"/>
      <c r="B24" s="2067" t="s">
        <v>2060</v>
      </c>
      <c r="C24" s="2069"/>
      <c r="D24" s="1979" t="s">
        <v>2060</v>
      </c>
      <c r="E24" s="1990"/>
      <c r="F24" s="2071"/>
      <c r="G24" s="2002"/>
      <c r="H24" s="2002"/>
      <c r="I24" s="2002"/>
      <c r="J24" s="2002"/>
      <c r="K24" s="226"/>
      <c r="L24" s="2612"/>
      <c r="M24" s="1998"/>
      <c r="N24" s="2022"/>
      <c r="O24" s="1231"/>
      <c r="P24" s="2022"/>
      <c r="Q24" s="1197"/>
      <c r="R24" s="1197"/>
      <c r="S24" s="1197"/>
      <c r="T24" s="1197"/>
      <c r="U24" s="1197"/>
      <c r="V24" s="1197"/>
    </row>
    <row r="25" spans="1:22" ht="18" customHeight="1">
      <c r="A25" s="1982"/>
      <c r="B25" s="2067" t="s">
        <v>2061</v>
      </c>
      <c r="C25" s="2069"/>
      <c r="D25" s="1979" t="s">
        <v>2061</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2062</v>
      </c>
      <c r="C26" s="2073"/>
      <c r="D26" s="2061" t="s">
        <v>2062</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546" t="s">
        <v>2066</v>
      </c>
      <c r="B27" s="2011" t="s">
        <v>2067</v>
      </c>
      <c r="C27" s="1932" t="s">
        <v>3067</v>
      </c>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546"/>
      <c r="B28" s="1942" t="s">
        <v>2068</v>
      </c>
      <c r="C28" s="1934" t="s">
        <v>3068</v>
      </c>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546"/>
      <c r="B29" s="1942" t="s">
        <v>2069</v>
      </c>
      <c r="C29" s="1936" t="s">
        <v>41</v>
      </c>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547"/>
      <c r="B30" s="1942" t="s">
        <v>2070</v>
      </c>
      <c r="C30" s="3548"/>
      <c r="D30" s="3549"/>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550" t="s">
        <v>2071</v>
      </c>
      <c r="B31" s="1938" t="s">
        <v>3069</v>
      </c>
      <c r="C31" s="1939" t="str">
        <f>IF(B31="现房","成新及维护状况正常否",IF(B31="在建","工程状态是否正常",IF(B31="土地","是否闲置","-")))</f>
        <v>工程状态是否正常</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551"/>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551"/>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2027</v>
      </c>
      <c r="B34" s="1962" t="s">
        <v>3070</v>
      </c>
      <c r="C34" s="1962" t="s">
        <v>3071</v>
      </c>
      <c r="D34" s="1962" t="s">
        <v>3072</v>
      </c>
      <c r="E34" s="1962" t="s">
        <v>3073</v>
      </c>
      <c r="F34" s="1962"/>
      <c r="G34" s="1962"/>
      <c r="H34" s="1962"/>
      <c r="I34" s="2002"/>
      <c r="J34" s="2002"/>
      <c r="K34" s="2889">
        <f>COUNTIF(B34:H34,"——")</f>
        <v>0</v>
      </c>
      <c r="L34" s="2014" t="s">
        <v>2100</v>
      </c>
      <c r="M34" s="2014" t="s">
        <v>2101</v>
      </c>
      <c r="N34" s="2014" t="s">
        <v>2102</v>
      </c>
      <c r="O34" s="2014" t="s">
        <v>2103</v>
      </c>
      <c r="P34" s="2014" t="s">
        <v>2104</v>
      </c>
      <c r="Q34" s="2014" t="s">
        <v>2105</v>
      </c>
      <c r="R34" s="2014" t="s">
        <v>2106</v>
      </c>
      <c r="S34" s="3545" t="s">
        <v>2107</v>
      </c>
      <c r="T34" s="2015" t="str">
        <f>NUMBERSTRING(7-K34,1)&amp;"通"</f>
        <v>七通</v>
      </c>
      <c r="U34" s="1197"/>
      <c r="V34" s="1197"/>
    </row>
    <row r="35" spans="1:22" ht="18" customHeight="1">
      <c r="A35" s="2016"/>
      <c r="B35" s="3552" t="s">
        <v>1871</v>
      </c>
      <c r="C35" s="3552"/>
      <c r="D35" s="3552"/>
      <c r="E35" s="3552"/>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通路、通电、通讯、通热</v>
      </c>
      <c r="P35" s="23" t="str">
        <f>B34&amp;"、"&amp;C34&amp;"、"&amp;D34&amp;"、"&amp;E34&amp;"、"&amp;F34</f>
        <v>通路、通电、通讯、通热、</v>
      </c>
      <c r="Q35" s="23" t="str">
        <f>B34&amp;"、"&amp;C34&amp;"、"&amp;D34&amp;"、"&amp;E34&amp;"、"&amp;F34&amp;"、"&amp;G34</f>
        <v>通路、通电、通讯、通热、、</v>
      </c>
      <c r="R35" s="23" t="str">
        <f>B34&amp;"、"&amp;C34&amp;"、"&amp;D34&amp;"、"&amp;E34&amp;"、"&amp;F34&amp;"、"&amp;G34&amp;"、"&amp;H34</f>
        <v>通路、通电、通讯、通热、、、</v>
      </c>
      <c r="S35" s="3545"/>
      <c r="T35" s="23" t="str">
        <f>IF(T34="一通",L35,IF(T34="二通",M35,IF(T34="三通",N35,IF(T34="四通",O35,IF(T34="五通",P35,IF(T34="六通",Q35,R35))))))</f>
        <v>通路、通电、通讯、通热、、、</v>
      </c>
      <c r="U35" s="1197"/>
      <c r="V35" s="1197"/>
    </row>
    <row r="36" spans="1:22" ht="18" customHeight="1">
      <c r="A36" s="2018"/>
      <c r="B36" s="2017" t="s">
        <v>1951</v>
      </c>
      <c r="C36" s="2017" t="s">
        <v>1947</v>
      </c>
      <c r="D36" s="2017" t="s">
        <v>1946</v>
      </c>
      <c r="E36" s="2017" t="s">
        <v>1948</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1870</v>
      </c>
      <c r="B37" s="2021" t="s">
        <v>1945</v>
      </c>
      <c r="C37" s="2021" t="s">
        <v>1945</v>
      </c>
      <c r="D37" s="2021" t="s">
        <v>1945</v>
      </c>
      <c r="E37" s="2021" t="s">
        <v>1945</v>
      </c>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1872</v>
      </c>
      <c r="B38" s="2049" t="s">
        <v>3074</v>
      </c>
      <c r="C38" s="2049" t="s">
        <v>3074</v>
      </c>
      <c r="D38" s="2049" t="s">
        <v>3074</v>
      </c>
      <c r="E38" s="2049" t="s">
        <v>3074</v>
      </c>
      <c r="F38" s="2050"/>
      <c r="G38" s="2001"/>
      <c r="H38" s="2001"/>
      <c r="I38" s="2001"/>
      <c r="J38" s="2002"/>
      <c r="K38" s="2105"/>
      <c r="L38" s="1998"/>
      <c r="M38" s="1998"/>
      <c r="N38" s="1197"/>
      <c r="O38" s="11"/>
      <c r="P38" s="1197"/>
      <c r="Q38" s="1197"/>
      <c r="R38" s="1197"/>
      <c r="S38" s="1197"/>
      <c r="T38" s="1197"/>
      <c r="U38" s="1197"/>
      <c r="V38" s="1197"/>
    </row>
    <row r="39" spans="1:22" s="3313" customFormat="1" ht="18" customHeight="1" thickTop="1" thickBot="1">
      <c r="A39" s="3314" t="s">
        <v>3035</v>
      </c>
      <c r="B39" s="3310"/>
      <c r="C39" s="3310"/>
      <c r="D39" s="3310"/>
      <c r="E39" s="3310"/>
      <c r="F39" s="3310"/>
      <c r="G39" s="3310"/>
      <c r="H39" s="3310"/>
      <c r="I39" s="3310"/>
      <c r="J39" s="3310"/>
      <c r="K39" s="3311"/>
      <c r="L39" s="3310"/>
      <c r="M39" s="3310"/>
      <c r="N39" s="3310"/>
      <c r="O39" s="3312"/>
      <c r="P39" s="3310"/>
      <c r="Q39" s="3310"/>
      <c r="R39" s="3310"/>
      <c r="S39" s="3310"/>
      <c r="T39" s="3310"/>
      <c r="U39" s="3310"/>
      <c r="V39" s="3310"/>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2072</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2073</v>
      </c>
      <c r="B42" s="1988" t="s">
        <v>2074</v>
      </c>
      <c r="C42" s="1988" t="s">
        <v>2075</v>
      </c>
      <c r="D42" s="1988" t="s">
        <v>2076</v>
      </c>
      <c r="E42" s="1988" t="s">
        <v>2077</v>
      </c>
      <c r="F42" s="1988" t="s">
        <v>2078</v>
      </c>
      <c r="G42" s="1988" t="s">
        <v>2079</v>
      </c>
      <c r="H42" s="1988" t="s">
        <v>2080</v>
      </c>
      <c r="I42" s="1988" t="s">
        <v>2081</v>
      </c>
      <c r="J42" s="2101" t="s">
        <v>2082</v>
      </c>
      <c r="K42" s="2026" t="s">
        <v>2083</v>
      </c>
      <c r="L42" s="2026" t="s">
        <v>2084</v>
      </c>
      <c r="M42" s="2026" t="s">
        <v>2085</v>
      </c>
      <c r="N42" s="1988" t="s">
        <v>2086</v>
      </c>
      <c r="O42" s="1988" t="s">
        <v>2087</v>
      </c>
      <c r="P42" s="1988" t="s">
        <v>2088</v>
      </c>
      <c r="Q42" s="2014" t="s">
        <v>2089</v>
      </c>
      <c r="R42" s="2014" t="s">
        <v>2090</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8"/>
      <c r="T43" s="3248"/>
      <c r="U43" s="3248"/>
      <c r="V43" s="3248"/>
    </row>
    <row r="44" spans="1:22" s="2242" customFormat="1" ht="18" customHeight="1">
      <c r="A44" s="1417"/>
      <c r="B44" s="1417"/>
      <c r="C44" s="216"/>
      <c r="D44" s="216"/>
      <c r="E44" s="216"/>
      <c r="F44" s="216"/>
      <c r="G44" s="216"/>
      <c r="H44" s="2"/>
      <c r="I44" s="2"/>
      <c r="J44" s="9"/>
      <c r="K44" s="4"/>
      <c r="L44" s="4"/>
      <c r="M44" s="2"/>
      <c r="N44" s="216"/>
      <c r="O44" s="2"/>
      <c r="P44" s="216"/>
      <c r="Q44" s="216"/>
      <c r="R44" s="216"/>
      <c r="S44" s="3248"/>
      <c r="T44" s="3248"/>
      <c r="U44" s="3248"/>
      <c r="V44" s="3248"/>
    </row>
    <row r="45" spans="1:22" s="2242" customFormat="1" ht="18" customHeight="1">
      <c r="A45" s="1417"/>
      <c r="B45" s="1417"/>
      <c r="C45" s="216"/>
      <c r="D45" s="216"/>
      <c r="E45" s="216"/>
      <c r="F45" s="216"/>
      <c r="G45" s="216"/>
      <c r="H45" s="2"/>
      <c r="I45" s="2"/>
      <c r="J45" s="9"/>
      <c r="K45" s="4"/>
      <c r="L45" s="4"/>
      <c r="M45" s="2"/>
      <c r="N45" s="216"/>
      <c r="O45" s="2"/>
      <c r="P45" s="216"/>
      <c r="Q45" s="216"/>
      <c r="R45" s="216"/>
      <c r="S45" s="3248"/>
      <c r="T45" s="3248"/>
      <c r="U45" s="3248"/>
      <c r="V45" s="3248"/>
    </row>
    <row r="46" spans="1:22" s="2242" customFormat="1" ht="18" customHeight="1">
      <c r="A46" s="1417"/>
      <c r="B46" s="1417"/>
      <c r="C46" s="216"/>
      <c r="D46" s="216"/>
      <c r="E46" s="216"/>
      <c r="F46" s="216"/>
      <c r="G46" s="216"/>
      <c r="H46" s="2"/>
      <c r="I46" s="2"/>
      <c r="J46" s="9"/>
      <c r="K46" s="4"/>
      <c r="L46" s="4"/>
      <c r="M46" s="2"/>
      <c r="N46" s="216"/>
      <c r="O46" s="2"/>
      <c r="P46" s="216"/>
      <c r="Q46" s="216"/>
      <c r="R46" s="216"/>
      <c r="S46" s="3248"/>
      <c r="T46" s="3248"/>
      <c r="U46" s="3248"/>
      <c r="V46" s="3248"/>
    </row>
    <row r="47" spans="1:22" s="2242" customFormat="1" ht="18" customHeight="1">
      <c r="A47" s="1417"/>
      <c r="B47" s="1417"/>
      <c r="C47" s="216"/>
      <c r="D47" s="216"/>
      <c r="E47" s="216"/>
      <c r="F47" s="216"/>
      <c r="G47" s="216"/>
      <c r="H47" s="2"/>
      <c r="I47" s="2"/>
      <c r="J47" s="9"/>
      <c r="K47" s="4"/>
      <c r="L47" s="4"/>
      <c r="M47" s="2"/>
      <c r="N47" s="216"/>
      <c r="O47" s="2"/>
      <c r="P47" s="216"/>
      <c r="Q47" s="216"/>
      <c r="R47" s="216"/>
      <c r="S47" s="3248"/>
      <c r="T47" s="3248"/>
      <c r="U47" s="3248"/>
      <c r="V47" s="3248"/>
    </row>
    <row r="48" spans="1:22" s="2242" customFormat="1" ht="18" customHeight="1">
      <c r="A48" s="1417"/>
      <c r="B48" s="1417"/>
      <c r="C48" s="216"/>
      <c r="D48" s="216"/>
      <c r="E48" s="216"/>
      <c r="F48" s="216"/>
      <c r="G48" s="216"/>
      <c r="H48" s="2"/>
      <c r="I48" s="2"/>
      <c r="J48" s="9"/>
      <c r="K48" s="4"/>
      <c r="L48" s="4"/>
      <c r="M48" s="2"/>
      <c r="N48" s="216"/>
      <c r="O48" s="2"/>
      <c r="P48" s="216"/>
      <c r="Q48" s="216"/>
      <c r="R48" s="216"/>
      <c r="S48" s="3248"/>
      <c r="T48" s="3248"/>
      <c r="U48" s="3248"/>
      <c r="V48" s="3248"/>
    </row>
    <row r="49" spans="1:22" s="2242" customFormat="1" ht="18" customHeight="1">
      <c r="A49" s="1417"/>
      <c r="B49" s="1417"/>
      <c r="C49" s="216"/>
      <c r="D49" s="216"/>
      <c r="E49" s="216"/>
      <c r="F49" s="216"/>
      <c r="G49" s="216"/>
      <c r="H49" s="2"/>
      <c r="I49" s="2"/>
      <c r="J49" s="9"/>
      <c r="K49" s="4"/>
      <c r="L49" s="4"/>
      <c r="M49" s="2"/>
      <c r="N49" s="216"/>
      <c r="O49" s="2"/>
      <c r="P49" s="216"/>
      <c r="Q49" s="216"/>
      <c r="R49" s="216"/>
      <c r="S49" s="3248"/>
      <c r="T49" s="3248"/>
      <c r="U49" s="3248"/>
      <c r="V49" s="3248"/>
    </row>
    <row r="50" spans="1:22" s="2242" customFormat="1" ht="18" customHeight="1">
      <c r="A50" s="1417"/>
      <c r="B50" s="1417"/>
      <c r="C50" s="216"/>
      <c r="D50" s="216"/>
      <c r="E50" s="216"/>
      <c r="F50" s="216"/>
      <c r="G50" s="216"/>
      <c r="H50" s="2"/>
      <c r="I50" s="2"/>
      <c r="J50" s="9"/>
      <c r="K50" s="4"/>
      <c r="L50" s="4"/>
      <c r="M50" s="2"/>
      <c r="N50" s="216"/>
      <c r="O50" s="2"/>
      <c r="P50" s="216"/>
      <c r="Q50" s="216"/>
      <c r="R50" s="216"/>
      <c r="S50" s="3248"/>
      <c r="T50" s="3248"/>
      <c r="U50" s="3248"/>
      <c r="V50" s="3248"/>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88"/>
  <sheetViews>
    <sheetView topLeftCell="A348" workbookViewId="0">
      <selection activeCell="L4" sqref="L4:L36"/>
    </sheetView>
  </sheetViews>
  <sheetFormatPr defaultRowHeight="13.5"/>
  <cols>
    <col min="2" max="2" width="10.5" customWidth="1"/>
    <col min="8" max="8" width="11" customWidth="1"/>
    <col min="10" max="10" width="10.625" customWidth="1"/>
    <col min="14" max="14" width="11.75" customWidth="1"/>
  </cols>
  <sheetData>
    <row r="1" spans="1:15" ht="36">
      <c r="A1" s="3340" t="s">
        <v>1619</v>
      </c>
      <c r="B1" s="3341" t="s">
        <v>3079</v>
      </c>
      <c r="C1" s="3340" t="s">
        <v>3080</v>
      </c>
      <c r="D1" s="3342" t="s">
        <v>3081</v>
      </c>
      <c r="E1" s="3342" t="s">
        <v>3082</v>
      </c>
      <c r="F1" s="3340" t="s">
        <v>3083</v>
      </c>
      <c r="G1" s="3343" t="s">
        <v>3084</v>
      </c>
      <c r="H1" s="3340" t="s">
        <v>3085</v>
      </c>
      <c r="I1" s="3344" t="s">
        <v>3086</v>
      </c>
      <c r="J1" s="3340" t="s">
        <v>3087</v>
      </c>
      <c r="K1" s="3340" t="s">
        <v>3088</v>
      </c>
      <c r="L1" s="3340" t="s">
        <v>3089</v>
      </c>
      <c r="M1" s="3340" t="s">
        <v>3090</v>
      </c>
      <c r="N1" s="3342" t="s">
        <v>3091</v>
      </c>
      <c r="O1" s="3340" t="s">
        <v>3092</v>
      </c>
    </row>
    <row r="2" spans="1:15" ht="36">
      <c r="A2" s="3576">
        <v>1</v>
      </c>
      <c r="B2" s="3594" t="s">
        <v>3093</v>
      </c>
      <c r="C2" s="3575" t="s">
        <v>3094</v>
      </c>
      <c r="D2" s="3345" t="s">
        <v>3095</v>
      </c>
      <c r="E2" s="3346" t="s">
        <v>3096</v>
      </c>
      <c r="F2" s="3347" t="s">
        <v>3097</v>
      </c>
      <c r="G2" s="3348" t="s">
        <v>3098</v>
      </c>
      <c r="H2" s="3349">
        <v>433.24</v>
      </c>
      <c r="I2" s="3349">
        <v>227.5</v>
      </c>
      <c r="J2" s="3349">
        <v>205.74</v>
      </c>
      <c r="K2" s="3349"/>
      <c r="L2" s="3579">
        <v>47458.59</v>
      </c>
      <c r="M2" s="3350">
        <v>1</v>
      </c>
      <c r="N2" s="3351">
        <v>1</v>
      </c>
      <c r="O2" s="3350" t="s">
        <v>3099</v>
      </c>
    </row>
    <row r="3" spans="1:15" ht="36">
      <c r="A3" s="3576"/>
      <c r="B3" s="3594"/>
      <c r="C3" s="3575"/>
      <c r="D3" s="3345" t="s">
        <v>3100</v>
      </c>
      <c r="E3" s="3346" t="s">
        <v>3096</v>
      </c>
      <c r="F3" s="3347" t="s">
        <v>3101</v>
      </c>
      <c r="G3" s="3352" t="s">
        <v>3102</v>
      </c>
      <c r="H3" s="3353">
        <v>44820.35</v>
      </c>
      <c r="I3" s="3354">
        <v>26211.16</v>
      </c>
      <c r="J3" s="3354">
        <v>18162.900000000001</v>
      </c>
      <c r="K3" s="3355">
        <v>446.29</v>
      </c>
      <c r="L3" s="3580"/>
      <c r="M3" s="3350">
        <v>4</v>
      </c>
      <c r="N3" s="3351">
        <v>1</v>
      </c>
      <c r="O3" s="3350" t="s">
        <v>3099</v>
      </c>
    </row>
    <row r="4" spans="1:15" ht="36">
      <c r="A4" s="3591">
        <v>2</v>
      </c>
      <c r="B4" s="3586" t="s">
        <v>3103</v>
      </c>
      <c r="C4" s="3586" t="s">
        <v>3104</v>
      </c>
      <c r="D4" s="3356" t="s">
        <v>3105</v>
      </c>
      <c r="E4" s="3357" t="s">
        <v>3106</v>
      </c>
      <c r="F4" s="3357" t="s">
        <v>3097</v>
      </c>
      <c r="G4" s="3358" t="s">
        <v>3107</v>
      </c>
      <c r="H4" s="3357">
        <v>7442.38</v>
      </c>
      <c r="I4" s="3354">
        <v>5983.33</v>
      </c>
      <c r="J4" s="3354">
        <v>1361.55</v>
      </c>
      <c r="K4" s="3355">
        <v>97.5</v>
      </c>
      <c r="L4" s="3582">
        <v>77892.2</v>
      </c>
      <c r="M4" s="3359">
        <v>3</v>
      </c>
      <c r="N4" s="3359">
        <v>1</v>
      </c>
      <c r="O4" s="3350" t="s">
        <v>3099</v>
      </c>
    </row>
    <row r="5" spans="1:15" ht="36">
      <c r="A5" s="3592"/>
      <c r="B5" s="3587"/>
      <c r="C5" s="3587"/>
      <c r="D5" s="3356" t="s">
        <v>3108</v>
      </c>
      <c r="E5" s="3347" t="s">
        <v>3106</v>
      </c>
      <c r="F5" s="3347" t="s">
        <v>3109</v>
      </c>
      <c r="G5" s="3358" t="s">
        <v>3107</v>
      </c>
      <c r="H5" s="3360">
        <v>10101.4</v>
      </c>
      <c r="I5" s="3361">
        <f>H5</f>
        <v>10101.4</v>
      </c>
      <c r="J5" s="3362">
        <v>0</v>
      </c>
      <c r="K5" s="3362"/>
      <c r="L5" s="3582"/>
      <c r="M5" s="3363">
        <v>4</v>
      </c>
      <c r="N5" s="3363" t="s">
        <v>23</v>
      </c>
      <c r="O5" s="3364" t="s">
        <v>3099</v>
      </c>
    </row>
    <row r="6" spans="1:15">
      <c r="A6" s="3592"/>
      <c r="B6" s="3587"/>
      <c r="C6" s="3587"/>
      <c r="D6" s="3579" t="s">
        <v>3110</v>
      </c>
      <c r="E6" s="3347" t="s">
        <v>3106</v>
      </c>
      <c r="F6" s="3347" t="s">
        <v>3111</v>
      </c>
      <c r="G6" s="3365" t="s">
        <v>3112</v>
      </c>
      <c r="H6" s="3365">
        <v>167.4</v>
      </c>
      <c r="I6" s="3365">
        <f>H6</f>
        <v>167.4</v>
      </c>
      <c r="J6" s="3365">
        <v>0</v>
      </c>
      <c r="K6" s="3365"/>
      <c r="L6" s="3582"/>
      <c r="M6" s="3359">
        <v>2</v>
      </c>
      <c r="N6" s="3359" t="s">
        <v>23</v>
      </c>
      <c r="O6" s="3350" t="s">
        <v>3113</v>
      </c>
    </row>
    <row r="7" spans="1:15">
      <c r="A7" s="3592"/>
      <c r="B7" s="3587"/>
      <c r="C7" s="3587"/>
      <c r="D7" s="3582"/>
      <c r="E7" s="3357" t="s">
        <v>3106</v>
      </c>
      <c r="F7" s="3357" t="s">
        <v>3114</v>
      </c>
      <c r="G7" s="3361" t="s">
        <v>3115</v>
      </c>
      <c r="H7" s="3366">
        <v>1937.15</v>
      </c>
      <c r="I7" s="3367">
        <v>1382.59</v>
      </c>
      <c r="J7" s="3367">
        <v>554.55999999999995</v>
      </c>
      <c r="K7" s="3367">
        <v>0</v>
      </c>
      <c r="L7" s="3582"/>
      <c r="M7" s="3359">
        <v>1</v>
      </c>
      <c r="N7" s="3359">
        <v>1</v>
      </c>
      <c r="O7" s="3350" t="s">
        <v>3113</v>
      </c>
    </row>
    <row r="8" spans="1:15">
      <c r="A8" s="3592"/>
      <c r="B8" s="3587"/>
      <c r="C8" s="3587"/>
      <c r="D8" s="3582"/>
      <c r="E8" s="3353" t="s">
        <v>3106</v>
      </c>
      <c r="F8" s="3353" t="s">
        <v>3116</v>
      </c>
      <c r="G8" s="3361" t="s">
        <v>3117</v>
      </c>
      <c r="H8" s="3366">
        <v>310.25</v>
      </c>
      <c r="I8" s="3366">
        <f>H8</f>
        <v>310.25</v>
      </c>
      <c r="J8" s="3368">
        <v>0</v>
      </c>
      <c r="K8" s="3368"/>
      <c r="L8" s="3582"/>
      <c r="M8" s="3359">
        <v>1</v>
      </c>
      <c r="N8" s="3359" t="s">
        <v>23</v>
      </c>
      <c r="O8" s="3350" t="s">
        <v>3113</v>
      </c>
    </row>
    <row r="9" spans="1:15">
      <c r="A9" s="3592"/>
      <c r="B9" s="3587"/>
      <c r="C9" s="3587"/>
      <c r="D9" s="3582"/>
      <c r="E9" s="3357" t="s">
        <v>3106</v>
      </c>
      <c r="F9" s="3357" t="s">
        <v>3118</v>
      </c>
      <c r="G9" s="3361" t="s">
        <v>3115</v>
      </c>
      <c r="H9" s="3366">
        <v>1207.0999999999999</v>
      </c>
      <c r="I9" s="3367">
        <v>1155.5899999999999</v>
      </c>
      <c r="J9" s="3367">
        <v>51.51</v>
      </c>
      <c r="K9" s="3367">
        <v>0</v>
      </c>
      <c r="L9" s="3582"/>
      <c r="M9" s="3359">
        <v>2</v>
      </c>
      <c r="N9" s="3359">
        <v>1</v>
      </c>
      <c r="O9" s="3350" t="s">
        <v>3113</v>
      </c>
    </row>
    <row r="10" spans="1:15">
      <c r="A10" s="3592"/>
      <c r="B10" s="3587"/>
      <c r="C10" s="3587"/>
      <c r="D10" s="3582"/>
      <c r="E10" s="3353" t="s">
        <v>3106</v>
      </c>
      <c r="F10" s="3353" t="s">
        <v>3119</v>
      </c>
      <c r="G10" s="3361" t="s">
        <v>3115</v>
      </c>
      <c r="H10" s="3366">
        <v>482.61</v>
      </c>
      <c r="I10" s="3366">
        <f>H10</f>
        <v>482.61</v>
      </c>
      <c r="J10" s="3368">
        <v>0</v>
      </c>
      <c r="K10" s="3368"/>
      <c r="L10" s="3582"/>
      <c r="M10" s="3359">
        <v>1</v>
      </c>
      <c r="N10" s="3359" t="s">
        <v>23</v>
      </c>
      <c r="O10" s="3350" t="s">
        <v>3113</v>
      </c>
    </row>
    <row r="11" spans="1:15">
      <c r="A11" s="3592"/>
      <c r="B11" s="3587"/>
      <c r="C11" s="3587"/>
      <c r="D11" s="3582"/>
      <c r="E11" s="3353" t="s">
        <v>3106</v>
      </c>
      <c r="F11" s="3353" t="s">
        <v>3120</v>
      </c>
      <c r="G11" s="3361" t="s">
        <v>3117</v>
      </c>
      <c r="H11" s="3366">
        <v>1774.04</v>
      </c>
      <c r="I11" s="3367">
        <v>1592.38</v>
      </c>
      <c r="J11" s="3367">
        <v>181.66</v>
      </c>
      <c r="K11" s="3367">
        <v>0</v>
      </c>
      <c r="L11" s="3582"/>
      <c r="M11" s="3359">
        <v>2</v>
      </c>
      <c r="N11" s="3359">
        <v>1</v>
      </c>
      <c r="O11" s="3350" t="s">
        <v>3113</v>
      </c>
    </row>
    <row r="12" spans="1:15">
      <c r="A12" s="3592"/>
      <c r="B12" s="3587"/>
      <c r="C12" s="3587"/>
      <c r="D12" s="3582"/>
      <c r="E12" s="3353" t="s">
        <v>3106</v>
      </c>
      <c r="F12" s="3353" t="s">
        <v>3121</v>
      </c>
      <c r="G12" s="3361" t="s">
        <v>3115</v>
      </c>
      <c r="H12" s="3366">
        <v>475.41</v>
      </c>
      <c r="I12" s="3366">
        <f>H12</f>
        <v>475.41</v>
      </c>
      <c r="J12" s="3368">
        <v>0</v>
      </c>
      <c r="K12" s="3368"/>
      <c r="L12" s="3582"/>
      <c r="M12" s="3359">
        <v>1</v>
      </c>
      <c r="N12" s="3359" t="s">
        <v>23</v>
      </c>
      <c r="O12" s="3350" t="s">
        <v>3113</v>
      </c>
    </row>
    <row r="13" spans="1:15">
      <c r="A13" s="3592"/>
      <c r="B13" s="3587"/>
      <c r="C13" s="3587"/>
      <c r="D13" s="3582"/>
      <c r="E13" s="3353" t="s">
        <v>3106</v>
      </c>
      <c r="F13" s="3353" t="s">
        <v>3122</v>
      </c>
      <c r="G13" s="3361" t="s">
        <v>3123</v>
      </c>
      <c r="H13" s="3366">
        <v>1385.3</v>
      </c>
      <c r="I13" s="3366">
        <f>H13</f>
        <v>1385.3</v>
      </c>
      <c r="J13" s="3368">
        <v>0</v>
      </c>
      <c r="K13" s="3368"/>
      <c r="L13" s="3582"/>
      <c r="M13" s="3359">
        <v>2</v>
      </c>
      <c r="N13" s="3359" t="s">
        <v>3124</v>
      </c>
      <c r="O13" s="3350" t="s">
        <v>3125</v>
      </c>
    </row>
    <row r="14" spans="1:15">
      <c r="A14" s="3592"/>
      <c r="B14" s="3587"/>
      <c r="C14" s="3587"/>
      <c r="D14" s="3582"/>
      <c r="E14" s="3353" t="s">
        <v>3126</v>
      </c>
      <c r="F14" s="3353" t="s">
        <v>3127</v>
      </c>
      <c r="G14" s="3361" t="s">
        <v>3128</v>
      </c>
      <c r="H14" s="3366">
        <v>1009.66</v>
      </c>
      <c r="I14" s="3366">
        <f>H14</f>
        <v>1009.66</v>
      </c>
      <c r="J14" s="3368">
        <v>0</v>
      </c>
      <c r="K14" s="3368"/>
      <c r="L14" s="3582"/>
      <c r="M14" s="3359">
        <v>1</v>
      </c>
      <c r="N14" s="3359" t="s">
        <v>23</v>
      </c>
      <c r="O14" s="3350" t="s">
        <v>3113</v>
      </c>
    </row>
    <row r="15" spans="1:15">
      <c r="A15" s="3592"/>
      <c r="B15" s="3587"/>
      <c r="C15" s="3587"/>
      <c r="D15" s="3582"/>
      <c r="E15" s="3353" t="s">
        <v>3106</v>
      </c>
      <c r="F15" s="3353" t="s">
        <v>3129</v>
      </c>
      <c r="G15" s="3361" t="s">
        <v>3115</v>
      </c>
      <c r="H15" s="3366">
        <v>1560.09</v>
      </c>
      <c r="I15" s="3366">
        <f>H15</f>
        <v>1560.09</v>
      </c>
      <c r="J15" s="3368">
        <v>0</v>
      </c>
      <c r="K15" s="3368"/>
      <c r="L15" s="3582"/>
      <c r="M15" s="3359">
        <v>3</v>
      </c>
      <c r="N15" s="3359" t="s">
        <v>23</v>
      </c>
      <c r="O15" s="3350" t="s">
        <v>3113</v>
      </c>
    </row>
    <row r="16" spans="1:15">
      <c r="A16" s="3592"/>
      <c r="B16" s="3587"/>
      <c r="C16" s="3587"/>
      <c r="D16" s="3582"/>
      <c r="E16" s="3353" t="s">
        <v>3106</v>
      </c>
      <c r="F16" s="3353" t="s">
        <v>3130</v>
      </c>
      <c r="G16" s="3361" t="s">
        <v>3115</v>
      </c>
      <c r="H16" s="3366">
        <v>399.85</v>
      </c>
      <c r="I16" s="3366">
        <f>H16</f>
        <v>399.85</v>
      </c>
      <c r="J16" s="3368">
        <v>0</v>
      </c>
      <c r="K16" s="3368"/>
      <c r="L16" s="3582"/>
      <c r="M16" s="3359">
        <v>2</v>
      </c>
      <c r="N16" s="3359" t="s">
        <v>3124</v>
      </c>
      <c r="O16" s="3350" t="s">
        <v>3125</v>
      </c>
    </row>
    <row r="17" spans="1:15">
      <c r="A17" s="3592"/>
      <c r="B17" s="3587"/>
      <c r="C17" s="3587"/>
      <c r="D17" s="3582"/>
      <c r="E17" s="3353" t="s">
        <v>3126</v>
      </c>
      <c r="F17" s="3353" t="s">
        <v>3131</v>
      </c>
      <c r="G17" s="3361" t="s">
        <v>3132</v>
      </c>
      <c r="H17" s="3357">
        <v>281.77999999999997</v>
      </c>
      <c r="I17" s="3366">
        <f t="shared" ref="I17:I30" si="0">H17</f>
        <v>281.77999999999997</v>
      </c>
      <c r="J17" s="3368">
        <v>0</v>
      </c>
      <c r="K17" s="3368"/>
      <c r="L17" s="3582"/>
      <c r="M17" s="3359">
        <v>1</v>
      </c>
      <c r="N17" s="3359" t="s">
        <v>23</v>
      </c>
      <c r="O17" s="3350" t="s">
        <v>3113</v>
      </c>
    </row>
    <row r="18" spans="1:15">
      <c r="A18" s="3592"/>
      <c r="B18" s="3587"/>
      <c r="C18" s="3587"/>
      <c r="D18" s="3582"/>
      <c r="E18" s="3353" t="s">
        <v>3106</v>
      </c>
      <c r="F18" s="3353" t="s">
        <v>3133</v>
      </c>
      <c r="G18" s="3361" t="s">
        <v>3134</v>
      </c>
      <c r="H18" s="3357">
        <v>328.52</v>
      </c>
      <c r="I18" s="3366">
        <f t="shared" si="0"/>
        <v>328.52</v>
      </c>
      <c r="J18" s="3368">
        <v>0</v>
      </c>
      <c r="K18" s="3368"/>
      <c r="L18" s="3582"/>
      <c r="M18" s="3359">
        <v>1</v>
      </c>
      <c r="N18" s="3359" t="s">
        <v>23</v>
      </c>
      <c r="O18" s="3350" t="s">
        <v>3113</v>
      </c>
    </row>
    <row r="19" spans="1:15">
      <c r="A19" s="3592"/>
      <c r="B19" s="3587"/>
      <c r="C19" s="3587"/>
      <c r="D19" s="3582"/>
      <c r="E19" s="3353" t="s">
        <v>3106</v>
      </c>
      <c r="F19" s="3353" t="s">
        <v>3135</v>
      </c>
      <c r="G19" s="3361" t="s">
        <v>3134</v>
      </c>
      <c r="H19" s="3357">
        <v>548.87</v>
      </c>
      <c r="I19" s="3366">
        <f t="shared" si="0"/>
        <v>548.87</v>
      </c>
      <c r="J19" s="3368">
        <v>0</v>
      </c>
      <c r="K19" s="3368"/>
      <c r="L19" s="3582"/>
      <c r="M19" s="3359">
        <v>1</v>
      </c>
      <c r="N19" s="3359" t="s">
        <v>23</v>
      </c>
      <c r="O19" s="3350" t="s">
        <v>3113</v>
      </c>
    </row>
    <row r="20" spans="1:15">
      <c r="A20" s="3592"/>
      <c r="B20" s="3587"/>
      <c r="C20" s="3587"/>
      <c r="D20" s="3582"/>
      <c r="E20" s="3353" t="s">
        <v>3106</v>
      </c>
      <c r="F20" s="3353" t="s">
        <v>3136</v>
      </c>
      <c r="G20" s="3361" t="s">
        <v>3134</v>
      </c>
      <c r="H20" s="3357">
        <v>402.06</v>
      </c>
      <c r="I20" s="3366">
        <f t="shared" si="0"/>
        <v>402.06</v>
      </c>
      <c r="J20" s="3368">
        <v>0</v>
      </c>
      <c r="K20" s="3368"/>
      <c r="L20" s="3582"/>
      <c r="M20" s="3359">
        <v>1</v>
      </c>
      <c r="N20" s="3359" t="s">
        <v>23</v>
      </c>
      <c r="O20" s="3350" t="s">
        <v>3113</v>
      </c>
    </row>
    <row r="21" spans="1:15">
      <c r="A21" s="3592"/>
      <c r="B21" s="3587"/>
      <c r="C21" s="3587"/>
      <c r="D21" s="3582"/>
      <c r="E21" s="3353" t="s">
        <v>3106</v>
      </c>
      <c r="F21" s="3353" t="s">
        <v>3137</v>
      </c>
      <c r="G21" s="3361" t="s">
        <v>3134</v>
      </c>
      <c r="H21" s="3357">
        <v>210.19</v>
      </c>
      <c r="I21" s="3366">
        <f t="shared" si="0"/>
        <v>210.19</v>
      </c>
      <c r="J21" s="3368">
        <v>0</v>
      </c>
      <c r="K21" s="3368"/>
      <c r="L21" s="3582"/>
      <c r="M21" s="3359">
        <v>2</v>
      </c>
      <c r="N21" s="3359" t="s">
        <v>23</v>
      </c>
      <c r="O21" s="3350" t="s">
        <v>3113</v>
      </c>
    </row>
    <row r="22" spans="1:15">
      <c r="A22" s="3592"/>
      <c r="B22" s="3587"/>
      <c r="C22" s="3587"/>
      <c r="D22" s="3582"/>
      <c r="E22" s="3353" t="s">
        <v>3106</v>
      </c>
      <c r="F22" s="3353" t="s">
        <v>3138</v>
      </c>
      <c r="G22" s="3361" t="s">
        <v>3139</v>
      </c>
      <c r="H22" s="3366">
        <v>471.67</v>
      </c>
      <c r="I22" s="3366">
        <f t="shared" si="0"/>
        <v>471.67</v>
      </c>
      <c r="J22" s="3368">
        <v>0</v>
      </c>
      <c r="K22" s="3368"/>
      <c r="L22" s="3582"/>
      <c r="M22" s="3359">
        <v>2</v>
      </c>
      <c r="N22" s="3359" t="s">
        <v>23</v>
      </c>
      <c r="O22" s="3350" t="s">
        <v>3113</v>
      </c>
    </row>
    <row r="23" spans="1:15">
      <c r="A23" s="3592"/>
      <c r="B23" s="3587"/>
      <c r="C23" s="3587"/>
      <c r="D23" s="3582"/>
      <c r="E23" s="3353" t="s">
        <v>3106</v>
      </c>
      <c r="F23" s="3353" t="s">
        <v>3140</v>
      </c>
      <c r="G23" s="3361" t="s">
        <v>3139</v>
      </c>
      <c r="H23" s="3357">
        <v>552.41999999999996</v>
      </c>
      <c r="I23" s="3366">
        <f t="shared" si="0"/>
        <v>552.41999999999996</v>
      </c>
      <c r="J23" s="3368">
        <v>0</v>
      </c>
      <c r="K23" s="3368"/>
      <c r="L23" s="3582"/>
      <c r="M23" s="3359">
        <v>2</v>
      </c>
      <c r="N23" s="3359" t="s">
        <v>23</v>
      </c>
      <c r="O23" s="3350" t="s">
        <v>3113</v>
      </c>
    </row>
    <row r="24" spans="1:15">
      <c r="A24" s="3592"/>
      <c r="B24" s="3587"/>
      <c r="C24" s="3587"/>
      <c r="D24" s="3582"/>
      <c r="E24" s="3353" t="s">
        <v>3106</v>
      </c>
      <c r="F24" s="3353" t="s">
        <v>3141</v>
      </c>
      <c r="G24" s="3361" t="s">
        <v>3139</v>
      </c>
      <c r="H24" s="3357">
        <v>253.85</v>
      </c>
      <c r="I24" s="3366">
        <f t="shared" si="0"/>
        <v>253.85</v>
      </c>
      <c r="J24" s="3368">
        <v>0</v>
      </c>
      <c r="K24" s="3368"/>
      <c r="L24" s="3582"/>
      <c r="M24" s="3359">
        <v>2</v>
      </c>
      <c r="N24" s="3359" t="s">
        <v>23</v>
      </c>
      <c r="O24" s="3350" t="s">
        <v>3113</v>
      </c>
    </row>
    <row r="25" spans="1:15">
      <c r="A25" s="3592"/>
      <c r="B25" s="3587"/>
      <c r="C25" s="3587"/>
      <c r="D25" s="3580"/>
      <c r="E25" s="3353" t="s">
        <v>3106</v>
      </c>
      <c r="F25" s="3353" t="s">
        <v>3142</v>
      </c>
      <c r="G25" s="3361" t="s">
        <v>3139</v>
      </c>
      <c r="H25" s="3357">
        <v>208.83</v>
      </c>
      <c r="I25" s="3366">
        <f t="shared" si="0"/>
        <v>208.83</v>
      </c>
      <c r="J25" s="3368">
        <v>0</v>
      </c>
      <c r="K25" s="3368"/>
      <c r="L25" s="3582"/>
      <c r="M25" s="3359">
        <v>1</v>
      </c>
      <c r="N25" s="3359" t="s">
        <v>23</v>
      </c>
      <c r="O25" s="3350" t="s">
        <v>3113</v>
      </c>
    </row>
    <row r="26" spans="1:15" ht="36">
      <c r="A26" s="3592"/>
      <c r="B26" s="3587"/>
      <c r="C26" s="3587"/>
      <c r="D26" s="3340" t="s">
        <v>3143</v>
      </c>
      <c r="E26" s="3347" t="s">
        <v>3106</v>
      </c>
      <c r="F26" s="3347" t="s">
        <v>3144</v>
      </c>
      <c r="G26" s="3361" t="s">
        <v>3145</v>
      </c>
      <c r="H26" s="3347">
        <v>13512.13</v>
      </c>
      <c r="I26" s="3347">
        <f t="shared" si="0"/>
        <v>13512.13</v>
      </c>
      <c r="J26" s="3362">
        <v>0</v>
      </c>
      <c r="K26" s="3362"/>
      <c r="L26" s="3582"/>
      <c r="M26" s="3363">
        <v>3</v>
      </c>
      <c r="N26" s="3363" t="s">
        <v>23</v>
      </c>
      <c r="O26" s="3364" t="s">
        <v>3099</v>
      </c>
    </row>
    <row r="27" spans="1:15">
      <c r="A27" s="3592"/>
      <c r="B27" s="3587"/>
      <c r="C27" s="3587"/>
      <c r="D27" s="3579" t="s">
        <v>3110</v>
      </c>
      <c r="E27" s="3353" t="s">
        <v>3106</v>
      </c>
      <c r="F27" s="3353" t="s">
        <v>3146</v>
      </c>
      <c r="G27" s="3361" t="s">
        <v>3139</v>
      </c>
      <c r="H27" s="3357">
        <v>115.19</v>
      </c>
      <c r="I27" s="3366">
        <f t="shared" si="0"/>
        <v>115.19</v>
      </c>
      <c r="J27" s="3368">
        <v>0</v>
      </c>
      <c r="K27" s="3368"/>
      <c r="L27" s="3582"/>
      <c r="M27" s="3359">
        <v>1</v>
      </c>
      <c r="N27" s="3359" t="s">
        <v>23</v>
      </c>
      <c r="O27" s="3350" t="s">
        <v>3113</v>
      </c>
    </row>
    <row r="28" spans="1:15">
      <c r="A28" s="3592"/>
      <c r="B28" s="3587"/>
      <c r="C28" s="3587"/>
      <c r="D28" s="3582"/>
      <c r="E28" s="3353" t="s">
        <v>3106</v>
      </c>
      <c r="F28" s="3353" t="s">
        <v>3147</v>
      </c>
      <c r="G28" s="3361" t="s">
        <v>3148</v>
      </c>
      <c r="H28" s="3357">
        <v>1121.55</v>
      </c>
      <c r="I28" s="3366">
        <f t="shared" si="0"/>
        <v>1121.55</v>
      </c>
      <c r="J28" s="3368">
        <v>0</v>
      </c>
      <c r="K28" s="3368"/>
      <c r="L28" s="3582"/>
      <c r="M28" s="3359">
        <v>3</v>
      </c>
      <c r="N28" s="3359" t="s">
        <v>23</v>
      </c>
      <c r="O28" s="3350" t="s">
        <v>3113</v>
      </c>
    </row>
    <row r="29" spans="1:15">
      <c r="A29" s="3592"/>
      <c r="B29" s="3587"/>
      <c r="C29" s="3587"/>
      <c r="D29" s="3582"/>
      <c r="E29" s="3353" t="s">
        <v>3106</v>
      </c>
      <c r="F29" s="3353" t="s">
        <v>3149</v>
      </c>
      <c r="G29" s="3361" t="s">
        <v>3139</v>
      </c>
      <c r="H29" s="3357">
        <v>90.39</v>
      </c>
      <c r="I29" s="3366">
        <f t="shared" si="0"/>
        <v>90.39</v>
      </c>
      <c r="J29" s="3368">
        <v>0</v>
      </c>
      <c r="K29" s="3368"/>
      <c r="L29" s="3582"/>
      <c r="M29" s="3359">
        <v>1</v>
      </c>
      <c r="N29" s="3359" t="s">
        <v>23</v>
      </c>
      <c r="O29" s="3350" t="s">
        <v>3113</v>
      </c>
    </row>
    <row r="30" spans="1:15">
      <c r="A30" s="3592"/>
      <c r="B30" s="3587"/>
      <c r="C30" s="3587"/>
      <c r="D30" s="3580"/>
      <c r="E30" s="3353" t="s">
        <v>3106</v>
      </c>
      <c r="F30" s="3353" t="s">
        <v>3150</v>
      </c>
      <c r="G30" s="3361" t="s">
        <v>3148</v>
      </c>
      <c r="H30" s="3357">
        <v>1490.66</v>
      </c>
      <c r="I30" s="3357">
        <f t="shared" si="0"/>
        <v>1490.66</v>
      </c>
      <c r="J30" s="3368">
        <v>0</v>
      </c>
      <c r="K30" s="3368"/>
      <c r="L30" s="3582"/>
      <c r="M30" s="3359">
        <v>4</v>
      </c>
      <c r="N30" s="3359" t="s">
        <v>23</v>
      </c>
      <c r="O30" s="3350" t="s">
        <v>3113</v>
      </c>
    </row>
    <row r="31" spans="1:15">
      <c r="A31" s="3592"/>
      <c r="B31" s="3587"/>
      <c r="C31" s="3587"/>
      <c r="D31" s="3595" t="s">
        <v>3108</v>
      </c>
      <c r="E31" s="3353" t="s">
        <v>3106</v>
      </c>
      <c r="F31" s="3347" t="s">
        <v>3151</v>
      </c>
      <c r="G31" s="3361" t="s">
        <v>3139</v>
      </c>
      <c r="H31" s="3360">
        <v>287.56</v>
      </c>
      <c r="I31" s="3367">
        <v>251.98</v>
      </c>
      <c r="J31" s="3367">
        <v>35.58</v>
      </c>
      <c r="K31" s="3367">
        <v>0</v>
      </c>
      <c r="L31" s="3582"/>
      <c r="M31" s="3363">
        <v>3</v>
      </c>
      <c r="N31" s="3363">
        <v>1</v>
      </c>
      <c r="O31" s="3364" t="s">
        <v>3099</v>
      </c>
    </row>
    <row r="32" spans="1:15">
      <c r="A32" s="3592"/>
      <c r="B32" s="3587"/>
      <c r="C32" s="3587"/>
      <c r="D32" s="3596"/>
      <c r="E32" s="3353" t="s">
        <v>3106</v>
      </c>
      <c r="F32" s="3353" t="s">
        <v>3152</v>
      </c>
      <c r="G32" s="3361" t="s">
        <v>3139</v>
      </c>
      <c r="H32" s="3357">
        <v>290.89999999999998</v>
      </c>
      <c r="I32" s="3357">
        <f t="shared" ref="I32:I37" si="1">H32</f>
        <v>290.89999999999998</v>
      </c>
      <c r="J32" s="3368">
        <v>0</v>
      </c>
      <c r="K32" s="3368"/>
      <c r="L32" s="3582"/>
      <c r="M32" s="3359">
        <v>2</v>
      </c>
      <c r="N32" s="3359" t="s">
        <v>3124</v>
      </c>
      <c r="O32" s="3364" t="s">
        <v>3153</v>
      </c>
    </row>
    <row r="33" spans="1:15" ht="36">
      <c r="A33" s="3592"/>
      <c r="B33" s="3587"/>
      <c r="C33" s="3587"/>
      <c r="D33" s="3340" t="s">
        <v>3110</v>
      </c>
      <c r="E33" s="3353" t="s">
        <v>3126</v>
      </c>
      <c r="F33" s="3353" t="s">
        <v>3154</v>
      </c>
      <c r="G33" s="3361" t="s">
        <v>3128</v>
      </c>
      <c r="H33" s="3357">
        <v>623.49</v>
      </c>
      <c r="I33" s="3357">
        <f t="shared" si="1"/>
        <v>623.49</v>
      </c>
      <c r="J33" s="3368">
        <v>0</v>
      </c>
      <c r="K33" s="3368"/>
      <c r="L33" s="3582"/>
      <c r="M33" s="3359">
        <v>3</v>
      </c>
      <c r="N33" s="3359" t="s">
        <v>3124</v>
      </c>
      <c r="O33" s="3350" t="s">
        <v>3125</v>
      </c>
    </row>
    <row r="34" spans="1:15" ht="36">
      <c r="A34" s="3592"/>
      <c r="B34" s="3587"/>
      <c r="C34" s="3587"/>
      <c r="D34" s="3356" t="s">
        <v>3155</v>
      </c>
      <c r="E34" s="3347" t="s">
        <v>3126</v>
      </c>
      <c r="F34" s="3347" t="s">
        <v>3156</v>
      </c>
      <c r="G34" s="3361" t="s">
        <v>3157</v>
      </c>
      <c r="H34" s="3360">
        <v>735.78</v>
      </c>
      <c r="I34" s="3361">
        <f t="shared" si="1"/>
        <v>735.78</v>
      </c>
      <c r="J34" s="3362">
        <v>0</v>
      </c>
      <c r="K34" s="3362"/>
      <c r="L34" s="3582"/>
      <c r="M34" s="3363">
        <v>2</v>
      </c>
      <c r="N34" s="3363" t="s">
        <v>3124</v>
      </c>
      <c r="O34" s="3364" t="s">
        <v>3153</v>
      </c>
    </row>
    <row r="35" spans="1:15">
      <c r="A35" s="3592"/>
      <c r="B35" s="3587"/>
      <c r="C35" s="3587"/>
      <c r="D35" s="3579" t="s">
        <v>3110</v>
      </c>
      <c r="E35" s="3353" t="s">
        <v>3126</v>
      </c>
      <c r="F35" s="3353" t="s">
        <v>3158</v>
      </c>
      <c r="G35" s="3361" t="s">
        <v>3157</v>
      </c>
      <c r="H35" s="3357">
        <v>59.29</v>
      </c>
      <c r="I35" s="3357">
        <f t="shared" si="1"/>
        <v>59.29</v>
      </c>
      <c r="J35" s="3368">
        <v>0</v>
      </c>
      <c r="K35" s="3368"/>
      <c r="L35" s="3582"/>
      <c r="M35" s="3359">
        <v>2</v>
      </c>
      <c r="N35" s="3359" t="s">
        <v>3124</v>
      </c>
      <c r="O35" s="3350" t="s">
        <v>3125</v>
      </c>
    </row>
    <row r="36" spans="1:15">
      <c r="A36" s="3592"/>
      <c r="B36" s="3587"/>
      <c r="C36" s="3587"/>
      <c r="D36" s="3580"/>
      <c r="E36" s="3353" t="s">
        <v>3126</v>
      </c>
      <c r="F36" s="3353" t="s">
        <v>3159</v>
      </c>
      <c r="G36" s="3361" t="s">
        <v>3160</v>
      </c>
      <c r="H36" s="3357">
        <v>89.72</v>
      </c>
      <c r="I36" s="3357">
        <f t="shared" si="1"/>
        <v>89.72</v>
      </c>
      <c r="J36" s="3368">
        <v>0</v>
      </c>
      <c r="K36" s="3368"/>
      <c r="L36" s="3582"/>
      <c r="M36" s="3359">
        <v>1</v>
      </c>
      <c r="N36" s="3359" t="s">
        <v>3124</v>
      </c>
      <c r="O36" s="3350" t="s">
        <v>3125</v>
      </c>
    </row>
    <row r="37" spans="1:15">
      <c r="A37" s="3576">
        <v>3</v>
      </c>
      <c r="B37" s="3575" t="s">
        <v>3161</v>
      </c>
      <c r="C37" s="3575" t="s">
        <v>3162</v>
      </c>
      <c r="D37" s="3579" t="s">
        <v>3163</v>
      </c>
      <c r="E37" s="3369" t="s">
        <v>3164</v>
      </c>
      <c r="F37" s="3370" t="s">
        <v>3165</v>
      </c>
      <c r="G37" s="3371" t="s">
        <v>3166</v>
      </c>
      <c r="H37" s="3372">
        <v>1068.23</v>
      </c>
      <c r="I37" s="3370">
        <f t="shared" si="1"/>
        <v>1068.23</v>
      </c>
      <c r="J37" s="3359">
        <v>0</v>
      </c>
      <c r="K37" s="3359"/>
      <c r="L37" s="3579">
        <v>9222.06</v>
      </c>
      <c r="M37" s="3359">
        <v>1</v>
      </c>
      <c r="N37" s="3359" t="s">
        <v>3124</v>
      </c>
      <c r="O37" s="3350" t="s">
        <v>3153</v>
      </c>
    </row>
    <row r="38" spans="1:15">
      <c r="A38" s="3576"/>
      <c r="B38" s="3575"/>
      <c r="C38" s="3575"/>
      <c r="D38" s="3582"/>
      <c r="E38" s="3369" t="s">
        <v>3164</v>
      </c>
      <c r="F38" s="3370" t="s">
        <v>3167</v>
      </c>
      <c r="G38" s="3371" t="s">
        <v>3168</v>
      </c>
      <c r="H38" s="3372">
        <v>6490.2</v>
      </c>
      <c r="I38" s="3373">
        <v>6427.96</v>
      </c>
      <c r="J38" s="3363">
        <v>0</v>
      </c>
      <c r="K38" s="3374">
        <v>62.24</v>
      </c>
      <c r="L38" s="3582"/>
      <c r="M38" s="3359">
        <v>2</v>
      </c>
      <c r="N38" s="3359" t="s">
        <v>3124</v>
      </c>
      <c r="O38" s="3350" t="s">
        <v>3153</v>
      </c>
    </row>
    <row r="39" spans="1:15">
      <c r="A39" s="3576"/>
      <c r="B39" s="3575"/>
      <c r="C39" s="3575"/>
      <c r="D39" s="3582"/>
      <c r="E39" s="3369" t="s">
        <v>3164</v>
      </c>
      <c r="F39" s="3370" t="s">
        <v>3169</v>
      </c>
      <c r="G39" s="3371" t="s">
        <v>3170</v>
      </c>
      <c r="H39" s="3372">
        <v>1545.47</v>
      </c>
      <c r="I39" s="3372">
        <f>H39</f>
        <v>1545.47</v>
      </c>
      <c r="J39" s="3359">
        <v>0</v>
      </c>
      <c r="K39" s="3359"/>
      <c r="L39" s="3582"/>
      <c r="M39" s="3359">
        <v>1</v>
      </c>
      <c r="N39" s="3359" t="s">
        <v>23</v>
      </c>
      <c r="O39" s="3350" t="s">
        <v>3099</v>
      </c>
    </row>
    <row r="40" spans="1:15">
      <c r="A40" s="3576"/>
      <c r="B40" s="3575"/>
      <c r="C40" s="3575"/>
      <c r="D40" s="3580"/>
      <c r="E40" s="3375" t="s">
        <v>3171</v>
      </c>
      <c r="F40" s="3376" t="s">
        <v>3172</v>
      </c>
      <c r="G40" s="3377" t="s">
        <v>3173</v>
      </c>
      <c r="H40" s="3378">
        <v>631.99</v>
      </c>
      <c r="I40" s="3378">
        <v>415.68</v>
      </c>
      <c r="J40" s="3374">
        <v>0</v>
      </c>
      <c r="K40" s="3374">
        <v>216.31</v>
      </c>
      <c r="L40" s="3580"/>
      <c r="M40" s="3359">
        <v>1</v>
      </c>
      <c r="N40" s="3359" t="s">
        <v>23</v>
      </c>
      <c r="O40" s="3350" t="s">
        <v>3099</v>
      </c>
    </row>
    <row r="41" spans="1:15">
      <c r="A41" s="3576"/>
      <c r="B41" s="3575" t="s">
        <v>3174</v>
      </c>
      <c r="C41" s="3575" t="s">
        <v>3175</v>
      </c>
      <c r="D41" s="3575" t="s">
        <v>3100</v>
      </c>
      <c r="E41" s="3346" t="s">
        <v>3171</v>
      </c>
      <c r="F41" s="3347" t="s">
        <v>3101</v>
      </c>
      <c r="G41" s="3379" t="s">
        <v>3176</v>
      </c>
      <c r="H41" s="3360">
        <v>3806.68</v>
      </c>
      <c r="I41" s="3367">
        <v>2366.5500000000002</v>
      </c>
      <c r="J41" s="3380">
        <v>1440.13</v>
      </c>
      <c r="K41" s="3381"/>
      <c r="L41" s="3579">
        <v>11268.82</v>
      </c>
      <c r="M41" s="3359">
        <v>2</v>
      </c>
      <c r="N41" s="3359">
        <v>1</v>
      </c>
      <c r="O41" s="3350" t="s">
        <v>3099</v>
      </c>
    </row>
    <row r="42" spans="1:15">
      <c r="A42" s="3576"/>
      <c r="B42" s="3575"/>
      <c r="C42" s="3575"/>
      <c r="D42" s="3575"/>
      <c r="E42" s="3346" t="s">
        <v>3171</v>
      </c>
      <c r="F42" s="3347" t="s">
        <v>3111</v>
      </c>
      <c r="G42" s="3379" t="s">
        <v>3177</v>
      </c>
      <c r="H42" s="3360">
        <v>3918.53</v>
      </c>
      <c r="I42" s="3354">
        <v>3169.46</v>
      </c>
      <c r="J42" s="3382">
        <v>678.91</v>
      </c>
      <c r="K42" s="3383">
        <v>70.16</v>
      </c>
      <c r="L42" s="3582"/>
      <c r="M42" s="3359">
        <v>2</v>
      </c>
      <c r="N42" s="3359">
        <v>1</v>
      </c>
      <c r="O42" s="3350" t="s">
        <v>3099</v>
      </c>
    </row>
    <row r="43" spans="1:15">
      <c r="A43" s="3576"/>
      <c r="B43" s="3575"/>
      <c r="C43" s="3575"/>
      <c r="D43" s="3575"/>
      <c r="E43" s="3346" t="s">
        <v>3171</v>
      </c>
      <c r="F43" s="3347" t="s">
        <v>3114</v>
      </c>
      <c r="G43" s="3379" t="s">
        <v>3178</v>
      </c>
      <c r="H43" s="3360">
        <v>3127.69</v>
      </c>
      <c r="I43" s="3354">
        <v>2009.55</v>
      </c>
      <c r="J43" s="3382">
        <v>981.75</v>
      </c>
      <c r="K43" s="3383">
        <v>136.38999999999999</v>
      </c>
      <c r="L43" s="3580"/>
      <c r="M43" s="3359">
        <v>2</v>
      </c>
      <c r="N43" s="3359">
        <v>1</v>
      </c>
      <c r="O43" s="3350" t="s">
        <v>3099</v>
      </c>
    </row>
    <row r="44" spans="1:15">
      <c r="A44" s="3591">
        <v>4</v>
      </c>
      <c r="B44" s="3591" t="s">
        <v>3179</v>
      </c>
      <c r="C44" s="3586" t="s">
        <v>3180</v>
      </c>
      <c r="D44" s="3586" t="s">
        <v>3181</v>
      </c>
      <c r="E44" s="3384" t="s">
        <v>3182</v>
      </c>
      <c r="F44" s="3384" t="s">
        <v>3097</v>
      </c>
      <c r="G44" s="3385" t="s">
        <v>3183</v>
      </c>
      <c r="H44" s="3384">
        <v>710.55</v>
      </c>
      <c r="I44" s="3384">
        <f t="shared" ref="I44:I53" si="2">H44</f>
        <v>710.55</v>
      </c>
      <c r="J44" s="3359">
        <v>0</v>
      </c>
      <c r="K44" s="3359"/>
      <c r="L44" s="3579">
        <v>14777.01</v>
      </c>
      <c r="M44" s="3359">
        <v>3</v>
      </c>
      <c r="N44" s="3359"/>
      <c r="O44" s="3350" t="s">
        <v>3113</v>
      </c>
    </row>
    <row r="45" spans="1:15">
      <c r="A45" s="3592"/>
      <c r="B45" s="3592"/>
      <c r="C45" s="3587"/>
      <c r="D45" s="3587"/>
      <c r="E45" s="3384" t="s">
        <v>3182</v>
      </c>
      <c r="F45" s="3384" t="s">
        <v>3184</v>
      </c>
      <c r="G45" s="3385" t="s">
        <v>3183</v>
      </c>
      <c r="H45" s="3384">
        <v>650.35</v>
      </c>
      <c r="I45" s="3385">
        <v>477.31</v>
      </c>
      <c r="J45" s="3363">
        <v>0</v>
      </c>
      <c r="K45" s="3374">
        <v>173.04</v>
      </c>
      <c r="L45" s="3582"/>
      <c r="M45" s="3359">
        <v>2</v>
      </c>
      <c r="N45" s="3359"/>
      <c r="O45" s="3350" t="s">
        <v>3113</v>
      </c>
    </row>
    <row r="46" spans="1:15">
      <c r="A46" s="3592"/>
      <c r="B46" s="3592"/>
      <c r="C46" s="3587"/>
      <c r="D46" s="3587"/>
      <c r="E46" s="3384" t="s">
        <v>3182</v>
      </c>
      <c r="F46" s="3384" t="s">
        <v>3185</v>
      </c>
      <c r="G46" s="3385" t="s">
        <v>3139</v>
      </c>
      <c r="H46" s="3384">
        <v>222.81</v>
      </c>
      <c r="I46" s="3384">
        <f t="shared" si="2"/>
        <v>222.81</v>
      </c>
      <c r="J46" s="3359">
        <v>0</v>
      </c>
      <c r="K46" s="3359"/>
      <c r="L46" s="3582"/>
      <c r="M46" s="3359">
        <v>1</v>
      </c>
      <c r="N46" s="3359" t="s">
        <v>23</v>
      </c>
      <c r="O46" s="3350" t="s">
        <v>3113</v>
      </c>
    </row>
    <row r="47" spans="1:15">
      <c r="A47" s="3592"/>
      <c r="B47" s="3592"/>
      <c r="C47" s="3587"/>
      <c r="D47" s="3587"/>
      <c r="E47" s="3384" t="s">
        <v>3182</v>
      </c>
      <c r="F47" s="3384" t="s">
        <v>3172</v>
      </c>
      <c r="G47" s="3385" t="s">
        <v>3186</v>
      </c>
      <c r="H47" s="3384">
        <v>943.19</v>
      </c>
      <c r="I47" s="3384">
        <f t="shared" si="2"/>
        <v>943.19</v>
      </c>
      <c r="J47" s="3359">
        <v>0</v>
      </c>
      <c r="K47" s="3359"/>
      <c r="L47" s="3582"/>
      <c r="M47" s="3359">
        <v>2</v>
      </c>
      <c r="N47" s="3359" t="s">
        <v>23</v>
      </c>
      <c r="O47" s="3350" t="s">
        <v>3113</v>
      </c>
    </row>
    <row r="48" spans="1:15" ht="24">
      <c r="A48" s="3592"/>
      <c r="B48" s="3592"/>
      <c r="C48" s="3587"/>
      <c r="D48" s="3587"/>
      <c r="E48" s="3384" t="s">
        <v>3182</v>
      </c>
      <c r="F48" s="3384" t="s">
        <v>3101</v>
      </c>
      <c r="G48" s="3376" t="s">
        <v>3187</v>
      </c>
      <c r="H48" s="3376">
        <v>701.57</v>
      </c>
      <c r="I48" s="3376">
        <f t="shared" si="2"/>
        <v>701.57</v>
      </c>
      <c r="J48" s="3374">
        <v>0</v>
      </c>
      <c r="K48" s="3374"/>
      <c r="L48" s="3582"/>
      <c r="M48" s="3359">
        <v>2</v>
      </c>
      <c r="N48" s="3359" t="s">
        <v>23</v>
      </c>
      <c r="O48" s="3350" t="s">
        <v>3113</v>
      </c>
    </row>
    <row r="49" spans="1:15">
      <c r="A49" s="3592"/>
      <c r="B49" s="3592"/>
      <c r="C49" s="3587"/>
      <c r="D49" s="3587"/>
      <c r="E49" s="3384" t="s">
        <v>3182</v>
      </c>
      <c r="F49" s="3384" t="s">
        <v>3111</v>
      </c>
      <c r="G49" s="3385" t="s">
        <v>3188</v>
      </c>
      <c r="H49" s="3384">
        <v>902.8</v>
      </c>
      <c r="I49" s="3384">
        <f t="shared" si="2"/>
        <v>902.8</v>
      </c>
      <c r="J49" s="3359">
        <v>0</v>
      </c>
      <c r="K49" s="3359"/>
      <c r="L49" s="3582"/>
      <c r="M49" s="3359">
        <v>2</v>
      </c>
      <c r="N49" s="3359" t="s">
        <v>23</v>
      </c>
      <c r="O49" s="3350" t="s">
        <v>3113</v>
      </c>
    </row>
    <row r="50" spans="1:15">
      <c r="A50" s="3592"/>
      <c r="B50" s="3592"/>
      <c r="C50" s="3587"/>
      <c r="D50" s="3587"/>
      <c r="E50" s="3384" t="s">
        <v>3182</v>
      </c>
      <c r="F50" s="3384" t="s">
        <v>3114</v>
      </c>
      <c r="G50" s="3385" t="s">
        <v>3189</v>
      </c>
      <c r="H50" s="3384">
        <v>460.64</v>
      </c>
      <c r="I50" s="3384">
        <f t="shared" si="2"/>
        <v>460.64</v>
      </c>
      <c r="J50" s="3359">
        <v>0</v>
      </c>
      <c r="K50" s="3359"/>
      <c r="L50" s="3582"/>
      <c r="M50" s="3359">
        <v>3</v>
      </c>
      <c r="N50" s="3359" t="s">
        <v>23</v>
      </c>
      <c r="O50" s="3350" t="s">
        <v>3113</v>
      </c>
    </row>
    <row r="51" spans="1:15">
      <c r="A51" s="3592"/>
      <c r="B51" s="3592"/>
      <c r="C51" s="3587"/>
      <c r="D51" s="3587"/>
      <c r="E51" s="3384" t="s">
        <v>3182</v>
      </c>
      <c r="F51" s="3384" t="s">
        <v>3190</v>
      </c>
      <c r="G51" s="3385" t="s">
        <v>3139</v>
      </c>
      <c r="H51" s="3384">
        <v>117.73</v>
      </c>
      <c r="I51" s="3384">
        <f t="shared" si="2"/>
        <v>117.73</v>
      </c>
      <c r="J51" s="3359">
        <v>0</v>
      </c>
      <c r="K51" s="3359"/>
      <c r="L51" s="3582"/>
      <c r="M51" s="3359">
        <v>2</v>
      </c>
      <c r="N51" s="3359" t="s">
        <v>23</v>
      </c>
      <c r="O51" s="3350" t="s">
        <v>3113</v>
      </c>
    </row>
    <row r="52" spans="1:15" ht="24">
      <c r="A52" s="3592"/>
      <c r="B52" s="3592"/>
      <c r="C52" s="3587"/>
      <c r="D52" s="3587"/>
      <c r="E52" s="3384" t="s">
        <v>3182</v>
      </c>
      <c r="F52" s="3384" t="s">
        <v>3116</v>
      </c>
      <c r="G52" s="3376" t="s">
        <v>3191</v>
      </c>
      <c r="H52" s="3376">
        <v>629.61</v>
      </c>
      <c r="I52" s="3376">
        <f t="shared" si="2"/>
        <v>629.61</v>
      </c>
      <c r="J52" s="3374">
        <v>0</v>
      </c>
      <c r="K52" s="3374"/>
      <c r="L52" s="3582"/>
      <c r="M52" s="3359">
        <v>2</v>
      </c>
      <c r="N52" s="3359" t="s">
        <v>23</v>
      </c>
      <c r="O52" s="3350" t="s">
        <v>3113</v>
      </c>
    </row>
    <row r="53" spans="1:15">
      <c r="A53" s="3592"/>
      <c r="B53" s="3592"/>
      <c r="C53" s="3587"/>
      <c r="D53" s="3587"/>
      <c r="E53" s="3384" t="s">
        <v>3182</v>
      </c>
      <c r="F53" s="3384" t="s">
        <v>3118</v>
      </c>
      <c r="G53" s="3376" t="s">
        <v>3192</v>
      </c>
      <c r="H53" s="3376">
        <v>57.59</v>
      </c>
      <c r="I53" s="3376">
        <f t="shared" si="2"/>
        <v>57.59</v>
      </c>
      <c r="J53" s="3374">
        <v>0</v>
      </c>
      <c r="K53" s="3374"/>
      <c r="L53" s="3582"/>
      <c r="M53" s="3359">
        <v>1</v>
      </c>
      <c r="N53" s="3359" t="s">
        <v>23</v>
      </c>
      <c r="O53" s="3350" t="s">
        <v>3113</v>
      </c>
    </row>
    <row r="54" spans="1:15">
      <c r="A54" s="3592"/>
      <c r="B54" s="3592"/>
      <c r="C54" s="3587"/>
      <c r="D54" s="3587"/>
      <c r="E54" s="3384" t="s">
        <v>3182</v>
      </c>
      <c r="F54" s="3384" t="s">
        <v>3193</v>
      </c>
      <c r="G54" s="3385" t="s">
        <v>3139</v>
      </c>
      <c r="H54" s="3384">
        <v>103.98</v>
      </c>
      <c r="I54" s="3384">
        <f>H54</f>
        <v>103.98</v>
      </c>
      <c r="J54" s="3359">
        <v>0</v>
      </c>
      <c r="K54" s="3359"/>
      <c r="L54" s="3582"/>
      <c r="M54" s="3359">
        <v>1</v>
      </c>
      <c r="N54" s="3359" t="s">
        <v>3124</v>
      </c>
      <c r="O54" s="3350" t="s">
        <v>3125</v>
      </c>
    </row>
    <row r="55" spans="1:15" ht="24">
      <c r="A55" s="3592"/>
      <c r="B55" s="3592"/>
      <c r="C55" s="3587"/>
      <c r="D55" s="3587"/>
      <c r="E55" s="3384" t="s">
        <v>3194</v>
      </c>
      <c r="F55" s="3384" t="s">
        <v>3195</v>
      </c>
      <c r="G55" s="3376" t="s">
        <v>3196</v>
      </c>
      <c r="H55" s="3376">
        <v>282.62</v>
      </c>
      <c r="I55" s="3376">
        <f t="shared" ref="I55:I78" si="3">H55</f>
        <v>282.62</v>
      </c>
      <c r="J55" s="3374">
        <v>0</v>
      </c>
      <c r="K55" s="3374"/>
      <c r="L55" s="3582"/>
      <c r="M55" s="3359">
        <v>2</v>
      </c>
      <c r="N55" s="3359" t="s">
        <v>23</v>
      </c>
      <c r="O55" s="3350" t="s">
        <v>3113</v>
      </c>
    </row>
    <row r="56" spans="1:15">
      <c r="A56" s="3592"/>
      <c r="B56" s="3592"/>
      <c r="C56" s="3587"/>
      <c r="D56" s="3587"/>
      <c r="E56" s="3384" t="s">
        <v>3182</v>
      </c>
      <c r="F56" s="3384" t="s">
        <v>3119</v>
      </c>
      <c r="G56" s="3385" t="s">
        <v>3139</v>
      </c>
      <c r="H56" s="3384">
        <v>159.41</v>
      </c>
      <c r="I56" s="3384">
        <f t="shared" si="3"/>
        <v>159.41</v>
      </c>
      <c r="J56" s="3372">
        <v>0</v>
      </c>
      <c r="K56" s="3372"/>
      <c r="L56" s="3582"/>
      <c r="M56" s="3372">
        <v>2</v>
      </c>
      <c r="N56" s="3372" t="s">
        <v>23</v>
      </c>
      <c r="O56" s="3370" t="s">
        <v>3113</v>
      </c>
    </row>
    <row r="57" spans="1:15">
      <c r="A57" s="3592"/>
      <c r="B57" s="3592"/>
      <c r="C57" s="3587"/>
      <c r="D57" s="3587"/>
      <c r="E57" s="3384" t="s">
        <v>3182</v>
      </c>
      <c r="F57" s="3384" t="s">
        <v>3120</v>
      </c>
      <c r="G57" s="3385" t="s">
        <v>3197</v>
      </c>
      <c r="H57" s="3384">
        <v>927.76</v>
      </c>
      <c r="I57" s="3384">
        <f t="shared" si="3"/>
        <v>927.76</v>
      </c>
      <c r="J57" s="3359">
        <v>0</v>
      </c>
      <c r="K57" s="3359"/>
      <c r="L57" s="3582"/>
      <c r="M57" s="3359">
        <v>2</v>
      </c>
      <c r="N57" s="3359" t="s">
        <v>23</v>
      </c>
      <c r="O57" s="3350" t="s">
        <v>3113</v>
      </c>
    </row>
    <row r="58" spans="1:15">
      <c r="A58" s="3592"/>
      <c r="B58" s="3592"/>
      <c r="C58" s="3587"/>
      <c r="D58" s="3587"/>
      <c r="E58" s="3384" t="s">
        <v>3182</v>
      </c>
      <c r="F58" s="3384" t="s">
        <v>3198</v>
      </c>
      <c r="G58" s="3385" t="s">
        <v>3139</v>
      </c>
      <c r="H58" s="3384">
        <v>578.5</v>
      </c>
      <c r="I58" s="3384">
        <f t="shared" si="3"/>
        <v>578.5</v>
      </c>
      <c r="J58" s="3359">
        <v>0</v>
      </c>
      <c r="K58" s="3359"/>
      <c r="L58" s="3582"/>
      <c r="M58" s="3359">
        <v>2</v>
      </c>
      <c r="N58" s="3359" t="s">
        <v>23</v>
      </c>
      <c r="O58" s="3350" t="s">
        <v>3113</v>
      </c>
    </row>
    <row r="59" spans="1:15">
      <c r="A59" s="3592"/>
      <c r="B59" s="3592"/>
      <c r="C59" s="3587"/>
      <c r="D59" s="3587"/>
      <c r="E59" s="3384" t="s">
        <v>3182</v>
      </c>
      <c r="F59" s="3384" t="s">
        <v>3121</v>
      </c>
      <c r="G59" s="3376" t="s">
        <v>3199</v>
      </c>
      <c r="H59" s="3376">
        <v>511.23</v>
      </c>
      <c r="I59" s="3376">
        <f t="shared" si="3"/>
        <v>511.23</v>
      </c>
      <c r="J59" s="3374">
        <v>0</v>
      </c>
      <c r="K59" s="3374"/>
      <c r="L59" s="3582"/>
      <c r="M59" s="3359">
        <v>3</v>
      </c>
      <c r="N59" s="3359"/>
      <c r="O59" s="3350" t="s">
        <v>3113</v>
      </c>
    </row>
    <row r="60" spans="1:15">
      <c r="A60" s="3592"/>
      <c r="B60" s="3592"/>
      <c r="C60" s="3587"/>
      <c r="D60" s="3587"/>
      <c r="E60" s="3384" t="s">
        <v>3182</v>
      </c>
      <c r="F60" s="3384" t="s">
        <v>3200</v>
      </c>
      <c r="G60" s="3385" t="s">
        <v>3201</v>
      </c>
      <c r="H60" s="3384">
        <v>1737.72</v>
      </c>
      <c r="I60" s="3384">
        <f t="shared" si="3"/>
        <v>1737.72</v>
      </c>
      <c r="J60" s="3359">
        <v>0</v>
      </c>
      <c r="K60" s="3359"/>
      <c r="L60" s="3582"/>
      <c r="M60" s="3359">
        <v>3</v>
      </c>
      <c r="N60" s="3359"/>
      <c r="O60" s="3350" t="s">
        <v>3113</v>
      </c>
    </row>
    <row r="61" spans="1:15">
      <c r="A61" s="3592"/>
      <c r="B61" s="3592"/>
      <c r="C61" s="3587"/>
      <c r="D61" s="3587"/>
      <c r="E61" s="3384" t="s">
        <v>3182</v>
      </c>
      <c r="F61" s="3384" t="s">
        <v>3202</v>
      </c>
      <c r="G61" s="3376" t="s">
        <v>3203</v>
      </c>
      <c r="H61" s="3376">
        <v>285.33999999999997</v>
      </c>
      <c r="I61" s="3376">
        <f t="shared" si="3"/>
        <v>285.33999999999997</v>
      </c>
      <c r="J61" s="3374">
        <v>0</v>
      </c>
      <c r="K61" s="3374"/>
      <c r="L61" s="3582"/>
      <c r="M61" s="3359">
        <v>2</v>
      </c>
      <c r="N61" s="3359" t="s">
        <v>23</v>
      </c>
      <c r="O61" s="3350" t="s">
        <v>3113</v>
      </c>
    </row>
    <row r="62" spans="1:15">
      <c r="A62" s="3592"/>
      <c r="B62" s="3592"/>
      <c r="C62" s="3587"/>
      <c r="D62" s="3587"/>
      <c r="E62" s="3384" t="s">
        <v>3182</v>
      </c>
      <c r="F62" s="3384" t="s">
        <v>3204</v>
      </c>
      <c r="G62" s="3385" t="s">
        <v>3139</v>
      </c>
      <c r="H62" s="3384">
        <v>97.47</v>
      </c>
      <c r="I62" s="3384">
        <f t="shared" si="3"/>
        <v>97.47</v>
      </c>
      <c r="J62" s="3359">
        <v>0</v>
      </c>
      <c r="K62" s="3359"/>
      <c r="L62" s="3582"/>
      <c r="M62" s="3359">
        <v>1</v>
      </c>
      <c r="N62" s="3359" t="s">
        <v>23</v>
      </c>
      <c r="O62" s="3350" t="s">
        <v>3113</v>
      </c>
    </row>
    <row r="63" spans="1:15">
      <c r="A63" s="3592"/>
      <c r="B63" s="3592"/>
      <c r="C63" s="3587"/>
      <c r="D63" s="3587"/>
      <c r="E63" s="3384" t="s">
        <v>3182</v>
      </c>
      <c r="F63" s="3384" t="s">
        <v>3205</v>
      </c>
      <c r="G63" s="3385" t="s">
        <v>3139</v>
      </c>
      <c r="H63" s="3384">
        <v>182.32</v>
      </c>
      <c r="I63" s="3384">
        <f t="shared" si="3"/>
        <v>182.32</v>
      </c>
      <c r="J63" s="3359">
        <v>0</v>
      </c>
      <c r="K63" s="3359"/>
      <c r="L63" s="3582"/>
      <c r="M63" s="3359">
        <v>2</v>
      </c>
      <c r="N63" s="3359" t="s">
        <v>23</v>
      </c>
      <c r="O63" s="3350" t="s">
        <v>3113</v>
      </c>
    </row>
    <row r="64" spans="1:15">
      <c r="A64" s="3592"/>
      <c r="B64" s="3592"/>
      <c r="C64" s="3587"/>
      <c r="D64" s="3587"/>
      <c r="E64" s="3384" t="s">
        <v>3182</v>
      </c>
      <c r="F64" s="3384" t="s">
        <v>3206</v>
      </c>
      <c r="G64" s="3385" t="s">
        <v>3139</v>
      </c>
      <c r="H64" s="3384">
        <v>462.08</v>
      </c>
      <c r="I64" s="3384">
        <f t="shared" si="3"/>
        <v>462.08</v>
      </c>
      <c r="J64" s="3359">
        <v>0</v>
      </c>
      <c r="K64" s="3359"/>
      <c r="L64" s="3582"/>
      <c r="M64" s="3359">
        <v>2</v>
      </c>
      <c r="N64" s="3359" t="s">
        <v>23</v>
      </c>
      <c r="O64" s="3350" t="s">
        <v>3113</v>
      </c>
    </row>
    <row r="65" spans="1:15">
      <c r="A65" s="3592"/>
      <c r="B65" s="3592"/>
      <c r="C65" s="3587"/>
      <c r="D65" s="3587"/>
      <c r="E65" s="3384" t="s">
        <v>3182</v>
      </c>
      <c r="F65" s="3384" t="s">
        <v>3207</v>
      </c>
      <c r="G65" s="3385" t="s">
        <v>3139</v>
      </c>
      <c r="H65" s="3384">
        <v>169.07</v>
      </c>
      <c r="I65" s="3384">
        <f t="shared" si="3"/>
        <v>169.07</v>
      </c>
      <c r="J65" s="3359">
        <v>0</v>
      </c>
      <c r="K65" s="3359"/>
      <c r="L65" s="3582"/>
      <c r="M65" s="3359">
        <v>2</v>
      </c>
      <c r="N65" s="3359"/>
      <c r="O65" s="3350" t="s">
        <v>3113</v>
      </c>
    </row>
    <row r="66" spans="1:15">
      <c r="A66" s="3592"/>
      <c r="B66" s="3592"/>
      <c r="C66" s="3587"/>
      <c r="D66" s="3587"/>
      <c r="E66" s="3384" t="s">
        <v>3182</v>
      </c>
      <c r="F66" s="3384" t="s">
        <v>3129</v>
      </c>
      <c r="G66" s="3385" t="s">
        <v>3208</v>
      </c>
      <c r="H66" s="3384">
        <v>417.56</v>
      </c>
      <c r="I66" s="3384">
        <f t="shared" si="3"/>
        <v>417.56</v>
      </c>
      <c r="J66" s="3359">
        <v>0</v>
      </c>
      <c r="K66" s="3359"/>
      <c r="L66" s="3582"/>
      <c r="M66" s="3359">
        <v>3</v>
      </c>
      <c r="N66" s="3359" t="s">
        <v>23</v>
      </c>
      <c r="O66" s="3350" t="s">
        <v>3113</v>
      </c>
    </row>
    <row r="67" spans="1:15">
      <c r="A67" s="3592"/>
      <c r="B67" s="3592"/>
      <c r="C67" s="3587"/>
      <c r="D67" s="3587"/>
      <c r="E67" s="3384" t="s">
        <v>3182</v>
      </c>
      <c r="F67" s="3384" t="s">
        <v>3130</v>
      </c>
      <c r="G67" s="3385" t="s">
        <v>3139</v>
      </c>
      <c r="H67" s="3384">
        <v>120.16</v>
      </c>
      <c r="I67" s="3384">
        <f t="shared" si="3"/>
        <v>120.16</v>
      </c>
      <c r="J67" s="3359">
        <v>0</v>
      </c>
      <c r="K67" s="3359"/>
      <c r="L67" s="3582"/>
      <c r="M67" s="3359">
        <v>2</v>
      </c>
      <c r="N67" s="3359" t="s">
        <v>23</v>
      </c>
      <c r="O67" s="3350" t="s">
        <v>3113</v>
      </c>
    </row>
    <row r="68" spans="1:15">
      <c r="A68" s="3592"/>
      <c r="B68" s="3592"/>
      <c r="C68" s="3587"/>
      <c r="D68" s="3587"/>
      <c r="E68" s="3384" t="s">
        <v>3182</v>
      </c>
      <c r="F68" s="3384" t="s">
        <v>3209</v>
      </c>
      <c r="G68" s="3385" t="s">
        <v>3210</v>
      </c>
      <c r="H68" s="3384">
        <v>408.8</v>
      </c>
      <c r="I68" s="3384">
        <f t="shared" si="3"/>
        <v>408.8</v>
      </c>
      <c r="J68" s="3359">
        <v>0</v>
      </c>
      <c r="K68" s="3359"/>
      <c r="L68" s="3582"/>
      <c r="M68" s="3359">
        <v>2</v>
      </c>
      <c r="N68" s="3359" t="s">
        <v>23</v>
      </c>
      <c r="O68" s="3350" t="s">
        <v>3113</v>
      </c>
    </row>
    <row r="69" spans="1:15">
      <c r="A69" s="3592"/>
      <c r="B69" s="3592"/>
      <c r="C69" s="3587"/>
      <c r="D69" s="3587"/>
      <c r="E69" s="3384" t="s">
        <v>3182</v>
      </c>
      <c r="F69" s="3384" t="s">
        <v>3211</v>
      </c>
      <c r="G69" s="3385" t="s">
        <v>3139</v>
      </c>
      <c r="H69" s="3384">
        <v>180.44</v>
      </c>
      <c r="I69" s="3384">
        <f t="shared" si="3"/>
        <v>180.44</v>
      </c>
      <c r="J69" s="3359">
        <v>0</v>
      </c>
      <c r="K69" s="3359"/>
      <c r="L69" s="3582"/>
      <c r="M69" s="3359">
        <v>2</v>
      </c>
      <c r="N69" s="3359" t="s">
        <v>3212</v>
      </c>
      <c r="O69" s="3350" t="s">
        <v>3113</v>
      </c>
    </row>
    <row r="70" spans="1:15">
      <c r="A70" s="3593"/>
      <c r="B70" s="3593"/>
      <c r="C70" s="3588"/>
      <c r="D70" s="3588"/>
      <c r="E70" s="3384" t="s">
        <v>3182</v>
      </c>
      <c r="F70" s="3384" t="s">
        <v>3213</v>
      </c>
      <c r="G70" s="3385" t="s">
        <v>3139</v>
      </c>
      <c r="H70" s="3384">
        <v>176.64</v>
      </c>
      <c r="I70" s="3384">
        <f t="shared" si="3"/>
        <v>176.64</v>
      </c>
      <c r="J70" s="3359">
        <v>0</v>
      </c>
      <c r="K70" s="3359"/>
      <c r="L70" s="3580"/>
      <c r="M70" s="3359">
        <v>2</v>
      </c>
      <c r="N70" s="3359" t="s">
        <v>23</v>
      </c>
      <c r="O70" s="3350" t="s">
        <v>3113</v>
      </c>
    </row>
    <row r="71" spans="1:15">
      <c r="A71" s="3586">
        <v>5</v>
      </c>
      <c r="B71" s="3586" t="s">
        <v>3214</v>
      </c>
      <c r="C71" s="3586" t="s">
        <v>3215</v>
      </c>
      <c r="D71" s="3586" t="s">
        <v>3181</v>
      </c>
      <c r="E71" s="3384" t="s">
        <v>3216</v>
      </c>
      <c r="F71" s="3384" t="s">
        <v>3097</v>
      </c>
      <c r="G71" s="3385" t="s">
        <v>3139</v>
      </c>
      <c r="H71" s="3384">
        <v>46.47</v>
      </c>
      <c r="I71" s="3384">
        <f t="shared" si="3"/>
        <v>46.47</v>
      </c>
      <c r="J71" s="3359">
        <v>0</v>
      </c>
      <c r="K71" s="3359"/>
      <c r="L71" s="3579">
        <v>18256.3</v>
      </c>
      <c r="M71" s="3359">
        <v>1</v>
      </c>
      <c r="N71" s="3359" t="s">
        <v>23</v>
      </c>
      <c r="O71" s="3350" t="s">
        <v>3113</v>
      </c>
    </row>
    <row r="72" spans="1:15">
      <c r="A72" s="3587"/>
      <c r="B72" s="3587"/>
      <c r="C72" s="3587"/>
      <c r="D72" s="3587"/>
      <c r="E72" s="3384" t="s">
        <v>3216</v>
      </c>
      <c r="F72" s="3386" t="s">
        <v>3217</v>
      </c>
      <c r="G72" s="3385" t="s">
        <v>3117</v>
      </c>
      <c r="H72" s="3386">
        <v>37.39</v>
      </c>
      <c r="I72" s="3386">
        <f t="shared" si="3"/>
        <v>37.39</v>
      </c>
      <c r="J72" s="3381">
        <v>0</v>
      </c>
      <c r="K72" s="3381"/>
      <c r="L72" s="3582"/>
      <c r="M72" s="3381">
        <v>1</v>
      </c>
      <c r="N72" s="3381" t="s">
        <v>23</v>
      </c>
      <c r="O72" s="3350" t="s">
        <v>3113</v>
      </c>
    </row>
    <row r="73" spans="1:15">
      <c r="A73" s="3587"/>
      <c r="B73" s="3587"/>
      <c r="C73" s="3587"/>
      <c r="D73" s="3587"/>
      <c r="E73" s="3384" t="s">
        <v>3216</v>
      </c>
      <c r="F73" s="3386" t="s">
        <v>3109</v>
      </c>
      <c r="G73" s="3385" t="s">
        <v>3117</v>
      </c>
      <c r="H73" s="3386">
        <v>66.56</v>
      </c>
      <c r="I73" s="3386">
        <f t="shared" si="3"/>
        <v>66.56</v>
      </c>
      <c r="J73" s="3381">
        <v>0</v>
      </c>
      <c r="K73" s="3381"/>
      <c r="L73" s="3582"/>
      <c r="M73" s="3381">
        <v>1</v>
      </c>
      <c r="N73" s="3381" t="s">
        <v>23</v>
      </c>
      <c r="O73" s="3350" t="s">
        <v>3113</v>
      </c>
    </row>
    <row r="74" spans="1:15">
      <c r="A74" s="3587"/>
      <c r="B74" s="3587"/>
      <c r="C74" s="3587"/>
      <c r="D74" s="3587"/>
      <c r="E74" s="3384" t="s">
        <v>3216</v>
      </c>
      <c r="F74" s="3384" t="s">
        <v>3172</v>
      </c>
      <c r="G74" s="3376" t="s">
        <v>3218</v>
      </c>
      <c r="H74" s="3376">
        <v>167.2</v>
      </c>
      <c r="I74" s="3376">
        <f t="shared" si="3"/>
        <v>167.2</v>
      </c>
      <c r="J74" s="3374">
        <v>0</v>
      </c>
      <c r="K74" s="3374"/>
      <c r="L74" s="3582"/>
      <c r="M74" s="3359">
        <v>1</v>
      </c>
      <c r="N74" s="3359" t="s">
        <v>23</v>
      </c>
      <c r="O74" s="3350" t="s">
        <v>3113</v>
      </c>
    </row>
    <row r="75" spans="1:15">
      <c r="A75" s="3587"/>
      <c r="B75" s="3587"/>
      <c r="C75" s="3587"/>
      <c r="D75" s="3587"/>
      <c r="E75" s="3384" t="s">
        <v>3216</v>
      </c>
      <c r="F75" s="3384" t="s">
        <v>3101</v>
      </c>
      <c r="G75" s="3385" t="s">
        <v>3117</v>
      </c>
      <c r="H75" s="3384">
        <v>25.68</v>
      </c>
      <c r="I75" s="3384">
        <f t="shared" si="3"/>
        <v>25.68</v>
      </c>
      <c r="J75" s="3359">
        <v>0</v>
      </c>
      <c r="K75" s="3359"/>
      <c r="L75" s="3582"/>
      <c r="M75" s="3359">
        <v>1</v>
      </c>
      <c r="N75" s="3359" t="s">
        <v>23</v>
      </c>
      <c r="O75" s="3350" t="s">
        <v>3113</v>
      </c>
    </row>
    <row r="76" spans="1:15">
      <c r="A76" s="3587"/>
      <c r="B76" s="3587"/>
      <c r="C76" s="3587"/>
      <c r="D76" s="3587"/>
      <c r="E76" s="3384" t="s">
        <v>3216</v>
      </c>
      <c r="F76" s="3386" t="s">
        <v>3111</v>
      </c>
      <c r="G76" s="3385" t="s">
        <v>3117</v>
      </c>
      <c r="H76" s="3386">
        <v>57.62</v>
      </c>
      <c r="I76" s="3386">
        <f t="shared" si="3"/>
        <v>57.62</v>
      </c>
      <c r="J76" s="3381">
        <v>0</v>
      </c>
      <c r="K76" s="3381"/>
      <c r="L76" s="3582"/>
      <c r="M76" s="3381">
        <v>2</v>
      </c>
      <c r="N76" s="3381" t="s">
        <v>23</v>
      </c>
      <c r="O76" s="3350" t="s">
        <v>3113</v>
      </c>
    </row>
    <row r="77" spans="1:15">
      <c r="A77" s="3587"/>
      <c r="B77" s="3587"/>
      <c r="C77" s="3587"/>
      <c r="D77" s="3587"/>
      <c r="E77" s="3384" t="s">
        <v>3216</v>
      </c>
      <c r="F77" s="3386" t="s">
        <v>3114</v>
      </c>
      <c r="G77" s="3385" t="s">
        <v>3117</v>
      </c>
      <c r="H77" s="3386">
        <v>44.05</v>
      </c>
      <c r="I77" s="3386">
        <f t="shared" si="3"/>
        <v>44.05</v>
      </c>
      <c r="J77" s="3381">
        <v>0</v>
      </c>
      <c r="K77" s="3381"/>
      <c r="L77" s="3582"/>
      <c r="M77" s="3381">
        <v>1</v>
      </c>
      <c r="N77" s="3381" t="s">
        <v>23</v>
      </c>
      <c r="O77" s="3350" t="s">
        <v>3113</v>
      </c>
    </row>
    <row r="78" spans="1:15">
      <c r="A78" s="3587"/>
      <c r="B78" s="3587"/>
      <c r="C78" s="3587"/>
      <c r="D78" s="3587"/>
      <c r="E78" s="3384" t="s">
        <v>3216</v>
      </c>
      <c r="F78" s="3384" t="s">
        <v>3190</v>
      </c>
      <c r="G78" s="3385" t="s">
        <v>3219</v>
      </c>
      <c r="H78" s="3385">
        <v>39.1</v>
      </c>
      <c r="I78" s="3385">
        <f t="shared" si="3"/>
        <v>39.1</v>
      </c>
      <c r="J78" s="3387">
        <v>0</v>
      </c>
      <c r="K78" s="3387"/>
      <c r="L78" s="3582"/>
      <c r="M78" s="3359">
        <v>1</v>
      </c>
      <c r="N78" s="3359" t="s">
        <v>23</v>
      </c>
      <c r="O78" s="3350" t="s">
        <v>3113</v>
      </c>
    </row>
    <row r="79" spans="1:15">
      <c r="A79" s="3587"/>
      <c r="B79" s="3587"/>
      <c r="C79" s="3589"/>
      <c r="D79" s="3589"/>
      <c r="E79" s="3347" t="s">
        <v>3216</v>
      </c>
      <c r="F79" s="3347" t="s">
        <v>3116</v>
      </c>
      <c r="G79" s="3347" t="s">
        <v>3210</v>
      </c>
      <c r="H79" s="3347">
        <v>3319.32</v>
      </c>
      <c r="I79" s="3354">
        <v>2821.28</v>
      </c>
      <c r="J79" s="3354">
        <v>498.04</v>
      </c>
      <c r="K79" s="3388"/>
      <c r="L79" s="3582"/>
      <c r="M79" s="3381">
        <v>2</v>
      </c>
      <c r="N79" s="3381">
        <v>1</v>
      </c>
      <c r="O79" s="3350" t="s">
        <v>3113</v>
      </c>
    </row>
    <row r="80" spans="1:15">
      <c r="A80" s="3587"/>
      <c r="B80" s="3587"/>
      <c r="C80" s="3587"/>
      <c r="D80" s="3587"/>
      <c r="E80" s="3384" t="s">
        <v>3216</v>
      </c>
      <c r="F80" s="3384" t="s">
        <v>3118</v>
      </c>
      <c r="G80" s="3385" t="s">
        <v>3117</v>
      </c>
      <c r="H80" s="3384">
        <v>117.24</v>
      </c>
      <c r="I80" s="3384">
        <f t="shared" ref="I80:I86" si="4">H80</f>
        <v>117.24</v>
      </c>
      <c r="J80" s="3359">
        <v>0</v>
      </c>
      <c r="K80" s="3359"/>
      <c r="L80" s="3582"/>
      <c r="M80" s="3359">
        <v>2</v>
      </c>
      <c r="N80" s="3359" t="s">
        <v>23</v>
      </c>
      <c r="O80" s="3350" t="s">
        <v>3113</v>
      </c>
    </row>
    <row r="81" spans="1:15">
      <c r="A81" s="3587"/>
      <c r="B81" s="3587"/>
      <c r="C81" s="3587"/>
      <c r="D81" s="3587"/>
      <c r="E81" s="3384" t="s">
        <v>3216</v>
      </c>
      <c r="F81" s="3384" t="s">
        <v>3193</v>
      </c>
      <c r="G81" s="3385" t="s">
        <v>3117</v>
      </c>
      <c r="H81" s="3384">
        <v>113.68</v>
      </c>
      <c r="I81" s="3384">
        <f t="shared" si="4"/>
        <v>113.68</v>
      </c>
      <c r="J81" s="3359">
        <v>0</v>
      </c>
      <c r="K81" s="3359"/>
      <c r="L81" s="3582"/>
      <c r="M81" s="3359">
        <v>2</v>
      </c>
      <c r="N81" s="3359" t="s">
        <v>23</v>
      </c>
      <c r="O81" s="3350" t="s">
        <v>3113</v>
      </c>
    </row>
    <row r="82" spans="1:15">
      <c r="A82" s="3587"/>
      <c r="B82" s="3587"/>
      <c r="C82" s="3587"/>
      <c r="D82" s="3587"/>
      <c r="E82" s="3384" t="s">
        <v>3216</v>
      </c>
      <c r="F82" s="3384" t="s">
        <v>3220</v>
      </c>
      <c r="G82" s="3385" t="s">
        <v>3117</v>
      </c>
      <c r="H82" s="3384">
        <v>66.099999999999994</v>
      </c>
      <c r="I82" s="3384">
        <f t="shared" si="4"/>
        <v>66.099999999999994</v>
      </c>
      <c r="J82" s="3359">
        <v>0</v>
      </c>
      <c r="K82" s="3359"/>
      <c r="L82" s="3582"/>
      <c r="M82" s="3359">
        <v>1</v>
      </c>
      <c r="N82" s="3359" t="s">
        <v>23</v>
      </c>
      <c r="O82" s="3350" t="s">
        <v>3113</v>
      </c>
    </row>
    <row r="83" spans="1:15">
      <c r="A83" s="3587"/>
      <c r="B83" s="3587"/>
      <c r="C83" s="3587"/>
      <c r="D83" s="3587"/>
      <c r="E83" s="3384" t="s">
        <v>3216</v>
      </c>
      <c r="F83" s="3384" t="s">
        <v>3119</v>
      </c>
      <c r="G83" s="3385" t="s">
        <v>3117</v>
      </c>
      <c r="H83" s="3384">
        <v>67.849999999999994</v>
      </c>
      <c r="I83" s="3384">
        <f t="shared" si="4"/>
        <v>67.849999999999994</v>
      </c>
      <c r="J83" s="3359">
        <v>0</v>
      </c>
      <c r="K83" s="3359"/>
      <c r="L83" s="3582"/>
      <c r="M83" s="3359">
        <v>1</v>
      </c>
      <c r="N83" s="3359" t="s">
        <v>23</v>
      </c>
      <c r="O83" s="3350" t="s">
        <v>3113</v>
      </c>
    </row>
    <row r="84" spans="1:15">
      <c r="A84" s="3587"/>
      <c r="B84" s="3587"/>
      <c r="C84" s="3587"/>
      <c r="D84" s="3587"/>
      <c r="E84" s="3384" t="s">
        <v>3216</v>
      </c>
      <c r="F84" s="3384" t="s">
        <v>3120</v>
      </c>
      <c r="G84" s="3385" t="s">
        <v>3117</v>
      </c>
      <c r="H84" s="3386">
        <v>128.80000000000001</v>
      </c>
      <c r="I84" s="3386">
        <f t="shared" si="4"/>
        <v>128.80000000000001</v>
      </c>
      <c r="J84" s="3381">
        <v>0</v>
      </c>
      <c r="K84" s="3381"/>
      <c r="L84" s="3582"/>
      <c r="M84" s="3381">
        <v>1</v>
      </c>
      <c r="N84" s="3381" t="s">
        <v>23</v>
      </c>
      <c r="O84" s="3350" t="s">
        <v>3113</v>
      </c>
    </row>
    <row r="85" spans="1:15">
      <c r="A85" s="3587"/>
      <c r="B85" s="3587"/>
      <c r="C85" s="3587"/>
      <c r="D85" s="3587"/>
      <c r="E85" s="3384" t="s">
        <v>3216</v>
      </c>
      <c r="F85" s="3384" t="s">
        <v>3198</v>
      </c>
      <c r="G85" s="3376" t="s">
        <v>3221</v>
      </c>
      <c r="H85" s="3349">
        <v>233.41</v>
      </c>
      <c r="I85" s="3349">
        <f t="shared" si="4"/>
        <v>233.41</v>
      </c>
      <c r="J85" s="3389">
        <v>0</v>
      </c>
      <c r="K85" s="3389"/>
      <c r="L85" s="3582"/>
      <c r="M85" s="3381">
        <v>2</v>
      </c>
      <c r="N85" s="3381" t="s">
        <v>23</v>
      </c>
      <c r="O85" s="3350" t="s">
        <v>3113</v>
      </c>
    </row>
    <row r="86" spans="1:15">
      <c r="A86" s="3587"/>
      <c r="B86" s="3587"/>
      <c r="C86" s="3587"/>
      <c r="D86" s="3587"/>
      <c r="E86" s="3384" t="s">
        <v>3216</v>
      </c>
      <c r="F86" s="3384" t="s">
        <v>3121</v>
      </c>
      <c r="G86" s="3385" t="s">
        <v>3117</v>
      </c>
      <c r="H86" s="3386">
        <v>34.39</v>
      </c>
      <c r="I86" s="3386">
        <f t="shared" si="4"/>
        <v>34.39</v>
      </c>
      <c r="J86" s="3381">
        <v>0</v>
      </c>
      <c r="K86" s="3381"/>
      <c r="L86" s="3582"/>
      <c r="M86" s="3381">
        <v>1</v>
      </c>
      <c r="N86" s="3381" t="s">
        <v>23</v>
      </c>
      <c r="O86" s="3350" t="s">
        <v>3113</v>
      </c>
    </row>
    <row r="87" spans="1:15">
      <c r="A87" s="3587"/>
      <c r="B87" s="3587"/>
      <c r="C87" s="3587"/>
      <c r="D87" s="3587"/>
      <c r="E87" s="3384" t="s">
        <v>3216</v>
      </c>
      <c r="F87" s="3384" t="s">
        <v>3200</v>
      </c>
      <c r="G87" s="3385" t="s">
        <v>3117</v>
      </c>
      <c r="H87" s="3386">
        <v>15.66</v>
      </c>
      <c r="I87" s="3386">
        <f>H87</f>
        <v>15.66</v>
      </c>
      <c r="J87" s="3381">
        <v>0</v>
      </c>
      <c r="K87" s="3381"/>
      <c r="L87" s="3582"/>
      <c r="M87" s="3381">
        <v>1</v>
      </c>
      <c r="N87" s="3381" t="s">
        <v>3124</v>
      </c>
      <c r="O87" s="3350" t="s">
        <v>3125</v>
      </c>
    </row>
    <row r="88" spans="1:15">
      <c r="A88" s="3587"/>
      <c r="B88" s="3587"/>
      <c r="C88" s="3587"/>
      <c r="D88" s="3587"/>
      <c r="E88" s="3384" t="s">
        <v>3222</v>
      </c>
      <c r="F88" s="3384" t="s">
        <v>3223</v>
      </c>
      <c r="G88" s="3349" t="s">
        <v>3224</v>
      </c>
      <c r="H88" s="3349">
        <v>54.4</v>
      </c>
      <c r="I88" s="3349">
        <f>H88</f>
        <v>54.4</v>
      </c>
      <c r="J88" s="3389">
        <v>0</v>
      </c>
      <c r="K88" s="3389"/>
      <c r="L88" s="3582"/>
      <c r="M88" s="3381">
        <v>1</v>
      </c>
      <c r="N88" s="3381" t="s">
        <v>23</v>
      </c>
      <c r="O88" s="3350" t="s">
        <v>3113</v>
      </c>
    </row>
    <row r="89" spans="1:15">
      <c r="A89" s="3587"/>
      <c r="B89" s="3587"/>
      <c r="C89" s="3587"/>
      <c r="D89" s="3587"/>
      <c r="E89" s="3384" t="s">
        <v>3216</v>
      </c>
      <c r="F89" s="3384" t="s">
        <v>3204</v>
      </c>
      <c r="G89" s="3385" t="s">
        <v>3225</v>
      </c>
      <c r="H89" s="3384">
        <v>46.42</v>
      </c>
      <c r="I89" s="3384">
        <f t="shared" ref="I89:I102" si="5">H89</f>
        <v>46.42</v>
      </c>
      <c r="J89" s="3359">
        <v>0</v>
      </c>
      <c r="K89" s="3359"/>
      <c r="L89" s="3582"/>
      <c r="M89" s="3359">
        <v>1</v>
      </c>
      <c r="N89" s="3359" t="s">
        <v>3124</v>
      </c>
      <c r="O89" s="3350" t="s">
        <v>3125</v>
      </c>
    </row>
    <row r="90" spans="1:15">
      <c r="A90" s="3587"/>
      <c r="B90" s="3587"/>
      <c r="C90" s="3587"/>
      <c r="D90" s="3587"/>
      <c r="E90" s="3384" t="s">
        <v>3222</v>
      </c>
      <c r="F90" s="3386" t="s">
        <v>3226</v>
      </c>
      <c r="G90" s="3347" t="s">
        <v>3132</v>
      </c>
      <c r="H90" s="3386">
        <v>93.42</v>
      </c>
      <c r="I90" s="3386">
        <f t="shared" si="5"/>
        <v>93.42</v>
      </c>
      <c r="J90" s="3381">
        <v>0</v>
      </c>
      <c r="K90" s="3381"/>
      <c r="L90" s="3582"/>
      <c r="M90" s="3381">
        <v>1</v>
      </c>
      <c r="N90" s="3381" t="s">
        <v>3124</v>
      </c>
      <c r="O90" s="3350" t="s">
        <v>3125</v>
      </c>
    </row>
    <row r="91" spans="1:15">
      <c r="A91" s="3587"/>
      <c r="B91" s="3587"/>
      <c r="C91" s="3587"/>
      <c r="D91" s="3587"/>
      <c r="E91" s="3384" t="s">
        <v>3222</v>
      </c>
      <c r="F91" s="3386" t="s">
        <v>3227</v>
      </c>
      <c r="G91" s="3385" t="s">
        <v>3157</v>
      </c>
      <c r="H91" s="3386">
        <v>22.11</v>
      </c>
      <c r="I91" s="3386">
        <f t="shared" si="5"/>
        <v>22.11</v>
      </c>
      <c r="J91" s="3381">
        <v>0</v>
      </c>
      <c r="K91" s="3381"/>
      <c r="L91" s="3582"/>
      <c r="M91" s="3381">
        <v>1</v>
      </c>
      <c r="N91" s="3381" t="s">
        <v>3124</v>
      </c>
      <c r="O91" s="3350" t="s">
        <v>3125</v>
      </c>
    </row>
    <row r="92" spans="1:15">
      <c r="A92" s="3587"/>
      <c r="B92" s="3587"/>
      <c r="C92" s="3587"/>
      <c r="D92" s="3587"/>
      <c r="E92" s="3384" t="s">
        <v>3222</v>
      </c>
      <c r="F92" s="3386" t="s">
        <v>3127</v>
      </c>
      <c r="G92" s="3347" t="s">
        <v>3228</v>
      </c>
      <c r="H92" s="3386">
        <v>182.98</v>
      </c>
      <c r="I92" s="3386">
        <f t="shared" si="5"/>
        <v>182.98</v>
      </c>
      <c r="J92" s="3381">
        <v>0</v>
      </c>
      <c r="K92" s="3381"/>
      <c r="L92" s="3582"/>
      <c r="M92" s="3381">
        <v>2</v>
      </c>
      <c r="N92" s="3381" t="s">
        <v>3124</v>
      </c>
      <c r="O92" s="3350" t="s">
        <v>3125</v>
      </c>
    </row>
    <row r="93" spans="1:15">
      <c r="A93" s="3587"/>
      <c r="B93" s="3587"/>
      <c r="C93" s="3587"/>
      <c r="D93" s="3587"/>
      <c r="E93" s="3384" t="s">
        <v>3222</v>
      </c>
      <c r="F93" s="3386" t="s">
        <v>3229</v>
      </c>
      <c r="G93" s="3347" t="s">
        <v>3230</v>
      </c>
      <c r="H93" s="3386">
        <v>65.86</v>
      </c>
      <c r="I93" s="3386">
        <f t="shared" si="5"/>
        <v>65.86</v>
      </c>
      <c r="J93" s="3381">
        <v>0</v>
      </c>
      <c r="K93" s="3381"/>
      <c r="L93" s="3582"/>
      <c r="M93" s="3381">
        <v>2</v>
      </c>
      <c r="N93" s="3381" t="s">
        <v>3124</v>
      </c>
      <c r="O93" s="3350" t="s">
        <v>3125</v>
      </c>
    </row>
    <row r="94" spans="1:15">
      <c r="A94" s="3587"/>
      <c r="B94" s="3587"/>
      <c r="C94" s="3587"/>
      <c r="D94" s="3587"/>
      <c r="E94" s="3384" t="s">
        <v>3222</v>
      </c>
      <c r="F94" s="3386" t="s">
        <v>3231</v>
      </c>
      <c r="G94" s="3347" t="s">
        <v>3232</v>
      </c>
      <c r="H94" s="3347">
        <v>40.82</v>
      </c>
      <c r="I94" s="3347">
        <f t="shared" si="5"/>
        <v>40.82</v>
      </c>
      <c r="J94" s="3390">
        <v>0</v>
      </c>
      <c r="K94" s="3390"/>
      <c r="L94" s="3582"/>
      <c r="M94" s="3381">
        <v>1</v>
      </c>
      <c r="N94" s="3381" t="s">
        <v>3124</v>
      </c>
      <c r="O94" s="3350" t="s">
        <v>3125</v>
      </c>
    </row>
    <row r="95" spans="1:15">
      <c r="A95" s="3587"/>
      <c r="B95" s="3587"/>
      <c r="C95" s="3587"/>
      <c r="D95" s="3587"/>
      <c r="E95" s="3384" t="s">
        <v>3222</v>
      </c>
      <c r="F95" s="3386" t="s">
        <v>3131</v>
      </c>
      <c r="G95" s="3347" t="s">
        <v>3233</v>
      </c>
      <c r="H95" s="3386">
        <v>253.55</v>
      </c>
      <c r="I95" s="3386">
        <f t="shared" si="5"/>
        <v>253.55</v>
      </c>
      <c r="J95" s="3381">
        <v>0</v>
      </c>
      <c r="K95" s="3381"/>
      <c r="L95" s="3582"/>
      <c r="M95" s="3381">
        <v>2</v>
      </c>
      <c r="N95" s="3381" t="s">
        <v>3124</v>
      </c>
      <c r="O95" s="3350" t="s">
        <v>3125</v>
      </c>
    </row>
    <row r="96" spans="1:15">
      <c r="A96" s="3587"/>
      <c r="B96" s="3587"/>
      <c r="C96" s="3587"/>
      <c r="D96" s="3587"/>
      <c r="E96" s="3384" t="s">
        <v>3222</v>
      </c>
      <c r="F96" s="3386" t="s">
        <v>3234</v>
      </c>
      <c r="G96" s="3385" t="s">
        <v>3233</v>
      </c>
      <c r="H96" s="3386">
        <v>564.91</v>
      </c>
      <c r="I96" s="3347">
        <v>512.9</v>
      </c>
      <c r="J96" s="3390">
        <v>0</v>
      </c>
      <c r="K96" s="3389">
        <v>52.01</v>
      </c>
      <c r="L96" s="3582"/>
      <c r="M96" s="3381">
        <v>2</v>
      </c>
      <c r="N96" s="3381" t="s">
        <v>3124</v>
      </c>
      <c r="O96" s="3350" t="s">
        <v>3125</v>
      </c>
    </row>
    <row r="97" spans="1:15">
      <c r="A97" s="3587"/>
      <c r="B97" s="3587"/>
      <c r="C97" s="3587"/>
      <c r="D97" s="3587"/>
      <c r="E97" s="3384" t="s">
        <v>3222</v>
      </c>
      <c r="F97" s="3386" t="s">
        <v>3235</v>
      </c>
      <c r="G97" s="3385" t="s">
        <v>3233</v>
      </c>
      <c r="H97" s="3386">
        <v>211.09</v>
      </c>
      <c r="I97" s="3386">
        <f t="shared" si="5"/>
        <v>211.09</v>
      </c>
      <c r="J97" s="3381">
        <v>0</v>
      </c>
      <c r="K97" s="3381"/>
      <c r="L97" s="3582"/>
      <c r="M97" s="3381">
        <v>2</v>
      </c>
      <c r="N97" s="3381" t="s">
        <v>3124</v>
      </c>
      <c r="O97" s="3350" t="s">
        <v>3125</v>
      </c>
    </row>
    <row r="98" spans="1:15">
      <c r="A98" s="3587"/>
      <c r="B98" s="3587"/>
      <c r="C98" s="3587"/>
      <c r="D98" s="3587"/>
      <c r="E98" s="3384" t="s">
        <v>3222</v>
      </c>
      <c r="F98" s="3386" t="s">
        <v>3236</v>
      </c>
      <c r="G98" s="3347" t="s">
        <v>3228</v>
      </c>
      <c r="H98" s="3386">
        <v>119.64</v>
      </c>
      <c r="I98" s="3386">
        <f t="shared" si="5"/>
        <v>119.64</v>
      </c>
      <c r="J98" s="3381">
        <v>0</v>
      </c>
      <c r="K98" s="3381"/>
      <c r="L98" s="3582"/>
      <c r="M98" s="3381">
        <v>1</v>
      </c>
      <c r="N98" s="3381" t="s">
        <v>3124</v>
      </c>
      <c r="O98" s="3350" t="s">
        <v>3125</v>
      </c>
    </row>
    <row r="99" spans="1:15">
      <c r="A99" s="3587"/>
      <c r="B99" s="3587"/>
      <c r="C99" s="3587"/>
      <c r="D99" s="3587"/>
      <c r="E99" s="3384" t="s">
        <v>3222</v>
      </c>
      <c r="F99" s="3386" t="s">
        <v>3237</v>
      </c>
      <c r="G99" s="3349" t="s">
        <v>3238</v>
      </c>
      <c r="H99" s="3349">
        <v>102.82</v>
      </c>
      <c r="I99" s="3349">
        <f t="shared" si="5"/>
        <v>102.82</v>
      </c>
      <c r="J99" s="3389">
        <v>0</v>
      </c>
      <c r="K99" s="3389"/>
      <c r="L99" s="3582"/>
      <c r="M99" s="3381">
        <v>2</v>
      </c>
      <c r="N99" s="3381" t="s">
        <v>3124</v>
      </c>
      <c r="O99" s="3350" t="s">
        <v>3125</v>
      </c>
    </row>
    <row r="100" spans="1:15">
      <c r="A100" s="3587"/>
      <c r="B100" s="3587"/>
      <c r="C100" s="3587"/>
      <c r="D100" s="3587"/>
      <c r="E100" s="3384" t="s">
        <v>3222</v>
      </c>
      <c r="F100" s="3386" t="s">
        <v>3239</v>
      </c>
      <c r="G100" s="3347" t="s">
        <v>3240</v>
      </c>
      <c r="H100" s="3386">
        <v>43.09</v>
      </c>
      <c r="I100" s="3386">
        <f t="shared" si="5"/>
        <v>43.09</v>
      </c>
      <c r="J100" s="3381">
        <v>0</v>
      </c>
      <c r="K100" s="3381"/>
      <c r="L100" s="3582"/>
      <c r="M100" s="3381">
        <v>1</v>
      </c>
      <c r="N100" s="3381" t="s">
        <v>3124</v>
      </c>
      <c r="O100" s="3350" t="s">
        <v>3125</v>
      </c>
    </row>
    <row r="101" spans="1:15">
      <c r="A101" s="3587"/>
      <c r="B101" s="3587"/>
      <c r="C101" s="3587"/>
      <c r="D101" s="3587"/>
      <c r="E101" s="3384" t="s">
        <v>3222</v>
      </c>
      <c r="F101" s="3384" t="s">
        <v>3241</v>
      </c>
      <c r="G101" s="3385" t="s">
        <v>3240</v>
      </c>
      <c r="H101" s="3386">
        <v>44.28</v>
      </c>
      <c r="I101" s="3386">
        <f t="shared" si="5"/>
        <v>44.28</v>
      </c>
      <c r="J101" s="3381">
        <v>0</v>
      </c>
      <c r="K101" s="3381"/>
      <c r="L101" s="3582"/>
      <c r="M101" s="3381">
        <v>1</v>
      </c>
      <c r="N101" s="3381" t="s">
        <v>3124</v>
      </c>
      <c r="O101" s="3350" t="s">
        <v>3125</v>
      </c>
    </row>
    <row r="102" spans="1:15">
      <c r="A102" s="3587"/>
      <c r="B102" s="3587"/>
      <c r="C102" s="3587"/>
      <c r="D102" s="3587"/>
      <c r="E102" s="3384" t="s">
        <v>3222</v>
      </c>
      <c r="F102" s="3386" t="s">
        <v>3242</v>
      </c>
      <c r="G102" s="3385" t="s">
        <v>3240</v>
      </c>
      <c r="H102" s="3386">
        <v>96.46</v>
      </c>
      <c r="I102" s="3386">
        <f t="shared" si="5"/>
        <v>96.46</v>
      </c>
      <c r="J102" s="3381">
        <v>0</v>
      </c>
      <c r="K102" s="3381"/>
      <c r="L102" s="3582"/>
      <c r="M102" s="3381">
        <v>2</v>
      </c>
      <c r="N102" s="3381" t="s">
        <v>3124</v>
      </c>
      <c r="O102" s="3350" t="s">
        <v>3125</v>
      </c>
    </row>
    <row r="103" spans="1:15">
      <c r="A103" s="3587"/>
      <c r="B103" s="3587"/>
      <c r="C103" s="3587"/>
      <c r="D103" s="3587"/>
      <c r="E103" s="3384" t="s">
        <v>3222</v>
      </c>
      <c r="F103" s="3384" t="s">
        <v>3243</v>
      </c>
      <c r="G103" s="3376" t="s">
        <v>3232</v>
      </c>
      <c r="H103" s="3376">
        <v>30.09</v>
      </c>
      <c r="I103" s="3376">
        <f>H103</f>
        <v>30.09</v>
      </c>
      <c r="J103" s="3374">
        <v>0</v>
      </c>
      <c r="K103" s="3374"/>
      <c r="L103" s="3582"/>
      <c r="M103" s="3359">
        <v>1</v>
      </c>
      <c r="N103" s="3359" t="s">
        <v>23</v>
      </c>
      <c r="O103" s="3350" t="s">
        <v>3113</v>
      </c>
    </row>
    <row r="104" spans="1:15">
      <c r="A104" s="3587"/>
      <c r="B104" s="3587"/>
      <c r="C104" s="3587"/>
      <c r="D104" s="3587"/>
      <c r="E104" s="3384" t="s">
        <v>3216</v>
      </c>
      <c r="F104" s="3384" t="s">
        <v>3244</v>
      </c>
      <c r="G104" s="3385" t="s">
        <v>3225</v>
      </c>
      <c r="H104" s="3384">
        <v>53.4</v>
      </c>
      <c r="I104" s="3384">
        <f>H104</f>
        <v>53.4</v>
      </c>
      <c r="J104" s="3359">
        <v>0</v>
      </c>
      <c r="K104" s="3359"/>
      <c r="L104" s="3582"/>
      <c r="M104" s="3359">
        <v>1</v>
      </c>
      <c r="N104" s="3359" t="s">
        <v>3124</v>
      </c>
      <c r="O104" s="3350" t="s">
        <v>3125</v>
      </c>
    </row>
    <row r="105" spans="1:15">
      <c r="A105" s="3587"/>
      <c r="B105" s="3587"/>
      <c r="C105" s="3587"/>
      <c r="D105" s="3587"/>
      <c r="E105" s="3384" t="s">
        <v>3222</v>
      </c>
      <c r="F105" s="3384" t="s">
        <v>3245</v>
      </c>
      <c r="G105" s="3385" t="s">
        <v>3240</v>
      </c>
      <c r="H105" s="3384">
        <v>25.3</v>
      </c>
      <c r="I105" s="3384">
        <f>H105</f>
        <v>25.3</v>
      </c>
      <c r="J105" s="3359">
        <v>0</v>
      </c>
      <c r="K105" s="3359"/>
      <c r="L105" s="3582"/>
      <c r="M105" s="3359">
        <v>1</v>
      </c>
      <c r="N105" s="3359" t="s">
        <v>23</v>
      </c>
      <c r="O105" s="3350" t="s">
        <v>3113</v>
      </c>
    </row>
    <row r="106" spans="1:15">
      <c r="A106" s="3587"/>
      <c r="B106" s="3587"/>
      <c r="C106" s="3589"/>
      <c r="D106" s="3589"/>
      <c r="E106" s="3347" t="s">
        <v>3216</v>
      </c>
      <c r="F106" s="3347" t="s">
        <v>3142</v>
      </c>
      <c r="G106" s="3347" t="s">
        <v>3246</v>
      </c>
      <c r="H106" s="3347">
        <v>184.15</v>
      </c>
      <c r="I106" s="3354">
        <v>106.12</v>
      </c>
      <c r="J106" s="3354">
        <v>78.03</v>
      </c>
      <c r="K106" s="3387"/>
      <c r="L106" s="3582"/>
      <c r="M106" s="3372">
        <v>1</v>
      </c>
      <c r="N106" s="3372">
        <v>1</v>
      </c>
      <c r="O106" s="3370" t="s">
        <v>3113</v>
      </c>
    </row>
    <row r="107" spans="1:15">
      <c r="A107" s="3587"/>
      <c r="B107" s="3587"/>
      <c r="C107" s="3587"/>
      <c r="D107" s="3587"/>
      <c r="E107" s="3384" t="s">
        <v>3216</v>
      </c>
      <c r="F107" s="3384" t="s">
        <v>3144</v>
      </c>
      <c r="G107" s="3385" t="s">
        <v>3247</v>
      </c>
      <c r="H107" s="3384">
        <v>108.81</v>
      </c>
      <c r="I107" s="3384">
        <f t="shared" ref="I107:I124" si="6">H107</f>
        <v>108.81</v>
      </c>
      <c r="J107" s="3359">
        <v>0</v>
      </c>
      <c r="K107" s="3359"/>
      <c r="L107" s="3582"/>
      <c r="M107" s="3359">
        <v>1</v>
      </c>
      <c r="N107" s="3359" t="s">
        <v>3124</v>
      </c>
      <c r="O107" s="3350" t="s">
        <v>3125</v>
      </c>
    </row>
    <row r="108" spans="1:15">
      <c r="A108" s="3587"/>
      <c r="B108" s="3587"/>
      <c r="C108" s="3587"/>
      <c r="D108" s="3587"/>
      <c r="E108" s="3384" t="s">
        <v>3222</v>
      </c>
      <c r="F108" s="3386" t="s">
        <v>3248</v>
      </c>
      <c r="G108" s="3349" t="s">
        <v>3249</v>
      </c>
      <c r="H108" s="3349">
        <v>51.21</v>
      </c>
      <c r="I108" s="3349">
        <f t="shared" si="6"/>
        <v>51.21</v>
      </c>
      <c r="J108" s="3389">
        <v>0</v>
      </c>
      <c r="K108" s="3389"/>
      <c r="L108" s="3582"/>
      <c r="M108" s="3381">
        <v>1</v>
      </c>
      <c r="N108" s="3381" t="s">
        <v>3124</v>
      </c>
      <c r="O108" s="3350" t="s">
        <v>3125</v>
      </c>
    </row>
    <row r="109" spans="1:15">
      <c r="A109" s="3587"/>
      <c r="B109" s="3587"/>
      <c r="C109" s="3587"/>
      <c r="D109" s="3587"/>
      <c r="E109" s="3384" t="s">
        <v>3222</v>
      </c>
      <c r="F109" s="3386" t="s">
        <v>3250</v>
      </c>
      <c r="G109" s="3347" t="s">
        <v>3251</v>
      </c>
      <c r="H109" s="3386">
        <v>45.6</v>
      </c>
      <c r="I109" s="3386">
        <f t="shared" si="6"/>
        <v>45.6</v>
      </c>
      <c r="J109" s="3381">
        <v>0</v>
      </c>
      <c r="K109" s="3381"/>
      <c r="L109" s="3582"/>
      <c r="M109" s="3381">
        <v>1</v>
      </c>
      <c r="N109" s="3381" t="s">
        <v>3124</v>
      </c>
      <c r="O109" s="3350" t="s">
        <v>3125</v>
      </c>
    </row>
    <row r="110" spans="1:15">
      <c r="A110" s="3587"/>
      <c r="B110" s="3587"/>
      <c r="C110" s="3587"/>
      <c r="D110" s="3587"/>
      <c r="E110" s="3384" t="s">
        <v>3222</v>
      </c>
      <c r="F110" s="3384" t="s">
        <v>3252</v>
      </c>
      <c r="G110" s="3385" t="s">
        <v>3240</v>
      </c>
      <c r="H110" s="3386">
        <v>50.14</v>
      </c>
      <c r="I110" s="3386">
        <f t="shared" si="6"/>
        <v>50.14</v>
      </c>
      <c r="J110" s="3381">
        <v>0</v>
      </c>
      <c r="K110" s="3381"/>
      <c r="L110" s="3582"/>
      <c r="M110" s="3381">
        <v>1</v>
      </c>
      <c r="N110" s="3381" t="s">
        <v>3124</v>
      </c>
      <c r="O110" s="3350" t="s">
        <v>3125</v>
      </c>
    </row>
    <row r="111" spans="1:15">
      <c r="A111" s="3587"/>
      <c r="B111" s="3587"/>
      <c r="C111" s="3587"/>
      <c r="D111" s="3587"/>
      <c r="E111" s="3384" t="s">
        <v>3222</v>
      </c>
      <c r="F111" s="3384" t="s">
        <v>3253</v>
      </c>
      <c r="G111" s="3385" t="s">
        <v>3254</v>
      </c>
      <c r="H111" s="3384">
        <v>853.5</v>
      </c>
      <c r="I111" s="3384">
        <f t="shared" si="6"/>
        <v>853.5</v>
      </c>
      <c r="J111" s="3359">
        <v>0</v>
      </c>
      <c r="K111" s="3359"/>
      <c r="L111" s="3582"/>
      <c r="M111" s="3359">
        <v>1</v>
      </c>
      <c r="N111" s="3359" t="s">
        <v>3124</v>
      </c>
      <c r="O111" s="3350" t="s">
        <v>3125</v>
      </c>
    </row>
    <row r="112" spans="1:15">
      <c r="A112" s="3587"/>
      <c r="B112" s="3587"/>
      <c r="C112" s="3587"/>
      <c r="D112" s="3587"/>
      <c r="E112" s="3384" t="s">
        <v>3222</v>
      </c>
      <c r="F112" s="3384" t="s">
        <v>3255</v>
      </c>
      <c r="G112" s="3385" t="s">
        <v>3256</v>
      </c>
      <c r="H112" s="3384">
        <v>100.26</v>
      </c>
      <c r="I112" s="3384">
        <f t="shared" si="6"/>
        <v>100.26</v>
      </c>
      <c r="J112" s="3359">
        <v>0</v>
      </c>
      <c r="K112" s="3359"/>
      <c r="L112" s="3582"/>
      <c r="M112" s="3359">
        <v>2</v>
      </c>
      <c r="N112" s="3359" t="s">
        <v>3124</v>
      </c>
      <c r="O112" s="3350" t="s">
        <v>3125</v>
      </c>
    </row>
    <row r="113" spans="1:15">
      <c r="A113" s="3587"/>
      <c r="B113" s="3587"/>
      <c r="C113" s="3587"/>
      <c r="D113" s="3587"/>
      <c r="E113" s="3384" t="s">
        <v>3222</v>
      </c>
      <c r="F113" s="3384" t="s">
        <v>3257</v>
      </c>
      <c r="G113" s="3385" t="s">
        <v>3258</v>
      </c>
      <c r="H113" s="3384">
        <v>131.41</v>
      </c>
      <c r="I113" s="3384">
        <f t="shared" si="6"/>
        <v>131.41</v>
      </c>
      <c r="J113" s="3359">
        <v>0</v>
      </c>
      <c r="K113" s="3359"/>
      <c r="L113" s="3582"/>
      <c r="M113" s="3359">
        <v>1</v>
      </c>
      <c r="N113" s="3359" t="s">
        <v>3124</v>
      </c>
      <c r="O113" s="3350" t="s">
        <v>3125</v>
      </c>
    </row>
    <row r="114" spans="1:15">
      <c r="A114" s="3587"/>
      <c r="B114" s="3587"/>
      <c r="C114" s="3587"/>
      <c r="D114" s="3587"/>
      <c r="E114" s="3384" t="s">
        <v>3222</v>
      </c>
      <c r="F114" s="3384" t="s">
        <v>3259</v>
      </c>
      <c r="G114" s="3385" t="s">
        <v>3260</v>
      </c>
      <c r="H114" s="3384">
        <v>54.83</v>
      </c>
      <c r="I114" s="3384">
        <f t="shared" si="6"/>
        <v>54.83</v>
      </c>
      <c r="J114" s="3359">
        <v>0</v>
      </c>
      <c r="K114" s="3359"/>
      <c r="L114" s="3582"/>
      <c r="M114" s="3359">
        <v>1</v>
      </c>
      <c r="N114" s="3359" t="s">
        <v>3124</v>
      </c>
      <c r="O114" s="3350" t="s">
        <v>3125</v>
      </c>
    </row>
    <row r="115" spans="1:15">
      <c r="A115" s="3587"/>
      <c r="B115" s="3587"/>
      <c r="C115" s="3587"/>
      <c r="D115" s="3587"/>
      <c r="E115" s="3384" t="s">
        <v>3222</v>
      </c>
      <c r="F115" s="3384" t="s">
        <v>3261</v>
      </c>
      <c r="G115" s="3385" t="s">
        <v>3262</v>
      </c>
      <c r="H115" s="3384">
        <v>54.84</v>
      </c>
      <c r="I115" s="3384">
        <f t="shared" si="6"/>
        <v>54.84</v>
      </c>
      <c r="J115" s="3359">
        <v>0</v>
      </c>
      <c r="K115" s="3359"/>
      <c r="L115" s="3582"/>
      <c r="M115" s="3359">
        <v>1</v>
      </c>
      <c r="N115" s="3359" t="s">
        <v>3124</v>
      </c>
      <c r="O115" s="3350" t="s">
        <v>3125</v>
      </c>
    </row>
    <row r="116" spans="1:15">
      <c r="A116" s="3587"/>
      <c r="B116" s="3587"/>
      <c r="C116" s="3587"/>
      <c r="D116" s="3587"/>
      <c r="E116" s="3384" t="s">
        <v>3222</v>
      </c>
      <c r="F116" s="3384" t="s">
        <v>3263</v>
      </c>
      <c r="G116" s="3385" t="s">
        <v>3132</v>
      </c>
      <c r="H116" s="3384">
        <v>227.13</v>
      </c>
      <c r="I116" s="3384">
        <f t="shared" si="6"/>
        <v>227.13</v>
      </c>
      <c r="J116" s="3359">
        <v>0</v>
      </c>
      <c r="K116" s="3359"/>
      <c r="L116" s="3582"/>
      <c r="M116" s="3359">
        <v>2</v>
      </c>
      <c r="N116" s="3359" t="s">
        <v>3124</v>
      </c>
      <c r="O116" s="3350" t="s">
        <v>3125</v>
      </c>
    </row>
    <row r="117" spans="1:15" ht="24">
      <c r="A117" s="3587"/>
      <c r="B117" s="3587"/>
      <c r="C117" s="3587"/>
      <c r="D117" s="3587"/>
      <c r="E117" s="3384" t="s">
        <v>3222</v>
      </c>
      <c r="F117" s="3384" t="s">
        <v>3154</v>
      </c>
      <c r="G117" s="3385" t="s">
        <v>3264</v>
      </c>
      <c r="H117" s="3384">
        <v>201.36</v>
      </c>
      <c r="I117" s="3384">
        <f t="shared" si="6"/>
        <v>201.36</v>
      </c>
      <c r="J117" s="3359">
        <v>0</v>
      </c>
      <c r="K117" s="3359"/>
      <c r="L117" s="3582"/>
      <c r="M117" s="3359">
        <v>1</v>
      </c>
      <c r="N117" s="3359" t="s">
        <v>3124</v>
      </c>
      <c r="O117" s="3364" t="s">
        <v>3125</v>
      </c>
    </row>
    <row r="118" spans="1:15">
      <c r="A118" s="3587"/>
      <c r="B118" s="3587"/>
      <c r="C118" s="3587"/>
      <c r="D118" s="3587"/>
      <c r="E118" s="3384" t="s">
        <v>3222</v>
      </c>
      <c r="F118" s="3384" t="s">
        <v>3156</v>
      </c>
      <c r="G118" s="3385" t="s">
        <v>3265</v>
      </c>
      <c r="H118" s="3384">
        <v>199.2</v>
      </c>
      <c r="I118" s="3384">
        <f t="shared" si="6"/>
        <v>199.2</v>
      </c>
      <c r="J118" s="3359">
        <v>0</v>
      </c>
      <c r="K118" s="3359"/>
      <c r="L118" s="3582"/>
      <c r="M118" s="3359">
        <v>1</v>
      </c>
      <c r="N118" s="3359" t="s">
        <v>3124</v>
      </c>
      <c r="O118" s="3364" t="s">
        <v>3125</v>
      </c>
    </row>
    <row r="119" spans="1:15">
      <c r="A119" s="3587"/>
      <c r="B119" s="3587"/>
      <c r="C119" s="3587"/>
      <c r="D119" s="3587"/>
      <c r="E119" s="3384" t="s">
        <v>3222</v>
      </c>
      <c r="F119" s="3384" t="s">
        <v>3158</v>
      </c>
      <c r="G119" s="3385" t="s">
        <v>3266</v>
      </c>
      <c r="H119" s="3384">
        <v>140.13999999999999</v>
      </c>
      <c r="I119" s="3384">
        <f t="shared" si="6"/>
        <v>140.13999999999999</v>
      </c>
      <c r="J119" s="3359">
        <v>0</v>
      </c>
      <c r="K119" s="3359"/>
      <c r="L119" s="3582"/>
      <c r="M119" s="3359">
        <v>1</v>
      </c>
      <c r="N119" s="3359" t="s">
        <v>3124</v>
      </c>
      <c r="O119" s="3364" t="s">
        <v>3125</v>
      </c>
    </row>
    <row r="120" spans="1:15">
      <c r="A120" s="3587"/>
      <c r="B120" s="3587"/>
      <c r="C120" s="3587"/>
      <c r="D120" s="3587"/>
      <c r="E120" s="3384" t="s">
        <v>3222</v>
      </c>
      <c r="F120" s="3384" t="s">
        <v>3267</v>
      </c>
      <c r="G120" s="3385" t="s">
        <v>3268</v>
      </c>
      <c r="H120" s="3384">
        <v>35.79</v>
      </c>
      <c r="I120" s="3384">
        <f t="shared" si="6"/>
        <v>35.79</v>
      </c>
      <c r="J120" s="3359">
        <v>0</v>
      </c>
      <c r="K120" s="3359"/>
      <c r="L120" s="3582"/>
      <c r="M120" s="3359">
        <v>1</v>
      </c>
      <c r="N120" s="3359" t="s">
        <v>3124</v>
      </c>
      <c r="O120" s="3350" t="s">
        <v>3125</v>
      </c>
    </row>
    <row r="121" spans="1:15">
      <c r="A121" s="3587"/>
      <c r="B121" s="3587"/>
      <c r="C121" s="3587"/>
      <c r="D121" s="3587"/>
      <c r="E121" s="3384" t="s">
        <v>3222</v>
      </c>
      <c r="F121" s="3384" t="s">
        <v>3269</v>
      </c>
      <c r="G121" s="3385" t="s">
        <v>3260</v>
      </c>
      <c r="H121" s="3384">
        <v>79.849999999999994</v>
      </c>
      <c r="I121" s="3384">
        <f t="shared" si="6"/>
        <v>79.849999999999994</v>
      </c>
      <c r="J121" s="3359">
        <v>0</v>
      </c>
      <c r="K121" s="3359"/>
      <c r="L121" s="3582"/>
      <c r="M121" s="3359">
        <v>1</v>
      </c>
      <c r="N121" s="3359" t="s">
        <v>3124</v>
      </c>
      <c r="O121" s="3350" t="s">
        <v>3125</v>
      </c>
    </row>
    <row r="122" spans="1:15">
      <c r="A122" s="3587"/>
      <c r="B122" s="3587"/>
      <c r="C122" s="3587"/>
      <c r="D122" s="3587"/>
      <c r="E122" s="3384" t="s">
        <v>3222</v>
      </c>
      <c r="F122" s="3384" t="s">
        <v>3270</v>
      </c>
      <c r="G122" s="3385" t="s">
        <v>3271</v>
      </c>
      <c r="H122" s="3384">
        <v>188.79</v>
      </c>
      <c r="I122" s="3384">
        <f t="shared" si="6"/>
        <v>188.79</v>
      </c>
      <c r="J122" s="3359">
        <v>0</v>
      </c>
      <c r="K122" s="3359"/>
      <c r="L122" s="3582"/>
      <c r="M122" s="3359">
        <v>1</v>
      </c>
      <c r="N122" s="3359" t="s">
        <v>3124</v>
      </c>
      <c r="O122" s="3364" t="s">
        <v>3125</v>
      </c>
    </row>
    <row r="123" spans="1:15">
      <c r="A123" s="3587"/>
      <c r="B123" s="3587"/>
      <c r="C123" s="3587"/>
      <c r="D123" s="3587"/>
      <c r="E123" s="3384" t="s">
        <v>3222</v>
      </c>
      <c r="F123" s="3385" t="s">
        <v>3272</v>
      </c>
      <c r="G123" s="3385" t="s">
        <v>3273</v>
      </c>
      <c r="H123" s="3385">
        <v>169.29</v>
      </c>
      <c r="I123" s="3385">
        <f t="shared" si="6"/>
        <v>169.29</v>
      </c>
      <c r="J123" s="3363">
        <v>0</v>
      </c>
      <c r="K123" s="3363"/>
      <c r="L123" s="3582"/>
      <c r="M123" s="3363">
        <v>1</v>
      </c>
      <c r="N123" s="3363" t="s">
        <v>3124</v>
      </c>
      <c r="O123" s="3364" t="s">
        <v>3125</v>
      </c>
    </row>
    <row r="124" spans="1:15">
      <c r="A124" s="3587"/>
      <c r="B124" s="3587"/>
      <c r="C124" s="3587"/>
      <c r="D124" s="3587"/>
      <c r="E124" s="3384" t="s">
        <v>3222</v>
      </c>
      <c r="F124" s="3384" t="s">
        <v>3274</v>
      </c>
      <c r="G124" s="3385" t="s">
        <v>3275</v>
      </c>
      <c r="H124" s="3384">
        <v>197.22</v>
      </c>
      <c r="I124" s="3384">
        <f t="shared" si="6"/>
        <v>197.22</v>
      </c>
      <c r="J124" s="3359">
        <v>0</v>
      </c>
      <c r="K124" s="3359"/>
      <c r="L124" s="3582"/>
      <c r="M124" s="3359">
        <v>1</v>
      </c>
      <c r="N124" s="3359" t="s">
        <v>3124</v>
      </c>
      <c r="O124" s="3350" t="s">
        <v>3125</v>
      </c>
    </row>
    <row r="125" spans="1:15" ht="24">
      <c r="A125" s="3587"/>
      <c r="B125" s="3587"/>
      <c r="C125" s="3587"/>
      <c r="D125" s="3587"/>
      <c r="E125" s="3384" t="s">
        <v>3222</v>
      </c>
      <c r="F125" s="3384" t="s">
        <v>3276</v>
      </c>
      <c r="G125" s="3385" t="s">
        <v>3277</v>
      </c>
      <c r="H125" s="3384">
        <v>170.41</v>
      </c>
      <c r="I125" s="3384">
        <f>H125</f>
        <v>170.41</v>
      </c>
      <c r="J125" s="3359">
        <v>0</v>
      </c>
      <c r="K125" s="3359"/>
      <c r="L125" s="3582"/>
      <c r="M125" s="3359">
        <v>1</v>
      </c>
      <c r="N125" s="3359" t="s">
        <v>23</v>
      </c>
      <c r="O125" s="3350" t="s">
        <v>3113</v>
      </c>
    </row>
    <row r="126" spans="1:15">
      <c r="A126" s="3587"/>
      <c r="B126" s="3587"/>
      <c r="C126" s="3587"/>
      <c r="D126" s="3587"/>
      <c r="E126" s="3384" t="s">
        <v>3216</v>
      </c>
      <c r="F126" s="3384" t="s">
        <v>3278</v>
      </c>
      <c r="G126" s="3385" t="s">
        <v>3279</v>
      </c>
      <c r="H126" s="3384">
        <v>87.28</v>
      </c>
      <c r="I126" s="3384">
        <f>H126</f>
        <v>87.28</v>
      </c>
      <c r="J126" s="3359">
        <v>0</v>
      </c>
      <c r="K126" s="3359"/>
      <c r="L126" s="3582"/>
      <c r="M126" s="3359">
        <v>1</v>
      </c>
      <c r="N126" s="3359" t="s">
        <v>3124</v>
      </c>
      <c r="O126" s="3350" t="s">
        <v>3125</v>
      </c>
    </row>
    <row r="127" spans="1:15">
      <c r="A127" s="3587"/>
      <c r="B127" s="3587"/>
      <c r="C127" s="3587"/>
      <c r="D127" s="3587"/>
      <c r="E127" s="3384" t="s">
        <v>3222</v>
      </c>
      <c r="F127" s="3384" t="s">
        <v>3280</v>
      </c>
      <c r="G127" s="3385" t="s">
        <v>3157</v>
      </c>
      <c r="H127" s="3384">
        <v>68.52</v>
      </c>
      <c r="I127" s="3384">
        <f>H127</f>
        <v>68.52</v>
      </c>
      <c r="J127" s="3359">
        <v>0</v>
      </c>
      <c r="K127" s="3359"/>
      <c r="L127" s="3582"/>
      <c r="M127" s="3359">
        <v>1</v>
      </c>
      <c r="N127" s="3359" t="s">
        <v>23</v>
      </c>
      <c r="O127" s="3350" t="s">
        <v>3113</v>
      </c>
    </row>
    <row r="128" spans="1:15" ht="24">
      <c r="A128" s="3587"/>
      <c r="B128" s="3587"/>
      <c r="C128" s="3587"/>
      <c r="D128" s="3587"/>
      <c r="E128" s="3384" t="s">
        <v>3216</v>
      </c>
      <c r="F128" s="3384" t="s">
        <v>3281</v>
      </c>
      <c r="G128" s="3376" t="s">
        <v>3282</v>
      </c>
      <c r="H128" s="3376">
        <v>53.03</v>
      </c>
      <c r="I128" s="3376">
        <f t="shared" ref="I128:I142" si="7">H128</f>
        <v>53.03</v>
      </c>
      <c r="J128" s="3374">
        <v>0</v>
      </c>
      <c r="K128" s="3374"/>
      <c r="L128" s="3582"/>
      <c r="M128" s="3359">
        <v>1</v>
      </c>
      <c r="N128" s="3359" t="s">
        <v>3124</v>
      </c>
      <c r="O128" s="3350" t="s">
        <v>3125</v>
      </c>
    </row>
    <row r="129" spans="1:15">
      <c r="A129" s="3587"/>
      <c r="B129" s="3587"/>
      <c r="C129" s="3587"/>
      <c r="D129" s="3587"/>
      <c r="E129" s="3384" t="s">
        <v>3222</v>
      </c>
      <c r="F129" s="3384" t="s">
        <v>3283</v>
      </c>
      <c r="G129" s="3385" t="s">
        <v>3262</v>
      </c>
      <c r="H129" s="3384">
        <v>75.34</v>
      </c>
      <c r="I129" s="3384">
        <f t="shared" si="7"/>
        <v>75.34</v>
      </c>
      <c r="J129" s="3359">
        <v>0</v>
      </c>
      <c r="K129" s="3359"/>
      <c r="L129" s="3582"/>
      <c r="M129" s="3359">
        <v>1</v>
      </c>
      <c r="N129" s="3359" t="s">
        <v>3124</v>
      </c>
      <c r="O129" s="3350" t="s">
        <v>3125</v>
      </c>
    </row>
    <row r="130" spans="1:15">
      <c r="A130" s="3587"/>
      <c r="B130" s="3587"/>
      <c r="C130" s="3587"/>
      <c r="D130" s="3587"/>
      <c r="E130" s="3384" t="s">
        <v>3222</v>
      </c>
      <c r="F130" s="3386" t="s">
        <v>3284</v>
      </c>
      <c r="G130" s="3349" t="s">
        <v>3249</v>
      </c>
      <c r="H130" s="3349">
        <v>216.77</v>
      </c>
      <c r="I130" s="3349">
        <f t="shared" si="7"/>
        <v>216.77</v>
      </c>
      <c r="J130" s="3389">
        <v>0</v>
      </c>
      <c r="K130" s="3389"/>
      <c r="L130" s="3582"/>
      <c r="M130" s="3381">
        <v>1</v>
      </c>
      <c r="N130" s="3381" t="s">
        <v>3124</v>
      </c>
      <c r="O130" s="3350" t="s">
        <v>3125</v>
      </c>
    </row>
    <row r="131" spans="1:15">
      <c r="A131" s="3587"/>
      <c r="B131" s="3587"/>
      <c r="C131" s="3587"/>
      <c r="D131" s="3587"/>
      <c r="E131" s="3384" t="s">
        <v>3222</v>
      </c>
      <c r="F131" s="3386" t="s">
        <v>3285</v>
      </c>
      <c r="G131" s="3347" t="s">
        <v>3286</v>
      </c>
      <c r="H131" s="3386">
        <v>103.71</v>
      </c>
      <c r="I131" s="3386">
        <f t="shared" si="7"/>
        <v>103.71</v>
      </c>
      <c r="J131" s="3381">
        <v>0</v>
      </c>
      <c r="K131" s="3381"/>
      <c r="L131" s="3582"/>
      <c r="M131" s="3381">
        <v>1</v>
      </c>
      <c r="N131" s="3381" t="s">
        <v>3124</v>
      </c>
      <c r="O131" s="3350" t="s">
        <v>3125</v>
      </c>
    </row>
    <row r="132" spans="1:15">
      <c r="A132" s="3587"/>
      <c r="B132" s="3587"/>
      <c r="C132" s="3587"/>
      <c r="D132" s="3587"/>
      <c r="E132" s="3384" t="s">
        <v>3222</v>
      </c>
      <c r="F132" s="3386" t="s">
        <v>3287</v>
      </c>
      <c r="G132" s="3347" t="s">
        <v>3288</v>
      </c>
      <c r="H132" s="3386">
        <v>26.23</v>
      </c>
      <c r="I132" s="3386">
        <f t="shared" si="7"/>
        <v>26.23</v>
      </c>
      <c r="J132" s="3381">
        <v>0</v>
      </c>
      <c r="K132" s="3381"/>
      <c r="L132" s="3582"/>
      <c r="M132" s="3381">
        <v>1</v>
      </c>
      <c r="N132" s="3381" t="s">
        <v>3124</v>
      </c>
      <c r="O132" s="3350" t="s">
        <v>3125</v>
      </c>
    </row>
    <row r="133" spans="1:15">
      <c r="A133" s="3587"/>
      <c r="B133" s="3587"/>
      <c r="C133" s="3587"/>
      <c r="D133" s="3587"/>
      <c r="E133" s="3384" t="s">
        <v>3222</v>
      </c>
      <c r="F133" s="3386" t="s">
        <v>3289</v>
      </c>
      <c r="G133" s="3347" t="s">
        <v>3288</v>
      </c>
      <c r="H133" s="3386">
        <v>79.010000000000005</v>
      </c>
      <c r="I133" s="3386">
        <f t="shared" si="7"/>
        <v>79.010000000000005</v>
      </c>
      <c r="J133" s="3381">
        <v>0</v>
      </c>
      <c r="K133" s="3381"/>
      <c r="L133" s="3582"/>
      <c r="M133" s="3381">
        <v>1</v>
      </c>
      <c r="N133" s="3381" t="s">
        <v>3124</v>
      </c>
      <c r="O133" s="3350" t="s">
        <v>3125</v>
      </c>
    </row>
    <row r="134" spans="1:15">
      <c r="A134" s="3587"/>
      <c r="B134" s="3587"/>
      <c r="C134" s="3587"/>
      <c r="D134" s="3587"/>
      <c r="E134" s="3384" t="s">
        <v>3222</v>
      </c>
      <c r="F134" s="3386" t="s">
        <v>3290</v>
      </c>
      <c r="G134" s="3347" t="s">
        <v>3288</v>
      </c>
      <c r="H134" s="3386">
        <v>35.130000000000003</v>
      </c>
      <c r="I134" s="3386">
        <f t="shared" si="7"/>
        <v>35.130000000000003</v>
      </c>
      <c r="J134" s="3381">
        <v>0</v>
      </c>
      <c r="K134" s="3381"/>
      <c r="L134" s="3582"/>
      <c r="M134" s="3381">
        <v>1</v>
      </c>
      <c r="N134" s="3381" t="s">
        <v>3124</v>
      </c>
      <c r="O134" s="3350" t="s">
        <v>3125</v>
      </c>
    </row>
    <row r="135" spans="1:15">
      <c r="A135" s="3587"/>
      <c r="B135" s="3587"/>
      <c r="C135" s="3587"/>
      <c r="D135" s="3587"/>
      <c r="E135" s="3384" t="s">
        <v>3222</v>
      </c>
      <c r="F135" s="3386" t="s">
        <v>3291</v>
      </c>
      <c r="G135" s="3349" t="s">
        <v>3292</v>
      </c>
      <c r="H135" s="3349">
        <v>80.36</v>
      </c>
      <c r="I135" s="3349">
        <f t="shared" si="7"/>
        <v>80.36</v>
      </c>
      <c r="J135" s="3389">
        <v>0</v>
      </c>
      <c r="K135" s="3389"/>
      <c r="L135" s="3582"/>
      <c r="M135" s="3381">
        <v>1</v>
      </c>
      <c r="N135" s="3381" t="s">
        <v>3124</v>
      </c>
      <c r="O135" s="3350" t="s">
        <v>3125</v>
      </c>
    </row>
    <row r="136" spans="1:15">
      <c r="A136" s="3587"/>
      <c r="B136" s="3587"/>
      <c r="C136" s="3587"/>
      <c r="D136" s="3587"/>
      <c r="E136" s="3384" t="s">
        <v>3222</v>
      </c>
      <c r="F136" s="3386" t="s">
        <v>3293</v>
      </c>
      <c r="G136" s="3349" t="s">
        <v>3294</v>
      </c>
      <c r="H136" s="3349">
        <v>128.96</v>
      </c>
      <c r="I136" s="3349">
        <f t="shared" si="7"/>
        <v>128.96</v>
      </c>
      <c r="J136" s="3389">
        <v>0</v>
      </c>
      <c r="K136" s="3389"/>
      <c r="L136" s="3582"/>
      <c r="M136" s="3381">
        <v>1</v>
      </c>
      <c r="N136" s="3381" t="s">
        <v>3124</v>
      </c>
      <c r="O136" s="3350" t="s">
        <v>3125</v>
      </c>
    </row>
    <row r="137" spans="1:15">
      <c r="A137" s="3587"/>
      <c r="B137" s="3587"/>
      <c r="C137" s="3587"/>
      <c r="D137" s="3587"/>
      <c r="E137" s="3384" t="s">
        <v>3222</v>
      </c>
      <c r="F137" s="3386" t="s">
        <v>3295</v>
      </c>
      <c r="G137" s="3347" t="s">
        <v>3233</v>
      </c>
      <c r="H137" s="3386">
        <v>169.05</v>
      </c>
      <c r="I137" s="3386">
        <f t="shared" si="7"/>
        <v>169.05</v>
      </c>
      <c r="J137" s="3381">
        <v>0</v>
      </c>
      <c r="K137" s="3381"/>
      <c r="L137" s="3582"/>
      <c r="M137" s="3381">
        <v>2</v>
      </c>
      <c r="N137" s="3381" t="s">
        <v>3124</v>
      </c>
      <c r="O137" s="3350" t="s">
        <v>3125</v>
      </c>
    </row>
    <row r="138" spans="1:15">
      <c r="A138" s="3587"/>
      <c r="B138" s="3587"/>
      <c r="C138" s="3587"/>
      <c r="D138" s="3587"/>
      <c r="E138" s="3384" t="s">
        <v>3222</v>
      </c>
      <c r="F138" s="3386" t="s">
        <v>3296</v>
      </c>
      <c r="G138" s="3347" t="s">
        <v>3233</v>
      </c>
      <c r="H138" s="3386">
        <v>185.43</v>
      </c>
      <c r="I138" s="3386">
        <f t="shared" si="7"/>
        <v>185.43</v>
      </c>
      <c r="J138" s="3381">
        <v>0</v>
      </c>
      <c r="K138" s="3381"/>
      <c r="L138" s="3582"/>
      <c r="M138" s="3381">
        <v>1</v>
      </c>
      <c r="N138" s="3381" t="s">
        <v>3124</v>
      </c>
      <c r="O138" s="3350" t="s">
        <v>3125</v>
      </c>
    </row>
    <row r="139" spans="1:15">
      <c r="A139" s="3587"/>
      <c r="B139" s="3587"/>
      <c r="C139" s="3587"/>
      <c r="D139" s="3587"/>
      <c r="E139" s="3384" t="s">
        <v>3222</v>
      </c>
      <c r="F139" s="3386" t="s">
        <v>3297</v>
      </c>
      <c r="G139" s="3347" t="s">
        <v>3233</v>
      </c>
      <c r="H139" s="3386">
        <v>25.62</v>
      </c>
      <c r="I139" s="3386">
        <f t="shared" si="7"/>
        <v>25.62</v>
      </c>
      <c r="J139" s="3381">
        <v>0</v>
      </c>
      <c r="K139" s="3381"/>
      <c r="L139" s="3582"/>
      <c r="M139" s="3381">
        <v>1</v>
      </c>
      <c r="N139" s="3381" t="s">
        <v>3124</v>
      </c>
      <c r="O139" s="3350" t="s">
        <v>3125</v>
      </c>
    </row>
    <row r="140" spans="1:15">
      <c r="A140" s="3588"/>
      <c r="B140" s="3588"/>
      <c r="C140" s="3588"/>
      <c r="D140" s="3588"/>
      <c r="E140" s="3384" t="s">
        <v>3222</v>
      </c>
      <c r="F140" s="3386" t="s">
        <v>3298</v>
      </c>
      <c r="G140" s="3347" t="s">
        <v>3233</v>
      </c>
      <c r="H140" s="3347">
        <v>226.68</v>
      </c>
      <c r="I140" s="3347">
        <f t="shared" si="7"/>
        <v>226.68</v>
      </c>
      <c r="J140" s="3390">
        <v>0</v>
      </c>
      <c r="K140" s="3390"/>
      <c r="L140" s="3580"/>
      <c r="M140" s="3390">
        <v>3</v>
      </c>
      <c r="N140" s="3390" t="s">
        <v>3124</v>
      </c>
      <c r="O140" s="3350" t="s">
        <v>3125</v>
      </c>
    </row>
    <row r="141" spans="1:15">
      <c r="A141" s="3586">
        <v>6</v>
      </c>
      <c r="B141" s="3586" t="s">
        <v>3299</v>
      </c>
      <c r="C141" s="3586" t="s">
        <v>3300</v>
      </c>
      <c r="D141" s="3586" t="s">
        <v>3155</v>
      </c>
      <c r="E141" s="3347" t="s">
        <v>3301</v>
      </c>
      <c r="F141" s="3347" t="s">
        <v>3165</v>
      </c>
      <c r="G141" s="3347" t="s">
        <v>3302</v>
      </c>
      <c r="H141" s="3391">
        <v>591.37</v>
      </c>
      <c r="I141" s="3391">
        <f t="shared" si="7"/>
        <v>591.37</v>
      </c>
      <c r="J141" s="3390"/>
      <c r="K141" s="3390"/>
      <c r="L141" s="3579">
        <v>10891.3</v>
      </c>
      <c r="M141" s="3381">
        <v>3</v>
      </c>
      <c r="N141" s="3381"/>
      <c r="O141" s="3340" t="s">
        <v>3153</v>
      </c>
    </row>
    <row r="142" spans="1:15">
      <c r="A142" s="3587"/>
      <c r="B142" s="3587"/>
      <c r="C142" s="3587"/>
      <c r="D142" s="3587"/>
      <c r="E142" s="3347" t="s">
        <v>3301</v>
      </c>
      <c r="F142" s="3347" t="s">
        <v>3167</v>
      </c>
      <c r="G142" s="3347" t="s">
        <v>3303</v>
      </c>
      <c r="H142" s="3391">
        <v>807.83</v>
      </c>
      <c r="I142" s="3391">
        <f t="shared" si="7"/>
        <v>807.83</v>
      </c>
      <c r="J142" s="3390"/>
      <c r="K142" s="3390"/>
      <c r="L142" s="3582"/>
      <c r="M142" s="3381">
        <v>4</v>
      </c>
      <c r="N142" s="3381"/>
      <c r="O142" s="3340" t="s">
        <v>3153</v>
      </c>
    </row>
    <row r="143" spans="1:15">
      <c r="A143" s="3587"/>
      <c r="B143" s="3587"/>
      <c r="C143" s="3589"/>
      <c r="D143" s="3589"/>
      <c r="E143" s="3347" t="s">
        <v>3301</v>
      </c>
      <c r="F143" s="3347" t="s">
        <v>3169</v>
      </c>
      <c r="G143" s="3347" t="s">
        <v>3302</v>
      </c>
      <c r="H143" s="3391">
        <v>1294.05</v>
      </c>
      <c r="I143" s="3354">
        <v>995.65</v>
      </c>
      <c r="J143" s="3354">
        <v>298.39999999999998</v>
      </c>
      <c r="K143" s="3392"/>
      <c r="L143" s="3582"/>
      <c r="M143" s="3381">
        <v>4</v>
      </c>
      <c r="N143" s="3381">
        <v>1</v>
      </c>
      <c r="O143" s="3340" t="s">
        <v>3153</v>
      </c>
    </row>
    <row r="144" spans="1:15">
      <c r="A144" s="3587"/>
      <c r="B144" s="3587"/>
      <c r="C144" s="3587"/>
      <c r="D144" s="3587"/>
      <c r="E144" s="3347" t="s">
        <v>3301</v>
      </c>
      <c r="F144" s="3347" t="s">
        <v>3304</v>
      </c>
      <c r="G144" s="3347" t="s">
        <v>3302</v>
      </c>
      <c r="H144" s="3391">
        <v>160.74</v>
      </c>
      <c r="I144" s="3391">
        <f>H144</f>
        <v>160.74</v>
      </c>
      <c r="J144" s="3390"/>
      <c r="K144" s="3390"/>
      <c r="L144" s="3582"/>
      <c r="M144" s="3381">
        <v>1</v>
      </c>
      <c r="N144" s="3381" t="s">
        <v>23</v>
      </c>
      <c r="O144" s="3340" t="s">
        <v>3099</v>
      </c>
    </row>
    <row r="145" spans="1:15">
      <c r="A145" s="3587"/>
      <c r="B145" s="3587"/>
      <c r="C145" s="3587"/>
      <c r="D145" s="3587"/>
      <c r="E145" s="3347" t="s">
        <v>3305</v>
      </c>
      <c r="F145" s="3347" t="s">
        <v>3101</v>
      </c>
      <c r="G145" s="3347" t="s">
        <v>3306</v>
      </c>
      <c r="H145" s="3391">
        <v>117.15</v>
      </c>
      <c r="I145" s="3391">
        <f>H145</f>
        <v>117.15</v>
      </c>
      <c r="J145" s="3390"/>
      <c r="K145" s="3390"/>
      <c r="L145" s="3582"/>
      <c r="M145" s="3381">
        <v>1</v>
      </c>
      <c r="N145" s="3381" t="s">
        <v>23</v>
      </c>
      <c r="O145" s="3340" t="s">
        <v>3099</v>
      </c>
    </row>
    <row r="146" spans="1:15">
      <c r="A146" s="3587"/>
      <c r="B146" s="3587"/>
      <c r="C146" s="3587"/>
      <c r="D146" s="3588"/>
      <c r="E146" s="3347" t="s">
        <v>3305</v>
      </c>
      <c r="F146" s="3347" t="s">
        <v>3111</v>
      </c>
      <c r="G146" s="3347" t="s">
        <v>3307</v>
      </c>
      <c r="H146" s="3391">
        <v>431.01</v>
      </c>
      <c r="I146" s="3391">
        <f>H146</f>
        <v>431.01</v>
      </c>
      <c r="J146" s="3390"/>
      <c r="K146" s="3390"/>
      <c r="L146" s="3582"/>
      <c r="M146" s="3381">
        <v>1</v>
      </c>
      <c r="N146" s="3381" t="s">
        <v>3124</v>
      </c>
      <c r="O146" s="3340" t="s">
        <v>3153</v>
      </c>
    </row>
    <row r="147" spans="1:15" ht="36">
      <c r="A147" s="3588"/>
      <c r="B147" s="3588"/>
      <c r="C147" s="3581"/>
      <c r="D147" s="3347" t="s">
        <v>3308</v>
      </c>
      <c r="E147" s="3347" t="s">
        <v>3301</v>
      </c>
      <c r="F147" s="3347" t="s">
        <v>3309</v>
      </c>
      <c r="G147" s="3347" t="s">
        <v>3310</v>
      </c>
      <c r="H147" s="3347">
        <v>12577.94</v>
      </c>
      <c r="I147" s="3354">
        <v>10776.73</v>
      </c>
      <c r="J147" s="3354">
        <v>1655.97</v>
      </c>
      <c r="K147" s="3383">
        <v>145.24</v>
      </c>
      <c r="L147" s="3580"/>
      <c r="M147" s="3381">
        <v>3</v>
      </c>
      <c r="N147" s="3381">
        <v>1</v>
      </c>
      <c r="O147" s="3340" t="s">
        <v>3153</v>
      </c>
    </row>
    <row r="148" spans="1:15">
      <c r="A148" s="3590">
        <v>7</v>
      </c>
      <c r="B148" s="3590" t="s">
        <v>3311</v>
      </c>
      <c r="C148" s="3590" t="s">
        <v>3312</v>
      </c>
      <c r="D148" s="3590" t="s">
        <v>3313</v>
      </c>
      <c r="E148" s="3386" t="s">
        <v>3314</v>
      </c>
      <c r="F148" s="3386" t="s">
        <v>3304</v>
      </c>
      <c r="G148" s="3347" t="s">
        <v>3228</v>
      </c>
      <c r="H148" s="3386">
        <v>859.19</v>
      </c>
      <c r="I148" s="3347">
        <v>822.59</v>
      </c>
      <c r="J148" s="3390">
        <v>0</v>
      </c>
      <c r="K148" s="3389">
        <v>36.6</v>
      </c>
      <c r="L148" s="3579">
        <v>31373.17</v>
      </c>
      <c r="M148" s="3381">
        <v>3</v>
      </c>
      <c r="N148" s="3381" t="s">
        <v>3124</v>
      </c>
      <c r="O148" s="3340" t="s">
        <v>3153</v>
      </c>
    </row>
    <row r="149" spans="1:15">
      <c r="A149" s="3590"/>
      <c r="B149" s="3590"/>
      <c r="C149" s="3590"/>
      <c r="D149" s="3590"/>
      <c r="E149" s="3386" t="s">
        <v>3314</v>
      </c>
      <c r="F149" s="3386" t="s">
        <v>3315</v>
      </c>
      <c r="G149" s="3347" t="s">
        <v>3228</v>
      </c>
      <c r="H149" s="3386">
        <v>859.19</v>
      </c>
      <c r="I149" s="3347">
        <v>822.59</v>
      </c>
      <c r="J149" s="3390">
        <v>0</v>
      </c>
      <c r="K149" s="3389">
        <v>36.6</v>
      </c>
      <c r="L149" s="3582"/>
      <c r="M149" s="3381">
        <v>3</v>
      </c>
      <c r="N149" s="3381" t="s">
        <v>3124</v>
      </c>
      <c r="O149" s="3340" t="s">
        <v>3153</v>
      </c>
    </row>
    <row r="150" spans="1:15">
      <c r="A150" s="3590"/>
      <c r="B150" s="3590"/>
      <c r="C150" s="3590"/>
      <c r="D150" s="3590"/>
      <c r="E150" s="3386" t="s">
        <v>3314</v>
      </c>
      <c r="F150" s="3386" t="s">
        <v>3316</v>
      </c>
      <c r="G150" s="3347" t="s">
        <v>3228</v>
      </c>
      <c r="H150" s="3386">
        <v>859.19</v>
      </c>
      <c r="I150" s="3347">
        <v>822.59</v>
      </c>
      <c r="J150" s="3390">
        <v>0</v>
      </c>
      <c r="K150" s="3389">
        <v>36.6</v>
      </c>
      <c r="L150" s="3582"/>
      <c r="M150" s="3381">
        <v>3</v>
      </c>
      <c r="N150" s="3381" t="s">
        <v>3124</v>
      </c>
      <c r="O150" s="3340" t="s">
        <v>3153</v>
      </c>
    </row>
    <row r="151" spans="1:15">
      <c r="A151" s="3590"/>
      <c r="B151" s="3590"/>
      <c r="C151" s="3590"/>
      <c r="D151" s="3590"/>
      <c r="E151" s="3386" t="s">
        <v>3314</v>
      </c>
      <c r="F151" s="3386" t="s">
        <v>3317</v>
      </c>
      <c r="G151" s="3347" t="s">
        <v>3228</v>
      </c>
      <c r="H151" s="3386">
        <v>859.19</v>
      </c>
      <c r="I151" s="3347">
        <v>822.59</v>
      </c>
      <c r="J151" s="3390">
        <v>0</v>
      </c>
      <c r="K151" s="3389">
        <v>36.6</v>
      </c>
      <c r="L151" s="3582"/>
      <c r="M151" s="3381">
        <v>3</v>
      </c>
      <c r="N151" s="3381" t="s">
        <v>3124</v>
      </c>
      <c r="O151" s="3340" t="s">
        <v>3153</v>
      </c>
    </row>
    <row r="152" spans="1:15">
      <c r="A152" s="3590"/>
      <c r="B152" s="3590"/>
      <c r="C152" s="3590"/>
      <c r="D152" s="3590"/>
      <c r="E152" s="3386" t="s">
        <v>3314</v>
      </c>
      <c r="F152" s="3386" t="s">
        <v>3318</v>
      </c>
      <c r="G152" s="3347" t="s">
        <v>3228</v>
      </c>
      <c r="H152" s="3386">
        <v>859.19</v>
      </c>
      <c r="I152" s="3347">
        <v>822.59</v>
      </c>
      <c r="J152" s="3390">
        <v>0</v>
      </c>
      <c r="K152" s="3389">
        <v>36.6</v>
      </c>
      <c r="L152" s="3582"/>
      <c r="M152" s="3381">
        <v>3</v>
      </c>
      <c r="N152" s="3381" t="s">
        <v>3124</v>
      </c>
      <c r="O152" s="3340" t="s">
        <v>3153</v>
      </c>
    </row>
    <row r="153" spans="1:15">
      <c r="A153" s="3590"/>
      <c r="B153" s="3590"/>
      <c r="C153" s="3590"/>
      <c r="D153" s="3590"/>
      <c r="E153" s="3386" t="s">
        <v>3314</v>
      </c>
      <c r="F153" s="3386" t="s">
        <v>3319</v>
      </c>
      <c r="G153" s="3347" t="s">
        <v>3228</v>
      </c>
      <c r="H153" s="3386">
        <v>859.19</v>
      </c>
      <c r="I153" s="3347">
        <v>822.59</v>
      </c>
      <c r="J153" s="3390">
        <v>0</v>
      </c>
      <c r="K153" s="3389">
        <v>36.6</v>
      </c>
      <c r="L153" s="3582"/>
      <c r="M153" s="3381">
        <v>3</v>
      </c>
      <c r="N153" s="3381" t="s">
        <v>3124</v>
      </c>
      <c r="O153" s="3340" t="s">
        <v>3153</v>
      </c>
    </row>
    <row r="154" spans="1:15">
      <c r="A154" s="3590"/>
      <c r="B154" s="3590"/>
      <c r="C154" s="3590"/>
      <c r="D154" s="3590"/>
      <c r="E154" s="3386" t="s">
        <v>3314</v>
      </c>
      <c r="F154" s="3386" t="s">
        <v>3320</v>
      </c>
      <c r="G154" s="3347" t="s">
        <v>3228</v>
      </c>
      <c r="H154" s="3386">
        <v>859.19</v>
      </c>
      <c r="I154" s="3347">
        <v>822.59</v>
      </c>
      <c r="J154" s="3390">
        <v>0</v>
      </c>
      <c r="K154" s="3389">
        <v>36.6</v>
      </c>
      <c r="L154" s="3582"/>
      <c r="M154" s="3381">
        <v>3</v>
      </c>
      <c r="N154" s="3381" t="s">
        <v>3124</v>
      </c>
      <c r="O154" s="3340" t="s">
        <v>3153</v>
      </c>
    </row>
    <row r="155" spans="1:15">
      <c r="A155" s="3590"/>
      <c r="B155" s="3590"/>
      <c r="C155" s="3590"/>
      <c r="D155" s="3590"/>
      <c r="E155" s="3386" t="s">
        <v>3314</v>
      </c>
      <c r="F155" s="3386" t="s">
        <v>3321</v>
      </c>
      <c r="G155" s="3347" t="s">
        <v>3228</v>
      </c>
      <c r="H155" s="3386">
        <v>859.19</v>
      </c>
      <c r="I155" s="3347">
        <v>822.59</v>
      </c>
      <c r="J155" s="3390">
        <v>0</v>
      </c>
      <c r="K155" s="3389">
        <v>36.6</v>
      </c>
      <c r="L155" s="3582"/>
      <c r="M155" s="3381">
        <v>3</v>
      </c>
      <c r="N155" s="3381" t="s">
        <v>3124</v>
      </c>
      <c r="O155" s="3340" t="s">
        <v>3153</v>
      </c>
    </row>
    <row r="156" spans="1:15">
      <c r="A156" s="3590"/>
      <c r="B156" s="3590"/>
      <c r="C156" s="3583"/>
      <c r="D156" s="3583"/>
      <c r="E156" s="3347" t="s">
        <v>3314</v>
      </c>
      <c r="F156" s="3347" t="s">
        <v>3195</v>
      </c>
      <c r="G156" s="3347" t="s">
        <v>3322</v>
      </c>
      <c r="H156" s="3347">
        <v>3833.1</v>
      </c>
      <c r="I156" s="3354">
        <v>2419.02</v>
      </c>
      <c r="J156" s="3354">
        <v>1414.08</v>
      </c>
      <c r="K156" s="3388"/>
      <c r="L156" s="3580"/>
      <c r="M156" s="3381">
        <v>3</v>
      </c>
      <c r="N156" s="3381">
        <v>1</v>
      </c>
      <c r="O156" s="3340" t="s">
        <v>3153</v>
      </c>
    </row>
    <row r="157" spans="1:15">
      <c r="A157" s="3586">
        <v>8</v>
      </c>
      <c r="B157" s="3586" t="s">
        <v>3323</v>
      </c>
      <c r="C157" s="3586" t="s">
        <v>3324</v>
      </c>
      <c r="D157" s="3579" t="s">
        <v>3325</v>
      </c>
      <c r="E157" s="3353" t="s">
        <v>3326</v>
      </c>
      <c r="F157" s="3353" t="s">
        <v>3165</v>
      </c>
      <c r="G157" s="3347" t="s">
        <v>3233</v>
      </c>
      <c r="H157" s="3386">
        <v>76.36</v>
      </c>
      <c r="I157" s="3386">
        <f>H157</f>
        <v>76.36</v>
      </c>
      <c r="J157" s="3381">
        <v>0</v>
      </c>
      <c r="K157" s="3381"/>
      <c r="L157" s="3579">
        <v>32052.400000000001</v>
      </c>
      <c r="M157" s="3381">
        <v>1</v>
      </c>
      <c r="N157" s="3381" t="s">
        <v>23</v>
      </c>
      <c r="O157" s="3340" t="s">
        <v>3113</v>
      </c>
    </row>
    <row r="158" spans="1:15">
      <c r="A158" s="3587"/>
      <c r="B158" s="3587"/>
      <c r="C158" s="3587"/>
      <c r="D158" s="3582"/>
      <c r="E158" s="3353" t="s">
        <v>3327</v>
      </c>
      <c r="F158" s="3353" t="s">
        <v>3217</v>
      </c>
      <c r="G158" s="3347" t="s">
        <v>3139</v>
      </c>
      <c r="H158" s="3386">
        <v>104.78</v>
      </c>
      <c r="I158" s="3386">
        <f>H158</f>
        <v>104.78</v>
      </c>
      <c r="J158" s="3381">
        <v>0</v>
      </c>
      <c r="K158" s="3381"/>
      <c r="L158" s="3582"/>
      <c r="M158" s="3381">
        <v>2</v>
      </c>
      <c r="N158" s="3381" t="s">
        <v>3124</v>
      </c>
      <c r="O158" s="3340" t="s">
        <v>3125</v>
      </c>
    </row>
    <row r="159" spans="1:15">
      <c r="A159" s="3587"/>
      <c r="B159" s="3587"/>
      <c r="C159" s="3587"/>
      <c r="D159" s="3582"/>
      <c r="E159" s="3353" t="s">
        <v>3326</v>
      </c>
      <c r="F159" s="3353" t="s">
        <v>3169</v>
      </c>
      <c r="G159" s="3347" t="s">
        <v>3233</v>
      </c>
      <c r="H159" s="3386">
        <v>118.9</v>
      </c>
      <c r="I159" s="3386">
        <f>H159</f>
        <v>118.9</v>
      </c>
      <c r="J159" s="3381">
        <v>0</v>
      </c>
      <c r="K159" s="3381"/>
      <c r="L159" s="3582"/>
      <c r="M159" s="3381">
        <v>2</v>
      </c>
      <c r="N159" s="3381" t="s">
        <v>23</v>
      </c>
      <c r="O159" s="3340" t="s">
        <v>3113</v>
      </c>
    </row>
    <row r="160" spans="1:15">
      <c r="A160" s="3587"/>
      <c r="B160" s="3587"/>
      <c r="C160" s="3587"/>
      <c r="D160" s="3582"/>
      <c r="E160" s="3353" t="s">
        <v>3327</v>
      </c>
      <c r="F160" s="3353" t="s">
        <v>3172</v>
      </c>
      <c r="G160" s="3347" t="s">
        <v>3139</v>
      </c>
      <c r="H160" s="3386">
        <v>114.24</v>
      </c>
      <c r="I160" s="3386">
        <f>H160</f>
        <v>114.24</v>
      </c>
      <c r="J160" s="3381">
        <v>0</v>
      </c>
      <c r="K160" s="3381"/>
      <c r="L160" s="3582"/>
      <c r="M160" s="3381">
        <v>2</v>
      </c>
      <c r="N160" s="3381" t="s">
        <v>3124</v>
      </c>
      <c r="O160" s="3340" t="s">
        <v>3125</v>
      </c>
    </row>
    <row r="161" spans="1:15">
      <c r="A161" s="3587"/>
      <c r="B161" s="3587"/>
      <c r="C161" s="3587"/>
      <c r="D161" s="3582"/>
      <c r="E161" s="3353" t="s">
        <v>3326</v>
      </c>
      <c r="F161" s="3353" t="s">
        <v>3315</v>
      </c>
      <c r="G161" s="3347" t="s">
        <v>3233</v>
      </c>
      <c r="H161" s="3386">
        <v>65.83</v>
      </c>
      <c r="I161" s="3386">
        <f>H161</f>
        <v>65.83</v>
      </c>
      <c r="J161" s="3381">
        <v>0</v>
      </c>
      <c r="K161" s="3381"/>
      <c r="L161" s="3582"/>
      <c r="M161" s="3381">
        <v>1</v>
      </c>
      <c r="N161" s="3381" t="s">
        <v>23</v>
      </c>
      <c r="O161" s="3340" t="s">
        <v>3113</v>
      </c>
    </row>
    <row r="162" spans="1:15">
      <c r="A162" s="3587"/>
      <c r="B162" s="3587"/>
      <c r="C162" s="3589"/>
      <c r="D162" s="3589"/>
      <c r="E162" s="3347" t="s">
        <v>3327</v>
      </c>
      <c r="F162" s="3347" t="s">
        <v>3111</v>
      </c>
      <c r="G162" s="3347" t="s">
        <v>3139</v>
      </c>
      <c r="H162" s="3347">
        <v>894.12</v>
      </c>
      <c r="I162" s="3354">
        <v>652.66</v>
      </c>
      <c r="J162" s="3354">
        <v>241.46</v>
      </c>
      <c r="K162" s="3388"/>
      <c r="L162" s="3582"/>
      <c r="M162" s="3381">
        <v>4</v>
      </c>
      <c r="N162" s="3381">
        <v>1</v>
      </c>
      <c r="O162" s="3340" t="s">
        <v>3099</v>
      </c>
    </row>
    <row r="163" spans="1:15">
      <c r="A163" s="3587"/>
      <c r="B163" s="3587"/>
      <c r="C163" s="3587"/>
      <c r="D163" s="3582"/>
      <c r="E163" s="3353" t="s">
        <v>3327</v>
      </c>
      <c r="F163" s="3353" t="s">
        <v>3114</v>
      </c>
      <c r="G163" s="3347" t="s">
        <v>3139</v>
      </c>
      <c r="H163" s="3386">
        <v>65.5</v>
      </c>
      <c r="I163" s="3386">
        <f t="shared" ref="I163:I196" si="8">H163</f>
        <v>65.5</v>
      </c>
      <c r="J163" s="3381">
        <v>0</v>
      </c>
      <c r="K163" s="3381"/>
      <c r="L163" s="3582"/>
      <c r="M163" s="3381">
        <v>1</v>
      </c>
      <c r="N163" s="3381" t="s">
        <v>3124</v>
      </c>
      <c r="O163" s="3340" t="s">
        <v>3125</v>
      </c>
    </row>
    <row r="164" spans="1:15">
      <c r="A164" s="3587"/>
      <c r="B164" s="3587"/>
      <c r="C164" s="3587"/>
      <c r="D164" s="3582"/>
      <c r="E164" s="3353" t="s">
        <v>3326</v>
      </c>
      <c r="F164" s="3353" t="s">
        <v>3328</v>
      </c>
      <c r="G164" s="3347" t="s">
        <v>3233</v>
      </c>
      <c r="H164" s="3386">
        <v>34.56</v>
      </c>
      <c r="I164" s="3386">
        <f t="shared" si="8"/>
        <v>34.56</v>
      </c>
      <c r="J164" s="3381">
        <v>0</v>
      </c>
      <c r="K164" s="3381"/>
      <c r="L164" s="3582"/>
      <c r="M164" s="3381">
        <v>1</v>
      </c>
      <c r="N164" s="3381" t="s">
        <v>3124</v>
      </c>
      <c r="O164" s="3340" t="s">
        <v>3125</v>
      </c>
    </row>
    <row r="165" spans="1:15">
      <c r="A165" s="3587"/>
      <c r="B165" s="3587"/>
      <c r="C165" s="3587"/>
      <c r="D165" s="3582"/>
      <c r="E165" s="3353" t="s">
        <v>3326</v>
      </c>
      <c r="F165" s="3353" t="s">
        <v>3329</v>
      </c>
      <c r="G165" s="3347" t="s">
        <v>3233</v>
      </c>
      <c r="H165" s="3386">
        <v>22.62</v>
      </c>
      <c r="I165" s="3386">
        <f t="shared" si="8"/>
        <v>22.62</v>
      </c>
      <c r="J165" s="3381">
        <v>0</v>
      </c>
      <c r="K165" s="3381"/>
      <c r="L165" s="3582"/>
      <c r="M165" s="3381">
        <v>1</v>
      </c>
      <c r="N165" s="3381" t="s">
        <v>3124</v>
      </c>
      <c r="O165" s="3340" t="s">
        <v>3125</v>
      </c>
    </row>
    <row r="166" spans="1:15">
      <c r="A166" s="3587"/>
      <c r="B166" s="3587"/>
      <c r="C166" s="3587"/>
      <c r="D166" s="3582"/>
      <c r="E166" s="3353" t="s">
        <v>3326</v>
      </c>
      <c r="F166" s="3353" t="s">
        <v>3330</v>
      </c>
      <c r="G166" s="3347" t="s">
        <v>3233</v>
      </c>
      <c r="H166" s="3386">
        <v>73.14</v>
      </c>
      <c r="I166" s="3386">
        <f t="shared" si="8"/>
        <v>73.14</v>
      </c>
      <c r="J166" s="3381">
        <v>0</v>
      </c>
      <c r="K166" s="3381"/>
      <c r="L166" s="3582"/>
      <c r="M166" s="3381">
        <v>1</v>
      </c>
      <c r="N166" s="3381" t="s">
        <v>3124</v>
      </c>
      <c r="O166" s="3340" t="s">
        <v>3125</v>
      </c>
    </row>
    <row r="167" spans="1:15">
      <c r="A167" s="3587"/>
      <c r="B167" s="3587"/>
      <c r="C167" s="3587"/>
      <c r="D167" s="3582"/>
      <c r="E167" s="3353" t="s">
        <v>3326</v>
      </c>
      <c r="F167" s="3353" t="s">
        <v>3321</v>
      </c>
      <c r="G167" s="3347" t="s">
        <v>3233</v>
      </c>
      <c r="H167" s="3386">
        <v>43.97</v>
      </c>
      <c r="I167" s="3386">
        <f t="shared" si="8"/>
        <v>43.97</v>
      </c>
      <c r="J167" s="3381">
        <v>0</v>
      </c>
      <c r="K167" s="3381"/>
      <c r="L167" s="3582"/>
      <c r="M167" s="3381">
        <v>1</v>
      </c>
      <c r="N167" s="3381" t="s">
        <v>3124</v>
      </c>
      <c r="O167" s="3340" t="s">
        <v>3125</v>
      </c>
    </row>
    <row r="168" spans="1:15">
      <c r="A168" s="3587"/>
      <c r="B168" s="3587"/>
      <c r="C168" s="3587"/>
      <c r="D168" s="3582"/>
      <c r="E168" s="3353" t="s">
        <v>3326</v>
      </c>
      <c r="F168" s="3353" t="s">
        <v>3195</v>
      </c>
      <c r="G168" s="3347" t="s">
        <v>3233</v>
      </c>
      <c r="H168" s="3386">
        <v>152.09</v>
      </c>
      <c r="I168" s="3386">
        <f t="shared" si="8"/>
        <v>152.09</v>
      </c>
      <c r="J168" s="3381">
        <v>0</v>
      </c>
      <c r="K168" s="3381"/>
      <c r="L168" s="3582"/>
      <c r="M168" s="3381">
        <v>2</v>
      </c>
      <c r="N168" s="3381" t="s">
        <v>3124</v>
      </c>
      <c r="O168" s="3340" t="s">
        <v>3125</v>
      </c>
    </row>
    <row r="169" spans="1:15">
      <c r="A169" s="3587"/>
      <c r="B169" s="3587"/>
      <c r="C169" s="3587"/>
      <c r="D169" s="3582"/>
      <c r="E169" s="3353" t="s">
        <v>3326</v>
      </c>
      <c r="F169" s="3353" t="s">
        <v>3331</v>
      </c>
      <c r="G169" s="3347" t="s">
        <v>3332</v>
      </c>
      <c r="H169" s="3386">
        <v>168.06</v>
      </c>
      <c r="I169" s="3386">
        <f t="shared" si="8"/>
        <v>168.06</v>
      </c>
      <c r="J169" s="3381">
        <v>0</v>
      </c>
      <c r="K169" s="3381"/>
      <c r="L169" s="3582"/>
      <c r="M169" s="3381">
        <v>2</v>
      </c>
      <c r="N169" s="3381" t="s">
        <v>3124</v>
      </c>
      <c r="O169" s="3340" t="s">
        <v>3125</v>
      </c>
    </row>
    <row r="170" spans="1:15">
      <c r="A170" s="3587"/>
      <c r="B170" s="3587"/>
      <c r="C170" s="3587"/>
      <c r="D170" s="3580"/>
      <c r="E170" s="3353" t="s">
        <v>3326</v>
      </c>
      <c r="F170" s="3353" t="s">
        <v>3333</v>
      </c>
      <c r="G170" s="3347" t="s">
        <v>3332</v>
      </c>
      <c r="H170" s="3386">
        <v>3594.23</v>
      </c>
      <c r="I170" s="3386">
        <f t="shared" si="8"/>
        <v>3594.23</v>
      </c>
      <c r="J170" s="3381">
        <v>0</v>
      </c>
      <c r="K170" s="3381"/>
      <c r="L170" s="3582"/>
      <c r="M170" s="3381">
        <v>2</v>
      </c>
      <c r="N170" s="3381" t="s">
        <v>3124</v>
      </c>
      <c r="O170" s="3340" t="s">
        <v>3125</v>
      </c>
    </row>
    <row r="171" spans="1:15">
      <c r="A171" s="3587"/>
      <c r="B171" s="3587"/>
      <c r="C171" s="3587"/>
      <c r="D171" s="3579" t="s">
        <v>3334</v>
      </c>
      <c r="E171" s="3353" t="s">
        <v>3326</v>
      </c>
      <c r="F171" s="3353" t="s">
        <v>3335</v>
      </c>
      <c r="G171" s="3349" t="s">
        <v>3336</v>
      </c>
      <c r="H171" s="3349">
        <v>49.5</v>
      </c>
      <c r="I171" s="3349">
        <f t="shared" si="8"/>
        <v>49.5</v>
      </c>
      <c r="J171" s="3389">
        <v>0</v>
      </c>
      <c r="K171" s="3389"/>
      <c r="L171" s="3582"/>
      <c r="M171" s="3381">
        <v>1</v>
      </c>
      <c r="N171" s="3381" t="s">
        <v>3124</v>
      </c>
      <c r="O171" s="3340" t="s">
        <v>3125</v>
      </c>
    </row>
    <row r="172" spans="1:15">
      <c r="A172" s="3587"/>
      <c r="B172" s="3587"/>
      <c r="C172" s="3587"/>
      <c r="D172" s="3580"/>
      <c r="E172" s="3353" t="s">
        <v>3326</v>
      </c>
      <c r="F172" s="3353" t="s">
        <v>3337</v>
      </c>
      <c r="G172" s="3347" t="s">
        <v>3338</v>
      </c>
      <c r="H172" s="3386">
        <v>1061.51</v>
      </c>
      <c r="I172" s="3386">
        <f t="shared" si="8"/>
        <v>1061.51</v>
      </c>
      <c r="J172" s="3381">
        <v>0</v>
      </c>
      <c r="K172" s="3381"/>
      <c r="L172" s="3582"/>
      <c r="M172" s="3381">
        <v>2</v>
      </c>
      <c r="N172" s="3381" t="s">
        <v>3124</v>
      </c>
      <c r="O172" s="3340" t="s">
        <v>3153</v>
      </c>
    </row>
    <row r="173" spans="1:15" ht="36">
      <c r="A173" s="3587"/>
      <c r="B173" s="3587"/>
      <c r="C173" s="3587"/>
      <c r="D173" s="3340" t="s">
        <v>3339</v>
      </c>
      <c r="E173" s="3353" t="s">
        <v>3326</v>
      </c>
      <c r="F173" s="3353" t="s">
        <v>3340</v>
      </c>
      <c r="G173" s="3347" t="s">
        <v>3157</v>
      </c>
      <c r="H173" s="3386">
        <v>81.900000000000006</v>
      </c>
      <c r="I173" s="3386">
        <f t="shared" si="8"/>
        <v>81.900000000000006</v>
      </c>
      <c r="J173" s="3381">
        <v>0</v>
      </c>
      <c r="K173" s="3381"/>
      <c r="L173" s="3582"/>
      <c r="M173" s="3381">
        <v>1</v>
      </c>
      <c r="N173" s="3381" t="s">
        <v>3124</v>
      </c>
      <c r="O173" s="3340" t="s">
        <v>3125</v>
      </c>
    </row>
    <row r="174" spans="1:15">
      <c r="A174" s="3587"/>
      <c r="B174" s="3587"/>
      <c r="C174" s="3587"/>
      <c r="D174" s="3579" t="s">
        <v>3325</v>
      </c>
      <c r="E174" s="3353" t="s">
        <v>3326</v>
      </c>
      <c r="F174" s="3353" t="s">
        <v>3223</v>
      </c>
      <c r="G174" s="3347" t="s">
        <v>3233</v>
      </c>
      <c r="H174" s="3386">
        <v>110.45</v>
      </c>
      <c r="I174" s="3386">
        <f t="shared" si="8"/>
        <v>110.45</v>
      </c>
      <c r="J174" s="3381">
        <v>0</v>
      </c>
      <c r="K174" s="3381"/>
      <c r="L174" s="3582"/>
      <c r="M174" s="3381">
        <v>1</v>
      </c>
      <c r="N174" s="3381" t="s">
        <v>3124</v>
      </c>
      <c r="O174" s="3340" t="s">
        <v>3125</v>
      </c>
    </row>
    <row r="175" spans="1:15">
      <c r="A175" s="3587"/>
      <c r="B175" s="3587"/>
      <c r="C175" s="3587"/>
      <c r="D175" s="3582"/>
      <c r="E175" s="3353" t="s">
        <v>3326</v>
      </c>
      <c r="F175" s="3353" t="s">
        <v>3341</v>
      </c>
      <c r="G175" s="3347" t="s">
        <v>3233</v>
      </c>
      <c r="H175" s="3386">
        <v>58.88</v>
      </c>
      <c r="I175" s="3386">
        <f t="shared" si="8"/>
        <v>58.88</v>
      </c>
      <c r="J175" s="3381">
        <v>0</v>
      </c>
      <c r="K175" s="3381"/>
      <c r="L175" s="3582"/>
      <c r="M175" s="3381">
        <v>1</v>
      </c>
      <c r="N175" s="3381" t="s">
        <v>3124</v>
      </c>
      <c r="O175" s="3340" t="s">
        <v>3125</v>
      </c>
    </row>
    <row r="176" spans="1:15">
      <c r="A176" s="3587"/>
      <c r="B176" s="3587"/>
      <c r="C176" s="3587"/>
      <c r="D176" s="3582"/>
      <c r="E176" s="3353" t="s">
        <v>3326</v>
      </c>
      <c r="F176" s="3353" t="s">
        <v>3226</v>
      </c>
      <c r="G176" s="3347" t="s">
        <v>3233</v>
      </c>
      <c r="H176" s="3386">
        <v>14.82</v>
      </c>
      <c r="I176" s="3386">
        <f t="shared" si="8"/>
        <v>14.82</v>
      </c>
      <c r="J176" s="3381">
        <v>0</v>
      </c>
      <c r="K176" s="3381"/>
      <c r="L176" s="3582"/>
      <c r="M176" s="3381">
        <v>1</v>
      </c>
      <c r="N176" s="3381" t="s">
        <v>3124</v>
      </c>
      <c r="O176" s="3340" t="s">
        <v>3125</v>
      </c>
    </row>
    <row r="177" spans="1:15">
      <c r="A177" s="3587"/>
      <c r="B177" s="3587"/>
      <c r="C177" s="3587"/>
      <c r="D177" s="3582"/>
      <c r="E177" s="3353" t="s">
        <v>3326</v>
      </c>
      <c r="F177" s="3353" t="s">
        <v>3227</v>
      </c>
      <c r="G177" s="3347" t="s">
        <v>3233</v>
      </c>
      <c r="H177" s="3386">
        <v>40.75</v>
      </c>
      <c r="I177" s="3386">
        <f t="shared" si="8"/>
        <v>40.75</v>
      </c>
      <c r="J177" s="3381">
        <v>0</v>
      </c>
      <c r="K177" s="3381"/>
      <c r="L177" s="3582"/>
      <c r="M177" s="3381">
        <v>1</v>
      </c>
      <c r="N177" s="3381" t="s">
        <v>3124</v>
      </c>
      <c r="O177" s="3340" t="s">
        <v>3125</v>
      </c>
    </row>
    <row r="178" spans="1:15">
      <c r="A178" s="3587"/>
      <c r="B178" s="3587"/>
      <c r="C178" s="3587"/>
      <c r="D178" s="3582"/>
      <c r="E178" s="3353" t="s">
        <v>3326</v>
      </c>
      <c r="F178" s="3353" t="s">
        <v>3342</v>
      </c>
      <c r="G178" s="3347" t="s">
        <v>3233</v>
      </c>
      <c r="H178" s="3386">
        <v>34.71</v>
      </c>
      <c r="I178" s="3386">
        <f t="shared" si="8"/>
        <v>34.71</v>
      </c>
      <c r="J178" s="3381">
        <v>0</v>
      </c>
      <c r="K178" s="3381"/>
      <c r="L178" s="3582"/>
      <c r="M178" s="3381">
        <v>1</v>
      </c>
      <c r="N178" s="3381" t="s">
        <v>3124</v>
      </c>
      <c r="O178" s="3340" t="s">
        <v>3125</v>
      </c>
    </row>
    <row r="179" spans="1:15">
      <c r="A179" s="3587"/>
      <c r="B179" s="3587"/>
      <c r="C179" s="3587"/>
      <c r="D179" s="3582"/>
      <c r="E179" s="3353" t="s">
        <v>3326</v>
      </c>
      <c r="F179" s="3353" t="s">
        <v>3343</v>
      </c>
      <c r="G179" s="3347" t="s">
        <v>3233</v>
      </c>
      <c r="H179" s="3386">
        <v>43.5</v>
      </c>
      <c r="I179" s="3386">
        <f t="shared" si="8"/>
        <v>43.5</v>
      </c>
      <c r="J179" s="3381">
        <v>0</v>
      </c>
      <c r="K179" s="3381"/>
      <c r="L179" s="3582"/>
      <c r="M179" s="3381">
        <v>1</v>
      </c>
      <c r="N179" s="3381" t="s">
        <v>3124</v>
      </c>
      <c r="O179" s="3340" t="s">
        <v>3125</v>
      </c>
    </row>
    <row r="180" spans="1:15">
      <c r="A180" s="3587"/>
      <c r="B180" s="3587"/>
      <c r="C180" s="3587"/>
      <c r="D180" s="3582"/>
      <c r="E180" s="3353" t="s">
        <v>3326</v>
      </c>
      <c r="F180" s="3353" t="s">
        <v>3231</v>
      </c>
      <c r="G180" s="3347" t="s">
        <v>3233</v>
      </c>
      <c r="H180" s="3386">
        <v>33.200000000000003</v>
      </c>
      <c r="I180" s="3386">
        <f t="shared" si="8"/>
        <v>33.200000000000003</v>
      </c>
      <c r="J180" s="3381">
        <v>0</v>
      </c>
      <c r="K180" s="3381"/>
      <c r="L180" s="3582"/>
      <c r="M180" s="3381">
        <v>1</v>
      </c>
      <c r="N180" s="3381" t="s">
        <v>3124</v>
      </c>
      <c r="O180" s="3340" t="s">
        <v>3125</v>
      </c>
    </row>
    <row r="181" spans="1:15">
      <c r="A181" s="3587"/>
      <c r="B181" s="3587"/>
      <c r="C181" s="3587"/>
      <c r="D181" s="3582"/>
      <c r="E181" s="3353" t="s">
        <v>3326</v>
      </c>
      <c r="F181" s="3353" t="s">
        <v>3344</v>
      </c>
      <c r="G181" s="3347" t="s">
        <v>3233</v>
      </c>
      <c r="H181" s="3386">
        <v>27.6</v>
      </c>
      <c r="I181" s="3386">
        <f t="shared" si="8"/>
        <v>27.6</v>
      </c>
      <c r="J181" s="3381">
        <v>0</v>
      </c>
      <c r="K181" s="3381"/>
      <c r="L181" s="3582"/>
      <c r="M181" s="3381">
        <v>1</v>
      </c>
      <c r="N181" s="3381" t="s">
        <v>3124</v>
      </c>
      <c r="O181" s="3340" t="s">
        <v>3125</v>
      </c>
    </row>
    <row r="182" spans="1:15">
      <c r="A182" s="3587"/>
      <c r="B182" s="3587"/>
      <c r="C182" s="3587"/>
      <c r="D182" s="3582"/>
      <c r="E182" s="3353" t="s">
        <v>3326</v>
      </c>
      <c r="F182" s="3353" t="s">
        <v>3234</v>
      </c>
      <c r="G182" s="3347" t="s">
        <v>3233</v>
      </c>
      <c r="H182" s="3386">
        <v>92.66</v>
      </c>
      <c r="I182" s="3386">
        <f t="shared" si="8"/>
        <v>92.66</v>
      </c>
      <c r="J182" s="3381">
        <v>0</v>
      </c>
      <c r="K182" s="3381"/>
      <c r="L182" s="3582"/>
      <c r="M182" s="3381">
        <v>1</v>
      </c>
      <c r="N182" s="3381" t="s">
        <v>3124</v>
      </c>
      <c r="O182" s="3340" t="s">
        <v>3125</v>
      </c>
    </row>
    <row r="183" spans="1:15">
      <c r="A183" s="3587"/>
      <c r="B183" s="3587"/>
      <c r="C183" s="3587"/>
      <c r="D183" s="3582"/>
      <c r="E183" s="3353" t="s">
        <v>3326</v>
      </c>
      <c r="F183" s="3353" t="s">
        <v>3135</v>
      </c>
      <c r="G183" s="3347" t="s">
        <v>3233</v>
      </c>
      <c r="H183" s="3386">
        <v>62.06</v>
      </c>
      <c r="I183" s="3386">
        <f t="shared" si="8"/>
        <v>62.06</v>
      </c>
      <c r="J183" s="3381">
        <v>0</v>
      </c>
      <c r="K183" s="3381"/>
      <c r="L183" s="3582"/>
      <c r="M183" s="3381">
        <v>1</v>
      </c>
      <c r="N183" s="3381" t="s">
        <v>3124</v>
      </c>
      <c r="O183" s="3340" t="s">
        <v>3125</v>
      </c>
    </row>
    <row r="184" spans="1:15">
      <c r="A184" s="3587"/>
      <c r="B184" s="3587"/>
      <c r="C184" s="3587"/>
      <c r="D184" s="3582"/>
      <c r="E184" s="3353" t="s">
        <v>3326</v>
      </c>
      <c r="F184" s="3353" t="s">
        <v>3136</v>
      </c>
      <c r="G184" s="3347" t="s">
        <v>3233</v>
      </c>
      <c r="H184" s="3386">
        <v>81.900000000000006</v>
      </c>
      <c r="I184" s="3386">
        <f t="shared" si="8"/>
        <v>81.900000000000006</v>
      </c>
      <c r="J184" s="3381">
        <v>0</v>
      </c>
      <c r="K184" s="3381"/>
      <c r="L184" s="3582"/>
      <c r="M184" s="3381">
        <v>1</v>
      </c>
      <c r="N184" s="3381" t="s">
        <v>3124</v>
      </c>
      <c r="O184" s="3340" t="s">
        <v>3125</v>
      </c>
    </row>
    <row r="185" spans="1:15">
      <c r="A185" s="3587"/>
      <c r="B185" s="3587"/>
      <c r="C185" s="3587"/>
      <c r="D185" s="3582"/>
      <c r="E185" s="3353" t="s">
        <v>3326</v>
      </c>
      <c r="F185" s="3353" t="s">
        <v>3137</v>
      </c>
      <c r="G185" s="3347" t="s">
        <v>3233</v>
      </c>
      <c r="H185" s="3386">
        <v>15.92</v>
      </c>
      <c r="I185" s="3386">
        <f t="shared" si="8"/>
        <v>15.92</v>
      </c>
      <c r="J185" s="3381">
        <v>0</v>
      </c>
      <c r="K185" s="3381"/>
      <c r="L185" s="3582"/>
      <c r="M185" s="3381">
        <v>1</v>
      </c>
      <c r="N185" s="3381" t="s">
        <v>3124</v>
      </c>
      <c r="O185" s="3340" t="s">
        <v>3125</v>
      </c>
    </row>
    <row r="186" spans="1:15">
      <c r="A186" s="3587"/>
      <c r="B186" s="3587"/>
      <c r="C186" s="3587"/>
      <c r="D186" s="3582"/>
      <c r="E186" s="3353" t="s">
        <v>3326</v>
      </c>
      <c r="F186" s="3353" t="s">
        <v>3345</v>
      </c>
      <c r="G186" s="3347" t="s">
        <v>3233</v>
      </c>
      <c r="H186" s="3386">
        <v>30.41</v>
      </c>
      <c r="I186" s="3386">
        <f t="shared" si="8"/>
        <v>30.41</v>
      </c>
      <c r="J186" s="3381">
        <v>0</v>
      </c>
      <c r="K186" s="3381"/>
      <c r="L186" s="3582"/>
      <c r="M186" s="3381">
        <v>1</v>
      </c>
      <c r="N186" s="3381" t="s">
        <v>3124</v>
      </c>
      <c r="O186" s="3340" t="s">
        <v>3125</v>
      </c>
    </row>
    <row r="187" spans="1:15">
      <c r="A187" s="3587"/>
      <c r="B187" s="3587"/>
      <c r="C187" s="3587"/>
      <c r="D187" s="3582"/>
      <c r="E187" s="3353" t="s">
        <v>3326</v>
      </c>
      <c r="F187" s="3353" t="s">
        <v>3241</v>
      </c>
      <c r="G187" s="3347" t="s">
        <v>3233</v>
      </c>
      <c r="H187" s="3386">
        <v>50.4</v>
      </c>
      <c r="I187" s="3386">
        <f t="shared" si="8"/>
        <v>50.4</v>
      </c>
      <c r="J187" s="3381">
        <v>0</v>
      </c>
      <c r="K187" s="3381"/>
      <c r="L187" s="3582"/>
      <c r="M187" s="3381">
        <v>1</v>
      </c>
      <c r="N187" s="3381" t="s">
        <v>3124</v>
      </c>
      <c r="O187" s="3340" t="s">
        <v>3125</v>
      </c>
    </row>
    <row r="188" spans="1:15">
      <c r="A188" s="3587"/>
      <c r="B188" s="3587"/>
      <c r="C188" s="3587"/>
      <c r="D188" s="3582"/>
      <c r="E188" s="3353" t="s">
        <v>3326</v>
      </c>
      <c r="F188" s="3353" t="s">
        <v>3346</v>
      </c>
      <c r="G188" s="3347" t="s">
        <v>3233</v>
      </c>
      <c r="H188" s="3386">
        <v>65.03</v>
      </c>
      <c r="I188" s="3386">
        <f t="shared" si="8"/>
        <v>65.03</v>
      </c>
      <c r="J188" s="3381">
        <v>0</v>
      </c>
      <c r="K188" s="3381"/>
      <c r="L188" s="3582"/>
      <c r="M188" s="3381">
        <v>1</v>
      </c>
      <c r="N188" s="3381" t="s">
        <v>3124</v>
      </c>
      <c r="O188" s="3340" t="s">
        <v>3125</v>
      </c>
    </row>
    <row r="189" spans="1:15">
      <c r="A189" s="3587"/>
      <c r="B189" s="3587"/>
      <c r="C189" s="3587"/>
      <c r="D189" s="3582"/>
      <c r="E189" s="3353" t="s">
        <v>3326</v>
      </c>
      <c r="F189" s="3353" t="s">
        <v>3347</v>
      </c>
      <c r="G189" s="3347" t="s">
        <v>3233</v>
      </c>
      <c r="H189" s="3386">
        <v>57.72</v>
      </c>
      <c r="I189" s="3386">
        <f t="shared" si="8"/>
        <v>57.72</v>
      </c>
      <c r="J189" s="3381">
        <v>0</v>
      </c>
      <c r="K189" s="3381"/>
      <c r="L189" s="3582"/>
      <c r="M189" s="3381">
        <v>1</v>
      </c>
      <c r="N189" s="3381" t="s">
        <v>3124</v>
      </c>
      <c r="O189" s="3340" t="s">
        <v>3125</v>
      </c>
    </row>
    <row r="190" spans="1:15">
      <c r="A190" s="3587"/>
      <c r="B190" s="3587"/>
      <c r="C190" s="3587"/>
      <c r="D190" s="3582"/>
      <c r="E190" s="3353" t="s">
        <v>3326</v>
      </c>
      <c r="F190" s="3353" t="s">
        <v>3348</v>
      </c>
      <c r="G190" s="3347" t="s">
        <v>3233</v>
      </c>
      <c r="H190" s="3386">
        <v>31.5</v>
      </c>
      <c r="I190" s="3386">
        <f t="shared" si="8"/>
        <v>31.5</v>
      </c>
      <c r="J190" s="3381">
        <v>0</v>
      </c>
      <c r="K190" s="3381"/>
      <c r="L190" s="3582"/>
      <c r="M190" s="3381">
        <v>1</v>
      </c>
      <c r="N190" s="3381" t="s">
        <v>3124</v>
      </c>
      <c r="O190" s="3340" t="s">
        <v>3125</v>
      </c>
    </row>
    <row r="191" spans="1:15">
      <c r="A191" s="3587"/>
      <c r="B191" s="3587"/>
      <c r="C191" s="3587"/>
      <c r="D191" s="3582"/>
      <c r="E191" s="3353" t="s">
        <v>3326</v>
      </c>
      <c r="F191" s="3353" t="s">
        <v>3349</v>
      </c>
      <c r="G191" s="3347" t="s">
        <v>3233</v>
      </c>
      <c r="H191" s="3386">
        <v>79.22</v>
      </c>
      <c r="I191" s="3386">
        <f t="shared" si="8"/>
        <v>79.22</v>
      </c>
      <c r="J191" s="3381">
        <v>0</v>
      </c>
      <c r="K191" s="3381"/>
      <c r="L191" s="3582"/>
      <c r="M191" s="3381">
        <v>1</v>
      </c>
      <c r="N191" s="3381" t="s">
        <v>3124</v>
      </c>
      <c r="O191" s="3340" t="s">
        <v>3125</v>
      </c>
    </row>
    <row r="192" spans="1:15">
      <c r="A192" s="3587"/>
      <c r="B192" s="3587"/>
      <c r="C192" s="3587"/>
      <c r="D192" s="3582"/>
      <c r="E192" s="3353" t="s">
        <v>3326</v>
      </c>
      <c r="F192" s="3353" t="s">
        <v>3350</v>
      </c>
      <c r="G192" s="3347" t="s">
        <v>3233</v>
      </c>
      <c r="H192" s="3386">
        <v>53.58</v>
      </c>
      <c r="I192" s="3386">
        <f t="shared" si="8"/>
        <v>53.58</v>
      </c>
      <c r="J192" s="3381">
        <v>0</v>
      </c>
      <c r="K192" s="3381"/>
      <c r="L192" s="3582"/>
      <c r="M192" s="3381">
        <v>1</v>
      </c>
      <c r="N192" s="3381" t="s">
        <v>3124</v>
      </c>
      <c r="O192" s="3340" t="s">
        <v>3125</v>
      </c>
    </row>
    <row r="193" spans="1:15">
      <c r="A193" s="3587"/>
      <c r="B193" s="3587"/>
      <c r="C193" s="3587"/>
      <c r="D193" s="3582"/>
      <c r="E193" s="3353" t="s">
        <v>3326</v>
      </c>
      <c r="F193" s="3353" t="s">
        <v>3351</v>
      </c>
      <c r="G193" s="3347" t="s">
        <v>3233</v>
      </c>
      <c r="H193" s="3386">
        <v>31.5</v>
      </c>
      <c r="I193" s="3386">
        <f t="shared" si="8"/>
        <v>31.5</v>
      </c>
      <c r="J193" s="3381">
        <v>0</v>
      </c>
      <c r="K193" s="3381"/>
      <c r="L193" s="3582"/>
      <c r="M193" s="3381">
        <v>1</v>
      </c>
      <c r="N193" s="3381" t="s">
        <v>3124</v>
      </c>
      <c r="O193" s="3340" t="s">
        <v>3125</v>
      </c>
    </row>
    <row r="194" spans="1:15">
      <c r="A194" s="3587"/>
      <c r="B194" s="3587"/>
      <c r="C194" s="3587"/>
      <c r="D194" s="3580"/>
      <c r="E194" s="3353" t="s">
        <v>3326</v>
      </c>
      <c r="F194" s="3353" t="s">
        <v>3248</v>
      </c>
      <c r="G194" s="3347" t="s">
        <v>3233</v>
      </c>
      <c r="H194" s="3386">
        <v>86.56</v>
      </c>
      <c r="I194" s="3386">
        <f t="shared" si="8"/>
        <v>86.56</v>
      </c>
      <c r="J194" s="3381">
        <v>0</v>
      </c>
      <c r="K194" s="3381"/>
      <c r="L194" s="3582"/>
      <c r="M194" s="3381">
        <v>2</v>
      </c>
      <c r="N194" s="3381" t="s">
        <v>3124</v>
      </c>
      <c r="O194" s="3340" t="s">
        <v>3125</v>
      </c>
    </row>
    <row r="195" spans="1:15" ht="36">
      <c r="A195" s="3587"/>
      <c r="B195" s="3587"/>
      <c r="C195" s="3587"/>
      <c r="D195" s="3340" t="s">
        <v>3339</v>
      </c>
      <c r="E195" s="3353" t="s">
        <v>3326</v>
      </c>
      <c r="F195" s="3353" t="s">
        <v>3250</v>
      </c>
      <c r="G195" s="3347" t="s">
        <v>3332</v>
      </c>
      <c r="H195" s="3386">
        <v>134.15</v>
      </c>
      <c r="I195" s="3386">
        <f t="shared" si="8"/>
        <v>134.15</v>
      </c>
      <c r="J195" s="3381">
        <v>0</v>
      </c>
      <c r="K195" s="3381"/>
      <c r="L195" s="3582"/>
      <c r="M195" s="3381">
        <v>1</v>
      </c>
      <c r="N195" s="3381" t="s">
        <v>3124</v>
      </c>
      <c r="O195" s="3340" t="s">
        <v>3153</v>
      </c>
    </row>
    <row r="196" spans="1:15" ht="36">
      <c r="A196" s="3587"/>
      <c r="B196" s="3587"/>
      <c r="C196" s="3587"/>
      <c r="D196" s="3340" t="s">
        <v>3334</v>
      </c>
      <c r="E196" s="3353" t="s">
        <v>3326</v>
      </c>
      <c r="F196" s="3353" t="s">
        <v>3252</v>
      </c>
      <c r="G196" s="3347" t="s">
        <v>3332</v>
      </c>
      <c r="H196" s="3386">
        <v>433.08</v>
      </c>
      <c r="I196" s="3386">
        <f t="shared" si="8"/>
        <v>433.08</v>
      </c>
      <c r="J196" s="3381">
        <v>0</v>
      </c>
      <c r="K196" s="3381"/>
      <c r="L196" s="3582"/>
      <c r="M196" s="3381">
        <v>2</v>
      </c>
      <c r="N196" s="3381" t="s">
        <v>3124</v>
      </c>
      <c r="O196" s="3340" t="s">
        <v>3125</v>
      </c>
    </row>
    <row r="197" spans="1:15">
      <c r="A197" s="3587"/>
      <c r="B197" s="3587"/>
      <c r="C197" s="3587"/>
      <c r="D197" s="3579" t="s">
        <v>3339</v>
      </c>
      <c r="E197" s="3353" t="s">
        <v>3326</v>
      </c>
      <c r="F197" s="3353" t="s">
        <v>3253</v>
      </c>
      <c r="G197" s="3349" t="s">
        <v>3352</v>
      </c>
      <c r="H197" s="3349">
        <v>133.19</v>
      </c>
      <c r="I197" s="3349">
        <f>H197</f>
        <v>133.19</v>
      </c>
      <c r="J197" s="3389">
        <v>0</v>
      </c>
      <c r="K197" s="3389"/>
      <c r="L197" s="3582"/>
      <c r="M197" s="3381">
        <v>1</v>
      </c>
      <c r="N197" s="3381" t="s">
        <v>23</v>
      </c>
      <c r="O197" s="3340" t="s">
        <v>3113</v>
      </c>
    </row>
    <row r="198" spans="1:15">
      <c r="A198" s="3587"/>
      <c r="B198" s="3587"/>
      <c r="C198" s="3587"/>
      <c r="D198" s="3582"/>
      <c r="E198" s="3353" t="s">
        <v>3327</v>
      </c>
      <c r="F198" s="3353" t="s">
        <v>3353</v>
      </c>
      <c r="G198" s="3347" t="s">
        <v>3246</v>
      </c>
      <c r="H198" s="3386">
        <v>65.84</v>
      </c>
      <c r="I198" s="3386">
        <f>H198</f>
        <v>65.84</v>
      </c>
      <c r="J198" s="3381">
        <v>0</v>
      </c>
      <c r="K198" s="3381"/>
      <c r="L198" s="3582"/>
      <c r="M198" s="3381">
        <v>1</v>
      </c>
      <c r="N198" s="3381" t="s">
        <v>3124</v>
      </c>
      <c r="O198" s="3340" t="s">
        <v>3125</v>
      </c>
    </row>
    <row r="199" spans="1:15">
      <c r="A199" s="3587"/>
      <c r="B199" s="3587"/>
      <c r="C199" s="3587"/>
      <c r="D199" s="3582"/>
      <c r="E199" s="3353" t="s">
        <v>3326</v>
      </c>
      <c r="F199" s="3353" t="s">
        <v>3257</v>
      </c>
      <c r="G199" s="3347" t="s">
        <v>3157</v>
      </c>
      <c r="H199" s="3386">
        <v>15.75</v>
      </c>
      <c r="I199" s="3386">
        <f t="shared" ref="I199:I207" si="9">H199</f>
        <v>15.75</v>
      </c>
      <c r="J199" s="3381">
        <v>0</v>
      </c>
      <c r="K199" s="3381"/>
      <c r="L199" s="3582"/>
      <c r="M199" s="3381">
        <v>1</v>
      </c>
      <c r="N199" s="3381" t="s">
        <v>23</v>
      </c>
      <c r="O199" s="3340" t="s">
        <v>3113</v>
      </c>
    </row>
    <row r="200" spans="1:15">
      <c r="A200" s="3587"/>
      <c r="B200" s="3587"/>
      <c r="C200" s="3587"/>
      <c r="D200" s="3582"/>
      <c r="E200" s="3353" t="s">
        <v>3327</v>
      </c>
      <c r="F200" s="3353" t="s">
        <v>3150</v>
      </c>
      <c r="G200" s="3347" t="s">
        <v>3117</v>
      </c>
      <c r="H200" s="3386">
        <v>20.3</v>
      </c>
      <c r="I200" s="3386">
        <f t="shared" si="9"/>
        <v>20.3</v>
      </c>
      <c r="J200" s="3381">
        <v>0</v>
      </c>
      <c r="K200" s="3381"/>
      <c r="L200" s="3582"/>
      <c r="M200" s="3381">
        <v>1</v>
      </c>
      <c r="N200" s="3381" t="s">
        <v>23</v>
      </c>
      <c r="O200" s="3340" t="s">
        <v>3113</v>
      </c>
    </row>
    <row r="201" spans="1:15">
      <c r="A201" s="3587"/>
      <c r="B201" s="3587"/>
      <c r="C201" s="3587"/>
      <c r="D201" s="3582"/>
      <c r="E201" s="3353" t="s">
        <v>3327</v>
      </c>
      <c r="F201" s="3353" t="s">
        <v>3151</v>
      </c>
      <c r="G201" s="3347" t="s">
        <v>3117</v>
      </c>
      <c r="H201" s="3386">
        <v>54.12</v>
      </c>
      <c r="I201" s="3386">
        <f t="shared" si="9"/>
        <v>54.12</v>
      </c>
      <c r="J201" s="3381">
        <v>0</v>
      </c>
      <c r="K201" s="3381"/>
      <c r="L201" s="3582"/>
      <c r="M201" s="3381">
        <v>1</v>
      </c>
      <c r="N201" s="3381" t="s">
        <v>23</v>
      </c>
      <c r="O201" s="3340" t="s">
        <v>3113</v>
      </c>
    </row>
    <row r="202" spans="1:15">
      <c r="A202" s="3587"/>
      <c r="B202" s="3587"/>
      <c r="C202" s="3587"/>
      <c r="D202" s="3582"/>
      <c r="E202" s="3353" t="s">
        <v>3327</v>
      </c>
      <c r="F202" s="3353" t="s">
        <v>3152</v>
      </c>
      <c r="G202" s="3347" t="s">
        <v>3117</v>
      </c>
      <c r="H202" s="3386">
        <v>29.8</v>
      </c>
      <c r="I202" s="3386">
        <f t="shared" si="9"/>
        <v>29.8</v>
      </c>
      <c r="J202" s="3381">
        <v>0</v>
      </c>
      <c r="K202" s="3381"/>
      <c r="L202" s="3582"/>
      <c r="M202" s="3381">
        <v>1</v>
      </c>
      <c r="N202" s="3381" t="s">
        <v>23</v>
      </c>
      <c r="O202" s="3340" t="s">
        <v>3113</v>
      </c>
    </row>
    <row r="203" spans="1:15">
      <c r="A203" s="3587"/>
      <c r="B203" s="3587"/>
      <c r="C203" s="3587"/>
      <c r="D203" s="3582"/>
      <c r="E203" s="3353" t="s">
        <v>3327</v>
      </c>
      <c r="F203" s="3353" t="s">
        <v>3354</v>
      </c>
      <c r="G203" s="3347" t="s">
        <v>3117</v>
      </c>
      <c r="H203" s="3386">
        <v>29.57</v>
      </c>
      <c r="I203" s="3386">
        <f t="shared" si="9"/>
        <v>29.57</v>
      </c>
      <c r="J203" s="3381">
        <v>0</v>
      </c>
      <c r="K203" s="3381"/>
      <c r="L203" s="3582"/>
      <c r="M203" s="3381">
        <v>1</v>
      </c>
      <c r="N203" s="3381" t="s">
        <v>23</v>
      </c>
      <c r="O203" s="3340" t="s">
        <v>3113</v>
      </c>
    </row>
    <row r="204" spans="1:15">
      <c r="A204" s="3587"/>
      <c r="B204" s="3587"/>
      <c r="C204" s="3587"/>
      <c r="D204" s="3582"/>
      <c r="E204" s="3353" t="s">
        <v>3327</v>
      </c>
      <c r="F204" s="3353" t="s">
        <v>3355</v>
      </c>
      <c r="G204" s="3347" t="s">
        <v>3117</v>
      </c>
      <c r="H204" s="3386">
        <v>28.34</v>
      </c>
      <c r="I204" s="3386">
        <f t="shared" si="9"/>
        <v>28.34</v>
      </c>
      <c r="J204" s="3381">
        <v>0</v>
      </c>
      <c r="K204" s="3381"/>
      <c r="L204" s="3582"/>
      <c r="M204" s="3381">
        <v>1</v>
      </c>
      <c r="N204" s="3381" t="s">
        <v>23</v>
      </c>
      <c r="O204" s="3340" t="s">
        <v>3113</v>
      </c>
    </row>
    <row r="205" spans="1:15">
      <c r="A205" s="3587"/>
      <c r="B205" s="3587"/>
      <c r="C205" s="3587"/>
      <c r="D205" s="3582"/>
      <c r="E205" s="3353" t="s">
        <v>3327</v>
      </c>
      <c r="F205" s="3353" t="s">
        <v>3356</v>
      </c>
      <c r="G205" s="3347" t="s">
        <v>3117</v>
      </c>
      <c r="H205" s="3386">
        <v>43.12</v>
      </c>
      <c r="I205" s="3386">
        <f t="shared" si="9"/>
        <v>43.12</v>
      </c>
      <c r="J205" s="3381">
        <v>0</v>
      </c>
      <c r="K205" s="3381"/>
      <c r="L205" s="3582"/>
      <c r="M205" s="3381">
        <v>1</v>
      </c>
      <c r="N205" s="3381" t="s">
        <v>23</v>
      </c>
      <c r="O205" s="3340" t="s">
        <v>3113</v>
      </c>
    </row>
    <row r="206" spans="1:15">
      <c r="A206" s="3587"/>
      <c r="B206" s="3587"/>
      <c r="C206" s="3587"/>
      <c r="D206" s="3582"/>
      <c r="E206" s="3353" t="s">
        <v>3327</v>
      </c>
      <c r="F206" s="3353" t="s">
        <v>3357</v>
      </c>
      <c r="G206" s="3347" t="s">
        <v>3117</v>
      </c>
      <c r="H206" s="3386">
        <v>8.06</v>
      </c>
      <c r="I206" s="3386">
        <f t="shared" si="9"/>
        <v>8.06</v>
      </c>
      <c r="J206" s="3381">
        <v>0</v>
      </c>
      <c r="K206" s="3381"/>
      <c r="L206" s="3582"/>
      <c r="M206" s="3381">
        <v>1</v>
      </c>
      <c r="N206" s="3381" t="s">
        <v>23</v>
      </c>
      <c r="O206" s="3340" t="s">
        <v>3113</v>
      </c>
    </row>
    <row r="207" spans="1:15">
      <c r="A207" s="3587"/>
      <c r="B207" s="3587"/>
      <c r="C207" s="3587"/>
      <c r="D207" s="3580"/>
      <c r="E207" s="3353" t="s">
        <v>3327</v>
      </c>
      <c r="F207" s="3353" t="s">
        <v>3358</v>
      </c>
      <c r="G207" s="3347" t="s">
        <v>3117</v>
      </c>
      <c r="H207" s="3386">
        <v>149.32</v>
      </c>
      <c r="I207" s="3386">
        <f t="shared" si="9"/>
        <v>149.32</v>
      </c>
      <c r="J207" s="3381">
        <v>0</v>
      </c>
      <c r="K207" s="3381"/>
      <c r="L207" s="3582"/>
      <c r="M207" s="3381">
        <v>2</v>
      </c>
      <c r="N207" s="3381" t="s">
        <v>23</v>
      </c>
      <c r="O207" s="3340" t="s">
        <v>3113</v>
      </c>
    </row>
    <row r="208" spans="1:15" ht="36">
      <c r="A208" s="3587"/>
      <c r="B208" s="3587"/>
      <c r="C208" s="3589"/>
      <c r="D208" s="3347" t="s">
        <v>3359</v>
      </c>
      <c r="E208" s="3347" t="s">
        <v>3327</v>
      </c>
      <c r="F208" s="3347" t="s">
        <v>3360</v>
      </c>
      <c r="G208" s="3347" t="s">
        <v>2565</v>
      </c>
      <c r="H208" s="3347">
        <v>328.6</v>
      </c>
      <c r="I208" s="3354">
        <v>292.69</v>
      </c>
      <c r="J208" s="3354">
        <v>35.909999999999997</v>
      </c>
      <c r="K208" s="3388"/>
      <c r="L208" s="3582"/>
      <c r="M208" s="3381">
        <v>1</v>
      </c>
      <c r="N208" s="3381" t="s">
        <v>23</v>
      </c>
      <c r="O208" s="3340" t="s">
        <v>3099</v>
      </c>
    </row>
    <row r="209" spans="1:15">
      <c r="A209" s="3587"/>
      <c r="B209" s="3587"/>
      <c r="C209" s="3587"/>
      <c r="D209" s="3579" t="s">
        <v>3361</v>
      </c>
      <c r="E209" s="3353" t="s">
        <v>3327</v>
      </c>
      <c r="F209" s="3353" t="s">
        <v>3362</v>
      </c>
      <c r="G209" s="3347" t="s">
        <v>3117</v>
      </c>
      <c r="H209" s="3386">
        <v>425.09</v>
      </c>
      <c r="I209" s="3386">
        <f t="shared" ref="I209:I231" si="10">H209</f>
        <v>425.09</v>
      </c>
      <c r="J209" s="3381">
        <v>0</v>
      </c>
      <c r="K209" s="3381"/>
      <c r="L209" s="3582"/>
      <c r="M209" s="3381">
        <v>2</v>
      </c>
      <c r="N209" s="3381" t="s">
        <v>3124</v>
      </c>
      <c r="O209" s="3340" t="s">
        <v>3125</v>
      </c>
    </row>
    <row r="210" spans="1:15">
      <c r="A210" s="3587"/>
      <c r="B210" s="3587"/>
      <c r="C210" s="3587"/>
      <c r="D210" s="3580"/>
      <c r="E210" s="3353" t="s">
        <v>3326</v>
      </c>
      <c r="F210" s="3353" t="s">
        <v>3274</v>
      </c>
      <c r="G210" s="3347" t="s">
        <v>3157</v>
      </c>
      <c r="H210" s="3386">
        <v>166.82</v>
      </c>
      <c r="I210" s="3386">
        <f t="shared" si="10"/>
        <v>166.82</v>
      </c>
      <c r="J210" s="3381">
        <v>0</v>
      </c>
      <c r="K210" s="3381"/>
      <c r="L210" s="3582"/>
      <c r="M210" s="3381">
        <v>2</v>
      </c>
      <c r="N210" s="3381" t="s">
        <v>3124</v>
      </c>
      <c r="O210" s="3340" t="s">
        <v>3125</v>
      </c>
    </row>
    <row r="211" spans="1:15" ht="36">
      <c r="A211" s="3587"/>
      <c r="B211" s="3587"/>
      <c r="C211" s="3587"/>
      <c r="D211" s="3340" t="s">
        <v>3334</v>
      </c>
      <c r="E211" s="3353" t="s">
        <v>3326</v>
      </c>
      <c r="F211" s="3353" t="s">
        <v>3276</v>
      </c>
      <c r="G211" s="3347" t="s">
        <v>3132</v>
      </c>
      <c r="H211" s="3386">
        <v>956.75</v>
      </c>
      <c r="I211" s="3386">
        <f t="shared" si="10"/>
        <v>956.75</v>
      </c>
      <c r="J211" s="3381">
        <v>0</v>
      </c>
      <c r="K211" s="3381"/>
      <c r="L211" s="3582"/>
      <c r="M211" s="3381">
        <v>2</v>
      </c>
      <c r="N211" s="3381" t="s">
        <v>3124</v>
      </c>
      <c r="O211" s="3340" t="s">
        <v>3125</v>
      </c>
    </row>
    <row r="212" spans="1:15">
      <c r="A212" s="3587"/>
      <c r="B212" s="3587"/>
      <c r="C212" s="3587"/>
      <c r="D212" s="3579" t="s">
        <v>3339</v>
      </c>
      <c r="E212" s="3353" t="s">
        <v>3326</v>
      </c>
      <c r="F212" s="3353" t="s">
        <v>3363</v>
      </c>
      <c r="G212" s="3347" t="s">
        <v>3157</v>
      </c>
      <c r="H212" s="3386">
        <v>30.42</v>
      </c>
      <c r="I212" s="3386">
        <f t="shared" si="10"/>
        <v>30.42</v>
      </c>
      <c r="J212" s="3381">
        <v>0</v>
      </c>
      <c r="K212" s="3381"/>
      <c r="L212" s="3582"/>
      <c r="M212" s="3381">
        <v>1</v>
      </c>
      <c r="N212" s="3381" t="s">
        <v>3124</v>
      </c>
      <c r="O212" s="3340" t="s">
        <v>3125</v>
      </c>
    </row>
    <row r="213" spans="1:15">
      <c r="A213" s="3587"/>
      <c r="B213" s="3587"/>
      <c r="C213" s="3587"/>
      <c r="D213" s="3582"/>
      <c r="E213" s="3353" t="s">
        <v>3326</v>
      </c>
      <c r="F213" s="3353" t="s">
        <v>3280</v>
      </c>
      <c r="G213" s="3347" t="s">
        <v>3157</v>
      </c>
      <c r="H213" s="3386">
        <v>190.63</v>
      </c>
      <c r="I213" s="3386">
        <f t="shared" si="10"/>
        <v>190.63</v>
      </c>
      <c r="J213" s="3381">
        <v>0</v>
      </c>
      <c r="K213" s="3381"/>
      <c r="L213" s="3582"/>
      <c r="M213" s="3381">
        <v>1</v>
      </c>
      <c r="N213" s="3381" t="s">
        <v>3124</v>
      </c>
      <c r="O213" s="3340" t="s">
        <v>3125</v>
      </c>
    </row>
    <row r="214" spans="1:15">
      <c r="A214" s="3587"/>
      <c r="B214" s="3587"/>
      <c r="C214" s="3587"/>
      <c r="D214" s="3582"/>
      <c r="E214" s="3353" t="s">
        <v>3326</v>
      </c>
      <c r="F214" s="3353" t="s">
        <v>3364</v>
      </c>
      <c r="G214" s="3347" t="s">
        <v>3157</v>
      </c>
      <c r="H214" s="3386">
        <v>165.1</v>
      </c>
      <c r="I214" s="3386">
        <f t="shared" si="10"/>
        <v>165.1</v>
      </c>
      <c r="J214" s="3381">
        <v>0</v>
      </c>
      <c r="K214" s="3381"/>
      <c r="L214" s="3582"/>
      <c r="M214" s="3381">
        <v>2</v>
      </c>
      <c r="N214" s="3381" t="s">
        <v>3124</v>
      </c>
      <c r="O214" s="3340" t="s">
        <v>3125</v>
      </c>
    </row>
    <row r="215" spans="1:15">
      <c r="A215" s="3587"/>
      <c r="B215" s="3587"/>
      <c r="C215" s="3587"/>
      <c r="D215" s="3582"/>
      <c r="E215" s="3353" t="s">
        <v>3326</v>
      </c>
      <c r="F215" s="3353" t="s">
        <v>3283</v>
      </c>
      <c r="G215" s="3347" t="s">
        <v>3157</v>
      </c>
      <c r="H215" s="3386">
        <v>15.14</v>
      </c>
      <c r="I215" s="3386">
        <f t="shared" si="10"/>
        <v>15.14</v>
      </c>
      <c r="J215" s="3381">
        <v>0</v>
      </c>
      <c r="K215" s="3381"/>
      <c r="L215" s="3582"/>
      <c r="M215" s="3381">
        <v>1</v>
      </c>
      <c r="N215" s="3381" t="s">
        <v>3124</v>
      </c>
      <c r="O215" s="3340" t="s">
        <v>3125</v>
      </c>
    </row>
    <row r="216" spans="1:15">
      <c r="A216" s="3587"/>
      <c r="B216" s="3587"/>
      <c r="C216" s="3587"/>
      <c r="D216" s="3582"/>
      <c r="E216" s="3353" t="s">
        <v>3326</v>
      </c>
      <c r="F216" s="3353" t="s">
        <v>3365</v>
      </c>
      <c r="G216" s="3347" t="s">
        <v>3157</v>
      </c>
      <c r="H216" s="3386">
        <v>53.9</v>
      </c>
      <c r="I216" s="3386">
        <f t="shared" si="10"/>
        <v>53.9</v>
      </c>
      <c r="J216" s="3381">
        <v>0</v>
      </c>
      <c r="K216" s="3381"/>
      <c r="L216" s="3582"/>
      <c r="M216" s="3381">
        <v>1</v>
      </c>
      <c r="N216" s="3381" t="s">
        <v>3124</v>
      </c>
      <c r="O216" s="3340" t="s">
        <v>3125</v>
      </c>
    </row>
    <row r="217" spans="1:15">
      <c r="A217" s="3587"/>
      <c r="B217" s="3587"/>
      <c r="C217" s="3587"/>
      <c r="D217" s="3582"/>
      <c r="E217" s="3353" t="s">
        <v>3326</v>
      </c>
      <c r="F217" s="3353" t="s">
        <v>3366</v>
      </c>
      <c r="G217" s="3347" t="s">
        <v>3157</v>
      </c>
      <c r="H217" s="3386">
        <v>44.27</v>
      </c>
      <c r="I217" s="3386">
        <f t="shared" si="10"/>
        <v>44.27</v>
      </c>
      <c r="J217" s="3381">
        <v>0</v>
      </c>
      <c r="K217" s="3381"/>
      <c r="L217" s="3582"/>
      <c r="M217" s="3381">
        <v>1</v>
      </c>
      <c r="N217" s="3381" t="s">
        <v>3124</v>
      </c>
      <c r="O217" s="3340" t="s">
        <v>3125</v>
      </c>
    </row>
    <row r="218" spans="1:15">
      <c r="A218" s="3587"/>
      <c r="B218" s="3587"/>
      <c r="C218" s="3587"/>
      <c r="D218" s="3582"/>
      <c r="E218" s="3353" t="s">
        <v>3326</v>
      </c>
      <c r="F218" s="3353" t="s">
        <v>3367</v>
      </c>
      <c r="G218" s="3347" t="s">
        <v>3157</v>
      </c>
      <c r="H218" s="3386">
        <v>46.46</v>
      </c>
      <c r="I218" s="3386">
        <f t="shared" si="10"/>
        <v>46.46</v>
      </c>
      <c r="J218" s="3381">
        <v>0</v>
      </c>
      <c r="K218" s="3381"/>
      <c r="L218" s="3582"/>
      <c r="M218" s="3381">
        <v>1</v>
      </c>
      <c r="N218" s="3381" t="s">
        <v>3124</v>
      </c>
      <c r="O218" s="3340" t="s">
        <v>3125</v>
      </c>
    </row>
    <row r="219" spans="1:15">
      <c r="A219" s="3587"/>
      <c r="B219" s="3587"/>
      <c r="C219" s="3587"/>
      <c r="D219" s="3582"/>
      <c r="E219" s="3353" t="s">
        <v>3326</v>
      </c>
      <c r="F219" s="3353" t="s">
        <v>3368</v>
      </c>
      <c r="G219" s="3347" t="s">
        <v>3157</v>
      </c>
      <c r="H219" s="3386">
        <v>80.28</v>
      </c>
      <c r="I219" s="3386">
        <f t="shared" si="10"/>
        <v>80.28</v>
      </c>
      <c r="J219" s="3381">
        <v>0</v>
      </c>
      <c r="K219" s="3381"/>
      <c r="L219" s="3582"/>
      <c r="M219" s="3381">
        <v>1</v>
      </c>
      <c r="N219" s="3381" t="s">
        <v>3124</v>
      </c>
      <c r="O219" s="3340" t="s">
        <v>3125</v>
      </c>
    </row>
    <row r="220" spans="1:15">
      <c r="A220" s="3587"/>
      <c r="B220" s="3587"/>
      <c r="C220" s="3587"/>
      <c r="D220" s="3582"/>
      <c r="E220" s="3353" t="s">
        <v>3326</v>
      </c>
      <c r="F220" s="3353" t="s">
        <v>3369</v>
      </c>
      <c r="G220" s="3347" t="s">
        <v>3157</v>
      </c>
      <c r="H220" s="3386">
        <v>87.97</v>
      </c>
      <c r="I220" s="3386">
        <f t="shared" si="10"/>
        <v>87.97</v>
      </c>
      <c r="J220" s="3381">
        <v>0</v>
      </c>
      <c r="K220" s="3381"/>
      <c r="L220" s="3582"/>
      <c r="M220" s="3381">
        <v>1</v>
      </c>
      <c r="N220" s="3381" t="s">
        <v>3124</v>
      </c>
      <c r="O220" s="3340" t="s">
        <v>3125</v>
      </c>
    </row>
    <row r="221" spans="1:15">
      <c r="A221" s="3587"/>
      <c r="B221" s="3587"/>
      <c r="C221" s="3587"/>
      <c r="D221" s="3582"/>
      <c r="E221" s="3353" t="s">
        <v>3326</v>
      </c>
      <c r="F221" s="3353" t="s">
        <v>3291</v>
      </c>
      <c r="G221" s="3347" t="s">
        <v>3157</v>
      </c>
      <c r="H221" s="3386">
        <v>50.29</v>
      </c>
      <c r="I221" s="3386">
        <f t="shared" si="10"/>
        <v>50.29</v>
      </c>
      <c r="J221" s="3381">
        <v>0</v>
      </c>
      <c r="K221" s="3381"/>
      <c r="L221" s="3582"/>
      <c r="M221" s="3381">
        <v>1</v>
      </c>
      <c r="N221" s="3381" t="s">
        <v>3124</v>
      </c>
      <c r="O221" s="3340" t="s">
        <v>3125</v>
      </c>
    </row>
    <row r="222" spans="1:15">
      <c r="A222" s="3587"/>
      <c r="B222" s="3587"/>
      <c r="C222" s="3587"/>
      <c r="D222" s="3582"/>
      <c r="E222" s="3353" t="s">
        <v>3326</v>
      </c>
      <c r="F222" s="3353" t="s">
        <v>3370</v>
      </c>
      <c r="G222" s="3347" t="s">
        <v>3157</v>
      </c>
      <c r="H222" s="3386">
        <v>33.32</v>
      </c>
      <c r="I222" s="3386">
        <f t="shared" si="10"/>
        <v>33.32</v>
      </c>
      <c r="J222" s="3381">
        <v>0</v>
      </c>
      <c r="K222" s="3381"/>
      <c r="L222" s="3582"/>
      <c r="M222" s="3381">
        <v>1</v>
      </c>
      <c r="N222" s="3381" t="s">
        <v>3124</v>
      </c>
      <c r="O222" s="3340" t="s">
        <v>3125</v>
      </c>
    </row>
    <row r="223" spans="1:15">
      <c r="A223" s="3587"/>
      <c r="B223" s="3587"/>
      <c r="C223" s="3587"/>
      <c r="D223" s="3582"/>
      <c r="E223" s="3353" t="s">
        <v>3326</v>
      </c>
      <c r="F223" s="3353" t="s">
        <v>3371</v>
      </c>
      <c r="G223" s="3347" t="s">
        <v>3157</v>
      </c>
      <c r="H223" s="3386">
        <v>37.71</v>
      </c>
      <c r="I223" s="3386">
        <f t="shared" si="10"/>
        <v>37.71</v>
      </c>
      <c r="J223" s="3381">
        <v>0</v>
      </c>
      <c r="K223" s="3381"/>
      <c r="L223" s="3582"/>
      <c r="M223" s="3381">
        <v>1</v>
      </c>
      <c r="N223" s="3381" t="s">
        <v>3124</v>
      </c>
      <c r="O223" s="3340" t="s">
        <v>3125</v>
      </c>
    </row>
    <row r="224" spans="1:15">
      <c r="A224" s="3587"/>
      <c r="B224" s="3587"/>
      <c r="C224" s="3587"/>
      <c r="D224" s="3582"/>
      <c r="E224" s="3353" t="s">
        <v>3326</v>
      </c>
      <c r="F224" s="3353" t="s">
        <v>3296</v>
      </c>
      <c r="G224" s="3347" t="s">
        <v>3157</v>
      </c>
      <c r="H224" s="3386">
        <v>75.22</v>
      </c>
      <c r="I224" s="3386">
        <f t="shared" si="10"/>
        <v>75.22</v>
      </c>
      <c r="J224" s="3381">
        <v>0</v>
      </c>
      <c r="K224" s="3381"/>
      <c r="L224" s="3582"/>
      <c r="M224" s="3381">
        <v>2</v>
      </c>
      <c r="N224" s="3381" t="s">
        <v>3124</v>
      </c>
      <c r="O224" s="3340" t="s">
        <v>3125</v>
      </c>
    </row>
    <row r="225" spans="1:15">
      <c r="A225" s="3587"/>
      <c r="B225" s="3587"/>
      <c r="C225" s="3587"/>
      <c r="D225" s="3582"/>
      <c r="E225" s="3353" t="s">
        <v>3326</v>
      </c>
      <c r="F225" s="3353" t="s">
        <v>3372</v>
      </c>
      <c r="G225" s="3347" t="s">
        <v>3157</v>
      </c>
      <c r="H225" s="3386">
        <v>140.6</v>
      </c>
      <c r="I225" s="3386">
        <f t="shared" si="10"/>
        <v>140.6</v>
      </c>
      <c r="J225" s="3381">
        <v>0</v>
      </c>
      <c r="K225" s="3381"/>
      <c r="L225" s="3582"/>
      <c r="M225" s="3381">
        <v>2</v>
      </c>
      <c r="N225" s="3381" t="s">
        <v>3124</v>
      </c>
      <c r="O225" s="3340" t="s">
        <v>3125</v>
      </c>
    </row>
    <row r="226" spans="1:15">
      <c r="A226" s="3587"/>
      <c r="B226" s="3587"/>
      <c r="C226" s="3587"/>
      <c r="D226" s="3582"/>
      <c r="E226" s="3353" t="s">
        <v>3326</v>
      </c>
      <c r="F226" s="3353" t="s">
        <v>3298</v>
      </c>
      <c r="G226" s="3347" t="s">
        <v>3157</v>
      </c>
      <c r="H226" s="3386">
        <v>192</v>
      </c>
      <c r="I226" s="3386">
        <f t="shared" si="10"/>
        <v>192</v>
      </c>
      <c r="J226" s="3381">
        <v>0</v>
      </c>
      <c r="K226" s="3381"/>
      <c r="L226" s="3582"/>
      <c r="M226" s="3381">
        <v>2</v>
      </c>
      <c r="N226" s="3381" t="s">
        <v>3124</v>
      </c>
      <c r="O226" s="3340" t="s">
        <v>3153</v>
      </c>
    </row>
    <row r="227" spans="1:15">
      <c r="A227" s="3587"/>
      <c r="B227" s="3587"/>
      <c r="C227" s="3587"/>
      <c r="D227" s="3580"/>
      <c r="E227" s="3353" t="s">
        <v>3326</v>
      </c>
      <c r="F227" s="3353" t="s">
        <v>3373</v>
      </c>
      <c r="G227" s="3347" t="s">
        <v>3374</v>
      </c>
      <c r="H227" s="3386">
        <v>113.1</v>
      </c>
      <c r="I227" s="3386">
        <f t="shared" si="10"/>
        <v>113.1</v>
      </c>
      <c r="J227" s="3381">
        <v>0</v>
      </c>
      <c r="K227" s="3381"/>
      <c r="L227" s="3582"/>
      <c r="M227" s="3381">
        <v>2</v>
      </c>
      <c r="N227" s="3381" t="s">
        <v>3124</v>
      </c>
      <c r="O227" s="3340" t="s">
        <v>3153</v>
      </c>
    </row>
    <row r="228" spans="1:15">
      <c r="A228" s="3587"/>
      <c r="B228" s="3587"/>
      <c r="C228" s="3587"/>
      <c r="D228" s="3579" t="s">
        <v>3325</v>
      </c>
      <c r="E228" s="3353" t="s">
        <v>3326</v>
      </c>
      <c r="F228" s="3353" t="s">
        <v>3375</v>
      </c>
      <c r="G228" s="3347" t="s">
        <v>3233</v>
      </c>
      <c r="H228" s="3386">
        <v>96.3</v>
      </c>
      <c r="I228" s="3386">
        <f t="shared" si="10"/>
        <v>96.3</v>
      </c>
      <c r="J228" s="3381">
        <v>0</v>
      </c>
      <c r="K228" s="3381"/>
      <c r="L228" s="3582"/>
      <c r="M228" s="3381">
        <v>2</v>
      </c>
      <c r="N228" s="3381" t="s">
        <v>3124</v>
      </c>
      <c r="O228" s="3340" t="s">
        <v>3125</v>
      </c>
    </row>
    <row r="229" spans="1:15">
      <c r="A229" s="3587"/>
      <c r="B229" s="3587"/>
      <c r="C229" s="3587"/>
      <c r="D229" s="3582"/>
      <c r="E229" s="3353" t="s">
        <v>3326</v>
      </c>
      <c r="F229" s="3353" t="s">
        <v>3376</v>
      </c>
      <c r="G229" s="3347" t="s">
        <v>3230</v>
      </c>
      <c r="H229" s="3386">
        <v>858.89</v>
      </c>
      <c r="I229" s="3386">
        <f t="shared" si="10"/>
        <v>858.89</v>
      </c>
      <c r="J229" s="3381">
        <v>0</v>
      </c>
      <c r="K229" s="3381"/>
      <c r="L229" s="3582"/>
      <c r="M229" s="3381">
        <v>2</v>
      </c>
      <c r="N229" s="3381" t="s">
        <v>3124</v>
      </c>
      <c r="O229" s="3340" t="s">
        <v>3125</v>
      </c>
    </row>
    <row r="230" spans="1:15">
      <c r="A230" s="3587"/>
      <c r="B230" s="3587"/>
      <c r="C230" s="3587"/>
      <c r="D230" s="3582"/>
      <c r="E230" s="3353" t="s">
        <v>3326</v>
      </c>
      <c r="F230" s="3353" t="s">
        <v>3377</v>
      </c>
      <c r="G230" s="3347" t="s">
        <v>3233</v>
      </c>
      <c r="H230" s="3386">
        <v>130.4</v>
      </c>
      <c r="I230" s="3386">
        <f t="shared" si="10"/>
        <v>130.4</v>
      </c>
      <c r="J230" s="3381">
        <v>0</v>
      </c>
      <c r="K230" s="3381"/>
      <c r="L230" s="3582"/>
      <c r="M230" s="3381">
        <v>2</v>
      </c>
      <c r="N230" s="3381" t="s">
        <v>3124</v>
      </c>
      <c r="O230" s="3340" t="s">
        <v>3125</v>
      </c>
    </row>
    <row r="231" spans="1:15">
      <c r="A231" s="3587"/>
      <c r="B231" s="3587"/>
      <c r="C231" s="3587"/>
      <c r="D231" s="3582"/>
      <c r="E231" s="3353" t="s">
        <v>3326</v>
      </c>
      <c r="F231" s="3353" t="s">
        <v>3378</v>
      </c>
      <c r="G231" s="3347" t="s">
        <v>3233</v>
      </c>
      <c r="H231" s="3386">
        <v>186.88</v>
      </c>
      <c r="I231" s="3386">
        <f t="shared" si="10"/>
        <v>186.88</v>
      </c>
      <c r="J231" s="3381">
        <v>0</v>
      </c>
      <c r="K231" s="3381"/>
      <c r="L231" s="3582"/>
      <c r="M231" s="3381">
        <v>2</v>
      </c>
      <c r="N231" s="3381" t="s">
        <v>3124</v>
      </c>
      <c r="O231" s="3340" t="s">
        <v>3125</v>
      </c>
    </row>
    <row r="232" spans="1:15">
      <c r="A232" s="3587"/>
      <c r="B232" s="3587"/>
      <c r="C232" s="3589"/>
      <c r="D232" s="3589"/>
      <c r="E232" s="3347" t="s">
        <v>3326</v>
      </c>
      <c r="F232" s="3347" t="s">
        <v>3379</v>
      </c>
      <c r="G232" s="3347" t="s">
        <v>3332</v>
      </c>
      <c r="H232" s="3347">
        <v>2283.92</v>
      </c>
      <c r="I232" s="3354">
        <v>1388.32</v>
      </c>
      <c r="J232" s="3354">
        <v>884.86</v>
      </c>
      <c r="K232" s="3383">
        <v>10.74</v>
      </c>
      <c r="L232" s="3582"/>
      <c r="M232" s="3381">
        <v>2</v>
      </c>
      <c r="N232" s="3381">
        <v>1</v>
      </c>
      <c r="O232" s="3340" t="s">
        <v>3125</v>
      </c>
    </row>
    <row r="233" spans="1:15">
      <c r="A233" s="3587"/>
      <c r="B233" s="3587"/>
      <c r="C233" s="3587"/>
      <c r="D233" s="3582"/>
      <c r="E233" s="3353" t="s">
        <v>3326</v>
      </c>
      <c r="F233" s="3353" t="s">
        <v>3380</v>
      </c>
      <c r="G233" s="3347" t="s">
        <v>3332</v>
      </c>
      <c r="H233" s="3386">
        <v>560.38</v>
      </c>
      <c r="I233" s="3386">
        <f t="shared" ref="I233:I247" si="11">H233</f>
        <v>560.38</v>
      </c>
      <c r="J233" s="3381">
        <v>0</v>
      </c>
      <c r="K233" s="3381"/>
      <c r="L233" s="3582"/>
      <c r="M233" s="3381">
        <v>2</v>
      </c>
      <c r="N233" s="3381" t="s">
        <v>23</v>
      </c>
      <c r="O233" s="3340" t="s">
        <v>3099</v>
      </c>
    </row>
    <row r="234" spans="1:15">
      <c r="A234" s="3587"/>
      <c r="B234" s="3587"/>
      <c r="C234" s="3587"/>
      <c r="D234" s="3582"/>
      <c r="E234" s="3353" t="s">
        <v>3327</v>
      </c>
      <c r="F234" s="3353" t="s">
        <v>3381</v>
      </c>
      <c r="G234" s="3347" t="s">
        <v>3139</v>
      </c>
      <c r="H234" s="3386">
        <v>183.88</v>
      </c>
      <c r="I234" s="3386">
        <f t="shared" si="11"/>
        <v>183.88</v>
      </c>
      <c r="J234" s="3381">
        <v>0</v>
      </c>
      <c r="K234" s="3381"/>
      <c r="L234" s="3582"/>
      <c r="M234" s="3381">
        <v>2</v>
      </c>
      <c r="N234" s="3381" t="s">
        <v>23</v>
      </c>
      <c r="O234" s="3340" t="s">
        <v>3113</v>
      </c>
    </row>
    <row r="235" spans="1:15">
      <c r="A235" s="3587"/>
      <c r="B235" s="3587"/>
      <c r="C235" s="3587"/>
      <c r="D235" s="3582"/>
      <c r="E235" s="3353" t="s">
        <v>3327</v>
      </c>
      <c r="F235" s="3353" t="s">
        <v>3382</v>
      </c>
      <c r="G235" s="3347" t="s">
        <v>3139</v>
      </c>
      <c r="H235" s="3386">
        <v>100.58</v>
      </c>
      <c r="I235" s="3347">
        <v>50.29</v>
      </c>
      <c r="J235" s="3390">
        <v>0</v>
      </c>
      <c r="K235" s="3389">
        <v>50.29</v>
      </c>
      <c r="L235" s="3582"/>
      <c r="M235" s="3381">
        <v>1</v>
      </c>
      <c r="N235" s="3381" t="s">
        <v>23</v>
      </c>
      <c r="O235" s="3340" t="s">
        <v>3113</v>
      </c>
    </row>
    <row r="236" spans="1:15">
      <c r="A236" s="3587"/>
      <c r="B236" s="3587"/>
      <c r="C236" s="3587"/>
      <c r="D236" s="3582"/>
      <c r="E236" s="3353" t="s">
        <v>3327</v>
      </c>
      <c r="F236" s="3353" t="s">
        <v>3383</v>
      </c>
      <c r="G236" s="3347" t="s">
        <v>3139</v>
      </c>
      <c r="H236" s="3386">
        <v>98.86</v>
      </c>
      <c r="I236" s="3347">
        <v>49.43</v>
      </c>
      <c r="J236" s="3390">
        <v>0</v>
      </c>
      <c r="K236" s="3389">
        <v>49.43</v>
      </c>
      <c r="L236" s="3582"/>
      <c r="M236" s="3381">
        <v>1</v>
      </c>
      <c r="N236" s="3381" t="s">
        <v>23</v>
      </c>
      <c r="O236" s="3340" t="s">
        <v>3113</v>
      </c>
    </row>
    <row r="237" spans="1:15">
      <c r="A237" s="3587"/>
      <c r="B237" s="3587"/>
      <c r="C237" s="3587"/>
      <c r="D237" s="3582"/>
      <c r="E237" s="3353" t="s">
        <v>3327</v>
      </c>
      <c r="F237" s="3353" t="s">
        <v>3384</v>
      </c>
      <c r="G237" s="3347" t="s">
        <v>3139</v>
      </c>
      <c r="H237" s="3386">
        <v>28.52</v>
      </c>
      <c r="I237" s="3386">
        <f t="shared" si="11"/>
        <v>28.52</v>
      </c>
      <c r="J237" s="3381">
        <v>0</v>
      </c>
      <c r="K237" s="3381"/>
      <c r="L237" s="3582"/>
      <c r="M237" s="3381">
        <v>1</v>
      </c>
      <c r="N237" s="3381" t="s">
        <v>23</v>
      </c>
      <c r="O237" s="3340" t="s">
        <v>3113</v>
      </c>
    </row>
    <row r="238" spans="1:15">
      <c r="A238" s="3587"/>
      <c r="B238" s="3587"/>
      <c r="C238" s="3587"/>
      <c r="D238" s="3582"/>
      <c r="E238" s="3353" t="s">
        <v>3327</v>
      </c>
      <c r="F238" s="3353" t="s">
        <v>3385</v>
      </c>
      <c r="G238" s="3347" t="s">
        <v>3386</v>
      </c>
      <c r="H238" s="3386">
        <v>85.47</v>
      </c>
      <c r="I238" s="3386">
        <f t="shared" si="11"/>
        <v>85.47</v>
      </c>
      <c r="J238" s="3381">
        <v>0</v>
      </c>
      <c r="K238" s="3381"/>
      <c r="L238" s="3582"/>
      <c r="M238" s="3381">
        <v>1</v>
      </c>
      <c r="N238" s="3381" t="s">
        <v>23</v>
      </c>
      <c r="O238" s="3340" t="s">
        <v>3113</v>
      </c>
    </row>
    <row r="239" spans="1:15">
      <c r="A239" s="3587"/>
      <c r="B239" s="3587"/>
      <c r="C239" s="3587"/>
      <c r="D239" s="3582"/>
      <c r="E239" s="3353" t="s">
        <v>3327</v>
      </c>
      <c r="F239" s="3353" t="s">
        <v>3387</v>
      </c>
      <c r="G239" s="3347" t="s">
        <v>3139</v>
      </c>
      <c r="H239" s="3386">
        <v>73.8</v>
      </c>
      <c r="I239" s="3386">
        <f t="shared" si="11"/>
        <v>73.8</v>
      </c>
      <c r="J239" s="3381">
        <v>0</v>
      </c>
      <c r="K239" s="3381"/>
      <c r="L239" s="3582"/>
      <c r="M239" s="3381">
        <v>1</v>
      </c>
      <c r="N239" s="3381" t="s">
        <v>23</v>
      </c>
      <c r="O239" s="3340" t="s">
        <v>3113</v>
      </c>
    </row>
    <row r="240" spans="1:15">
      <c r="A240" s="3587"/>
      <c r="B240" s="3587"/>
      <c r="C240" s="3587"/>
      <c r="D240" s="3582"/>
      <c r="E240" s="3353" t="s">
        <v>3327</v>
      </c>
      <c r="F240" s="3353" t="s">
        <v>3388</v>
      </c>
      <c r="G240" s="3347" t="s">
        <v>3139</v>
      </c>
      <c r="H240" s="3386">
        <v>110</v>
      </c>
      <c r="I240" s="3386">
        <f t="shared" si="11"/>
        <v>110</v>
      </c>
      <c r="J240" s="3381">
        <v>0</v>
      </c>
      <c r="K240" s="3381"/>
      <c r="L240" s="3582"/>
      <c r="M240" s="3381">
        <v>2</v>
      </c>
      <c r="N240" s="3381" t="s">
        <v>23</v>
      </c>
      <c r="O240" s="3340" t="s">
        <v>3099</v>
      </c>
    </row>
    <row r="241" spans="1:15">
      <c r="A241" s="3587"/>
      <c r="B241" s="3587"/>
      <c r="C241" s="3587"/>
      <c r="D241" s="3582"/>
      <c r="E241" s="3353" t="s">
        <v>3327</v>
      </c>
      <c r="F241" s="3353" t="s">
        <v>3389</v>
      </c>
      <c r="G241" s="3347" t="s">
        <v>3139</v>
      </c>
      <c r="H241" s="3386">
        <v>51.83</v>
      </c>
      <c r="I241" s="3386">
        <f t="shared" si="11"/>
        <v>51.83</v>
      </c>
      <c r="J241" s="3381">
        <v>0</v>
      </c>
      <c r="K241" s="3381"/>
      <c r="L241" s="3582"/>
      <c r="M241" s="3381">
        <v>1</v>
      </c>
      <c r="N241" s="3381" t="s">
        <v>23</v>
      </c>
      <c r="O241" s="3340" t="s">
        <v>3113</v>
      </c>
    </row>
    <row r="242" spans="1:15">
      <c r="A242" s="3587"/>
      <c r="B242" s="3587"/>
      <c r="C242" s="3587"/>
      <c r="D242" s="3582"/>
      <c r="E242" s="3353" t="s">
        <v>3327</v>
      </c>
      <c r="F242" s="3353" t="s">
        <v>3390</v>
      </c>
      <c r="G242" s="3347" t="s">
        <v>3139</v>
      </c>
      <c r="H242" s="3386">
        <v>89.23</v>
      </c>
      <c r="I242" s="3386">
        <f t="shared" si="11"/>
        <v>89.23</v>
      </c>
      <c r="J242" s="3381">
        <v>0</v>
      </c>
      <c r="K242" s="3381"/>
      <c r="L242" s="3582"/>
      <c r="M242" s="3381">
        <v>1</v>
      </c>
      <c r="N242" s="3381" t="s">
        <v>23</v>
      </c>
      <c r="O242" s="3340" t="s">
        <v>3113</v>
      </c>
    </row>
    <row r="243" spans="1:15">
      <c r="A243" s="3587"/>
      <c r="B243" s="3587"/>
      <c r="C243" s="3587"/>
      <c r="D243" s="3582"/>
      <c r="E243" s="3353" t="s">
        <v>3327</v>
      </c>
      <c r="F243" s="3353" t="s">
        <v>3391</v>
      </c>
      <c r="G243" s="3347" t="s">
        <v>3139</v>
      </c>
      <c r="H243" s="3386">
        <v>31.52</v>
      </c>
      <c r="I243" s="3386">
        <f t="shared" si="11"/>
        <v>31.52</v>
      </c>
      <c r="J243" s="3381">
        <v>0</v>
      </c>
      <c r="K243" s="3381"/>
      <c r="L243" s="3582"/>
      <c r="M243" s="3381">
        <v>1</v>
      </c>
      <c r="N243" s="3381" t="s">
        <v>23</v>
      </c>
      <c r="O243" s="3340" t="s">
        <v>3113</v>
      </c>
    </row>
    <row r="244" spans="1:15">
      <c r="A244" s="3587"/>
      <c r="B244" s="3587"/>
      <c r="C244" s="3587"/>
      <c r="D244" s="3582"/>
      <c r="E244" s="3353" t="s">
        <v>3327</v>
      </c>
      <c r="F244" s="3353" t="s">
        <v>3392</v>
      </c>
      <c r="G244" s="3347" t="s">
        <v>3139</v>
      </c>
      <c r="H244" s="3386">
        <v>108.34</v>
      </c>
      <c r="I244" s="3386">
        <f t="shared" si="11"/>
        <v>108.34</v>
      </c>
      <c r="J244" s="3381">
        <v>0</v>
      </c>
      <c r="K244" s="3381"/>
      <c r="L244" s="3582"/>
      <c r="M244" s="3381">
        <v>1</v>
      </c>
      <c r="N244" s="3381" t="s">
        <v>23</v>
      </c>
      <c r="O244" s="3340" t="s">
        <v>3099</v>
      </c>
    </row>
    <row r="245" spans="1:15">
      <c r="A245" s="3587"/>
      <c r="B245" s="3587"/>
      <c r="C245" s="3587"/>
      <c r="D245" s="3582"/>
      <c r="E245" s="3353" t="s">
        <v>3327</v>
      </c>
      <c r="F245" s="3353" t="s">
        <v>3393</v>
      </c>
      <c r="G245" s="3347" t="s">
        <v>3139</v>
      </c>
      <c r="H245" s="3386">
        <v>31.66</v>
      </c>
      <c r="I245" s="3386">
        <f t="shared" si="11"/>
        <v>31.66</v>
      </c>
      <c r="J245" s="3381">
        <v>0</v>
      </c>
      <c r="K245" s="3381"/>
      <c r="L245" s="3582"/>
      <c r="M245" s="3381">
        <v>1</v>
      </c>
      <c r="N245" s="3381" t="s">
        <v>23</v>
      </c>
      <c r="O245" s="3340" t="s">
        <v>3113</v>
      </c>
    </row>
    <row r="246" spans="1:15">
      <c r="A246" s="3587"/>
      <c r="B246" s="3587"/>
      <c r="C246" s="3587"/>
      <c r="D246" s="3582"/>
      <c r="E246" s="3353" t="s">
        <v>3327</v>
      </c>
      <c r="F246" s="3353" t="s">
        <v>3394</v>
      </c>
      <c r="G246" s="3347" t="s">
        <v>3139</v>
      </c>
      <c r="H246" s="3386">
        <v>106.59</v>
      </c>
      <c r="I246" s="3386">
        <f t="shared" si="11"/>
        <v>106.59</v>
      </c>
      <c r="J246" s="3381">
        <v>0</v>
      </c>
      <c r="K246" s="3381"/>
      <c r="L246" s="3582"/>
      <c r="M246" s="3381">
        <v>1</v>
      </c>
      <c r="N246" s="3381" t="s">
        <v>23</v>
      </c>
      <c r="O246" s="3340" t="s">
        <v>3113</v>
      </c>
    </row>
    <row r="247" spans="1:15">
      <c r="A247" s="3587"/>
      <c r="B247" s="3587"/>
      <c r="C247" s="3587"/>
      <c r="D247" s="3582"/>
      <c r="E247" s="3353" t="s">
        <v>3327</v>
      </c>
      <c r="F247" s="3353" t="s">
        <v>3395</v>
      </c>
      <c r="G247" s="3347" t="s">
        <v>3139</v>
      </c>
      <c r="H247" s="3386">
        <v>43.5</v>
      </c>
      <c r="I247" s="3386">
        <f t="shared" si="11"/>
        <v>43.5</v>
      </c>
      <c r="J247" s="3381">
        <v>0</v>
      </c>
      <c r="K247" s="3381"/>
      <c r="L247" s="3582"/>
      <c r="M247" s="3381">
        <v>1</v>
      </c>
      <c r="N247" s="3381" t="s">
        <v>23</v>
      </c>
      <c r="O247" s="3340" t="s">
        <v>3113</v>
      </c>
    </row>
    <row r="248" spans="1:15">
      <c r="A248" s="3587"/>
      <c r="B248" s="3587"/>
      <c r="C248" s="3587"/>
      <c r="D248" s="3582"/>
      <c r="E248" s="3353" t="s">
        <v>3327</v>
      </c>
      <c r="F248" s="3353" t="s">
        <v>3396</v>
      </c>
      <c r="G248" s="3347" t="s">
        <v>3139</v>
      </c>
      <c r="H248" s="3386">
        <v>68.900000000000006</v>
      </c>
      <c r="I248" s="3386">
        <f>H248</f>
        <v>68.900000000000006</v>
      </c>
      <c r="J248" s="3381">
        <v>0</v>
      </c>
      <c r="K248" s="3381"/>
      <c r="L248" s="3582"/>
      <c r="M248" s="3381">
        <v>1</v>
      </c>
      <c r="N248" s="3381" t="s">
        <v>3124</v>
      </c>
      <c r="O248" s="3340" t="s">
        <v>3125</v>
      </c>
    </row>
    <row r="249" spans="1:15">
      <c r="A249" s="3587"/>
      <c r="B249" s="3587"/>
      <c r="C249" s="3589"/>
      <c r="D249" s="3589"/>
      <c r="E249" s="3347" t="s">
        <v>3326</v>
      </c>
      <c r="F249" s="3347" t="s">
        <v>3397</v>
      </c>
      <c r="G249" s="3347" t="s">
        <v>3398</v>
      </c>
      <c r="H249" s="3347">
        <v>544.79999999999995</v>
      </c>
      <c r="I249" s="3354">
        <v>491.93</v>
      </c>
      <c r="J249" s="3354">
        <v>52.87</v>
      </c>
      <c r="K249" s="3388"/>
      <c r="L249" s="3582"/>
      <c r="M249" s="3381">
        <v>1</v>
      </c>
      <c r="N249" s="3381">
        <v>1</v>
      </c>
      <c r="O249" s="3340" t="s">
        <v>3125</v>
      </c>
    </row>
    <row r="250" spans="1:15">
      <c r="A250" s="3587"/>
      <c r="B250" s="3587"/>
      <c r="C250" s="3587"/>
      <c r="D250" s="3582"/>
      <c r="E250" s="3353" t="s">
        <v>3326</v>
      </c>
      <c r="F250" s="3353" t="s">
        <v>3399</v>
      </c>
      <c r="G250" s="3347" t="s">
        <v>3332</v>
      </c>
      <c r="H250" s="3386">
        <v>177.15</v>
      </c>
      <c r="I250" s="3386">
        <f>H250</f>
        <v>177.15</v>
      </c>
      <c r="J250" s="3381">
        <v>0</v>
      </c>
      <c r="K250" s="3381"/>
      <c r="L250" s="3582"/>
      <c r="M250" s="3381">
        <v>1</v>
      </c>
      <c r="N250" s="3381" t="s">
        <v>23</v>
      </c>
      <c r="O250" s="3340" t="s">
        <v>3113</v>
      </c>
    </row>
    <row r="251" spans="1:15">
      <c r="A251" s="3587"/>
      <c r="B251" s="3587"/>
      <c r="C251" s="3587"/>
      <c r="D251" s="3580"/>
      <c r="E251" s="3353" t="s">
        <v>3327</v>
      </c>
      <c r="F251" s="3353" t="s">
        <v>3400</v>
      </c>
      <c r="G251" s="3349" t="s">
        <v>3401</v>
      </c>
      <c r="H251" s="3349">
        <v>240.91</v>
      </c>
      <c r="I251" s="3349">
        <f>H251</f>
        <v>240.91</v>
      </c>
      <c r="J251" s="3389">
        <v>0</v>
      </c>
      <c r="K251" s="3389"/>
      <c r="L251" s="3582"/>
      <c r="M251" s="3381">
        <v>1</v>
      </c>
      <c r="N251" s="3381" t="s">
        <v>3124</v>
      </c>
      <c r="O251" s="3340" t="s">
        <v>3125</v>
      </c>
    </row>
    <row r="252" spans="1:15" ht="36">
      <c r="A252" s="3587"/>
      <c r="B252" s="3587"/>
      <c r="C252" s="3587"/>
      <c r="D252" s="3340" t="s">
        <v>3334</v>
      </c>
      <c r="E252" s="3353" t="s">
        <v>3326</v>
      </c>
      <c r="F252" s="3353" t="s">
        <v>3402</v>
      </c>
      <c r="G252" s="3347" t="s">
        <v>3332</v>
      </c>
      <c r="H252" s="3386">
        <v>35.71</v>
      </c>
      <c r="I252" s="3386">
        <f>H252</f>
        <v>35.71</v>
      </c>
      <c r="J252" s="3381">
        <v>0</v>
      </c>
      <c r="K252" s="3381"/>
      <c r="L252" s="3582"/>
      <c r="M252" s="3381">
        <v>1</v>
      </c>
      <c r="N252" s="3381" t="s">
        <v>23</v>
      </c>
      <c r="O252" s="3340" t="s">
        <v>3113</v>
      </c>
    </row>
    <row r="253" spans="1:15">
      <c r="A253" s="3587"/>
      <c r="B253" s="3587"/>
      <c r="C253" s="3587"/>
      <c r="D253" s="3579" t="s">
        <v>3361</v>
      </c>
      <c r="E253" s="3353" t="s">
        <v>3327</v>
      </c>
      <c r="F253" s="3353" t="s">
        <v>3403</v>
      </c>
      <c r="G253" s="3347" t="s">
        <v>3246</v>
      </c>
      <c r="H253" s="3386">
        <v>98.89</v>
      </c>
      <c r="I253" s="3386">
        <f t="shared" ref="I253:I268" si="12">H253</f>
        <v>98.89</v>
      </c>
      <c r="J253" s="3381">
        <v>0</v>
      </c>
      <c r="K253" s="3381"/>
      <c r="L253" s="3582"/>
      <c r="M253" s="3381">
        <v>1</v>
      </c>
      <c r="N253" s="3381" t="s">
        <v>3124</v>
      </c>
      <c r="O253" s="3340" t="s">
        <v>3125</v>
      </c>
    </row>
    <row r="254" spans="1:15">
      <c r="A254" s="3587"/>
      <c r="B254" s="3587"/>
      <c r="C254" s="3587"/>
      <c r="D254" s="3580"/>
      <c r="E254" s="3353" t="s">
        <v>3326</v>
      </c>
      <c r="F254" s="3353" t="s">
        <v>3404</v>
      </c>
      <c r="G254" s="3347" t="s">
        <v>3332</v>
      </c>
      <c r="H254" s="3386">
        <v>35.15</v>
      </c>
      <c r="I254" s="3386">
        <f t="shared" si="12"/>
        <v>35.15</v>
      </c>
      <c r="J254" s="3381">
        <v>0</v>
      </c>
      <c r="K254" s="3381"/>
      <c r="L254" s="3582"/>
      <c r="M254" s="3381">
        <v>1</v>
      </c>
      <c r="N254" s="3381" t="s">
        <v>3124</v>
      </c>
      <c r="O254" s="3340" t="s">
        <v>3125</v>
      </c>
    </row>
    <row r="255" spans="1:15">
      <c r="A255" s="3587"/>
      <c r="B255" s="3587"/>
      <c r="C255" s="3587"/>
      <c r="D255" s="3579" t="s">
        <v>3325</v>
      </c>
      <c r="E255" s="3353" t="s">
        <v>3326</v>
      </c>
      <c r="F255" s="3353" t="s">
        <v>3405</v>
      </c>
      <c r="G255" s="3347" t="s">
        <v>3233</v>
      </c>
      <c r="H255" s="3386">
        <v>118.03</v>
      </c>
      <c r="I255" s="3386">
        <f t="shared" si="12"/>
        <v>118.03</v>
      </c>
      <c r="J255" s="3381">
        <v>0</v>
      </c>
      <c r="K255" s="3381"/>
      <c r="L255" s="3582"/>
      <c r="M255" s="3381">
        <v>1</v>
      </c>
      <c r="N255" s="3381" t="s">
        <v>3124</v>
      </c>
      <c r="O255" s="3340" t="s">
        <v>3125</v>
      </c>
    </row>
    <row r="256" spans="1:15">
      <c r="A256" s="3587"/>
      <c r="B256" s="3587"/>
      <c r="C256" s="3587"/>
      <c r="D256" s="3582"/>
      <c r="E256" s="3353" t="s">
        <v>3326</v>
      </c>
      <c r="F256" s="3353" t="s">
        <v>3406</v>
      </c>
      <c r="G256" s="3347" t="s">
        <v>3233</v>
      </c>
      <c r="H256" s="3386">
        <v>82.72</v>
      </c>
      <c r="I256" s="3386">
        <f t="shared" si="12"/>
        <v>82.72</v>
      </c>
      <c r="J256" s="3381">
        <v>0</v>
      </c>
      <c r="K256" s="3381"/>
      <c r="L256" s="3582"/>
      <c r="M256" s="3381">
        <v>2</v>
      </c>
      <c r="N256" s="3381" t="s">
        <v>3124</v>
      </c>
      <c r="O256" s="3340" t="s">
        <v>3125</v>
      </c>
    </row>
    <row r="257" spans="1:15">
      <c r="A257" s="3587"/>
      <c r="B257" s="3587"/>
      <c r="C257" s="3587"/>
      <c r="D257" s="3582"/>
      <c r="E257" s="3353" t="s">
        <v>3326</v>
      </c>
      <c r="F257" s="3353" t="s">
        <v>3407</v>
      </c>
      <c r="G257" s="3347" t="s">
        <v>3233</v>
      </c>
      <c r="H257" s="3386">
        <v>82.8</v>
      </c>
      <c r="I257" s="3386">
        <f t="shared" si="12"/>
        <v>82.8</v>
      </c>
      <c r="J257" s="3381">
        <v>0</v>
      </c>
      <c r="K257" s="3381"/>
      <c r="L257" s="3582"/>
      <c r="M257" s="3381">
        <v>1</v>
      </c>
      <c r="N257" s="3381" t="s">
        <v>3124</v>
      </c>
      <c r="O257" s="3340" t="s">
        <v>3125</v>
      </c>
    </row>
    <row r="258" spans="1:15">
      <c r="A258" s="3587"/>
      <c r="B258" s="3587"/>
      <c r="C258" s="3587"/>
      <c r="D258" s="3582"/>
      <c r="E258" s="3353" t="s">
        <v>3326</v>
      </c>
      <c r="F258" s="3353" t="s">
        <v>3408</v>
      </c>
      <c r="G258" s="3347" t="s">
        <v>3233</v>
      </c>
      <c r="H258" s="3386">
        <v>57.23</v>
      </c>
      <c r="I258" s="3386">
        <f t="shared" si="12"/>
        <v>57.23</v>
      </c>
      <c r="J258" s="3381">
        <v>0</v>
      </c>
      <c r="K258" s="3381"/>
      <c r="L258" s="3582"/>
      <c r="M258" s="3381">
        <v>1</v>
      </c>
      <c r="N258" s="3381" t="s">
        <v>3124</v>
      </c>
      <c r="O258" s="3340" t="s">
        <v>3125</v>
      </c>
    </row>
    <row r="259" spans="1:15">
      <c r="A259" s="3587"/>
      <c r="B259" s="3587"/>
      <c r="C259" s="3587"/>
      <c r="D259" s="3582"/>
      <c r="E259" s="3353" t="s">
        <v>3326</v>
      </c>
      <c r="F259" s="3353" t="s">
        <v>3409</v>
      </c>
      <c r="G259" s="3347" t="s">
        <v>3233</v>
      </c>
      <c r="H259" s="3386">
        <v>98.67</v>
      </c>
      <c r="I259" s="3386">
        <f t="shared" si="12"/>
        <v>98.67</v>
      </c>
      <c r="J259" s="3381">
        <v>0</v>
      </c>
      <c r="K259" s="3381"/>
      <c r="L259" s="3582"/>
      <c r="M259" s="3381">
        <v>1</v>
      </c>
      <c r="N259" s="3381" t="s">
        <v>3124</v>
      </c>
      <c r="O259" s="3340" t="s">
        <v>3125</v>
      </c>
    </row>
    <row r="260" spans="1:15">
      <c r="A260" s="3587"/>
      <c r="B260" s="3587"/>
      <c r="C260" s="3587"/>
      <c r="D260" s="3582"/>
      <c r="E260" s="3353" t="s">
        <v>3326</v>
      </c>
      <c r="F260" s="3353" t="s">
        <v>3410</v>
      </c>
      <c r="G260" s="3347" t="s">
        <v>3233</v>
      </c>
      <c r="H260" s="3386">
        <v>15.63</v>
      </c>
      <c r="I260" s="3386">
        <f t="shared" si="12"/>
        <v>15.63</v>
      </c>
      <c r="J260" s="3381">
        <v>0</v>
      </c>
      <c r="K260" s="3381"/>
      <c r="L260" s="3582"/>
      <c r="M260" s="3381">
        <v>1</v>
      </c>
      <c r="N260" s="3381" t="s">
        <v>3124</v>
      </c>
      <c r="O260" s="3340" t="s">
        <v>3125</v>
      </c>
    </row>
    <row r="261" spans="1:15">
      <c r="A261" s="3587"/>
      <c r="B261" s="3587"/>
      <c r="C261" s="3587"/>
      <c r="D261" s="3582"/>
      <c r="E261" s="3353" t="s">
        <v>3326</v>
      </c>
      <c r="F261" s="3353" t="s">
        <v>3411</v>
      </c>
      <c r="G261" s="3347" t="s">
        <v>3412</v>
      </c>
      <c r="H261" s="3386">
        <v>111.26</v>
      </c>
      <c r="I261" s="3386">
        <f t="shared" si="12"/>
        <v>111.26</v>
      </c>
      <c r="J261" s="3381">
        <v>0</v>
      </c>
      <c r="K261" s="3381"/>
      <c r="L261" s="3582"/>
      <c r="M261" s="3381">
        <v>1</v>
      </c>
      <c r="N261" s="3381" t="s">
        <v>3124</v>
      </c>
      <c r="O261" s="3340" t="s">
        <v>3125</v>
      </c>
    </row>
    <row r="262" spans="1:15">
      <c r="A262" s="3587"/>
      <c r="B262" s="3587"/>
      <c r="C262" s="3587"/>
      <c r="D262" s="3582"/>
      <c r="E262" s="3353" t="s">
        <v>3326</v>
      </c>
      <c r="F262" s="3353" t="s">
        <v>3413</v>
      </c>
      <c r="G262" s="3347" t="s">
        <v>3233</v>
      </c>
      <c r="H262" s="3386">
        <v>24.61</v>
      </c>
      <c r="I262" s="3386">
        <f t="shared" si="12"/>
        <v>24.61</v>
      </c>
      <c r="J262" s="3381">
        <v>0</v>
      </c>
      <c r="K262" s="3381"/>
      <c r="L262" s="3582"/>
      <c r="M262" s="3381">
        <v>1</v>
      </c>
      <c r="N262" s="3381" t="s">
        <v>3124</v>
      </c>
      <c r="O262" s="3340" t="s">
        <v>3125</v>
      </c>
    </row>
    <row r="263" spans="1:15">
      <c r="A263" s="3587"/>
      <c r="B263" s="3587"/>
      <c r="C263" s="3587"/>
      <c r="D263" s="3582"/>
      <c r="E263" s="3353" t="s">
        <v>3326</v>
      </c>
      <c r="F263" s="3353" t="s">
        <v>3414</v>
      </c>
      <c r="G263" s="3347" t="s">
        <v>3233</v>
      </c>
      <c r="H263" s="3386">
        <v>81.45</v>
      </c>
      <c r="I263" s="3386">
        <f t="shared" si="12"/>
        <v>81.45</v>
      </c>
      <c r="J263" s="3381">
        <v>0</v>
      </c>
      <c r="K263" s="3381"/>
      <c r="L263" s="3582"/>
      <c r="M263" s="3381">
        <v>1</v>
      </c>
      <c r="N263" s="3381" t="s">
        <v>3124</v>
      </c>
      <c r="O263" s="3340" t="s">
        <v>3125</v>
      </c>
    </row>
    <row r="264" spans="1:15">
      <c r="A264" s="3587"/>
      <c r="B264" s="3587"/>
      <c r="C264" s="3587"/>
      <c r="D264" s="3582"/>
      <c r="E264" s="3353" t="s">
        <v>3326</v>
      </c>
      <c r="F264" s="3353" t="s">
        <v>3415</v>
      </c>
      <c r="G264" s="3347" t="s">
        <v>3233</v>
      </c>
      <c r="H264" s="3386">
        <v>44.83</v>
      </c>
      <c r="I264" s="3386">
        <f t="shared" si="12"/>
        <v>44.83</v>
      </c>
      <c r="J264" s="3381">
        <v>0</v>
      </c>
      <c r="K264" s="3381"/>
      <c r="L264" s="3582"/>
      <c r="M264" s="3381">
        <v>1</v>
      </c>
      <c r="N264" s="3381" t="s">
        <v>3124</v>
      </c>
      <c r="O264" s="3340" t="s">
        <v>3125</v>
      </c>
    </row>
    <row r="265" spans="1:15">
      <c r="A265" s="3587"/>
      <c r="B265" s="3587"/>
      <c r="C265" s="3587"/>
      <c r="D265" s="3582"/>
      <c r="E265" s="3353" t="s">
        <v>3326</v>
      </c>
      <c r="F265" s="3353" t="s">
        <v>3416</v>
      </c>
      <c r="G265" s="3347" t="s">
        <v>3233</v>
      </c>
      <c r="H265" s="3386">
        <v>328.08</v>
      </c>
      <c r="I265" s="3386">
        <f t="shared" si="12"/>
        <v>328.08</v>
      </c>
      <c r="J265" s="3381">
        <v>0</v>
      </c>
      <c r="K265" s="3381"/>
      <c r="L265" s="3582"/>
      <c r="M265" s="3381">
        <v>2</v>
      </c>
      <c r="N265" s="3381" t="s">
        <v>3124</v>
      </c>
      <c r="O265" s="3340" t="s">
        <v>3125</v>
      </c>
    </row>
    <row r="266" spans="1:15">
      <c r="A266" s="3587"/>
      <c r="B266" s="3587"/>
      <c r="C266" s="3587"/>
      <c r="D266" s="3582"/>
      <c r="E266" s="3353" t="s">
        <v>3326</v>
      </c>
      <c r="F266" s="3353" t="s">
        <v>3417</v>
      </c>
      <c r="G266" s="3347" t="s">
        <v>3233</v>
      </c>
      <c r="H266" s="3386">
        <v>51.11</v>
      </c>
      <c r="I266" s="3386">
        <f t="shared" si="12"/>
        <v>51.11</v>
      </c>
      <c r="J266" s="3381">
        <v>0</v>
      </c>
      <c r="K266" s="3381"/>
      <c r="L266" s="3582"/>
      <c r="M266" s="3381">
        <v>1</v>
      </c>
      <c r="N266" s="3381" t="s">
        <v>3124</v>
      </c>
      <c r="O266" s="3340" t="s">
        <v>3125</v>
      </c>
    </row>
    <row r="267" spans="1:15">
      <c r="A267" s="3587"/>
      <c r="B267" s="3587"/>
      <c r="C267" s="3587"/>
      <c r="D267" s="3582"/>
      <c r="E267" s="3353" t="s">
        <v>3326</v>
      </c>
      <c r="F267" s="3353" t="s">
        <v>3418</v>
      </c>
      <c r="G267" s="3347" t="s">
        <v>3233</v>
      </c>
      <c r="H267" s="3386">
        <v>60.67</v>
      </c>
      <c r="I267" s="3386">
        <f t="shared" si="12"/>
        <v>60.67</v>
      </c>
      <c r="J267" s="3381">
        <v>0</v>
      </c>
      <c r="K267" s="3381"/>
      <c r="L267" s="3582"/>
      <c r="M267" s="3381">
        <v>1</v>
      </c>
      <c r="N267" s="3381" t="s">
        <v>3124</v>
      </c>
      <c r="O267" s="3340" t="s">
        <v>3125</v>
      </c>
    </row>
    <row r="268" spans="1:15">
      <c r="A268" s="3587"/>
      <c r="B268" s="3587"/>
      <c r="C268" s="3587"/>
      <c r="D268" s="3580"/>
      <c r="E268" s="3353" t="s">
        <v>3326</v>
      </c>
      <c r="F268" s="3353" t="s">
        <v>3419</v>
      </c>
      <c r="G268" s="3347" t="s">
        <v>3233</v>
      </c>
      <c r="H268" s="3386">
        <v>44.88</v>
      </c>
      <c r="I268" s="3386">
        <f t="shared" si="12"/>
        <v>44.88</v>
      </c>
      <c r="J268" s="3381">
        <v>0</v>
      </c>
      <c r="K268" s="3381"/>
      <c r="L268" s="3582"/>
      <c r="M268" s="3381">
        <v>1</v>
      </c>
      <c r="N268" s="3381" t="s">
        <v>3124</v>
      </c>
      <c r="O268" s="3340" t="s">
        <v>3125</v>
      </c>
    </row>
    <row r="269" spans="1:15">
      <c r="A269" s="3587"/>
      <c r="B269" s="3587"/>
      <c r="C269" s="3587"/>
      <c r="D269" s="3579" t="s">
        <v>3339</v>
      </c>
      <c r="E269" s="3353" t="s">
        <v>3326</v>
      </c>
      <c r="F269" s="3353" t="s">
        <v>3420</v>
      </c>
      <c r="G269" s="3347" t="s">
        <v>3157</v>
      </c>
      <c r="H269" s="3386">
        <v>489.48</v>
      </c>
      <c r="I269" s="3386">
        <v>342.93</v>
      </c>
      <c r="J269" s="3386">
        <v>146.55000000000001</v>
      </c>
      <c r="K269" s="3388"/>
      <c r="L269" s="3582"/>
      <c r="M269" s="3381">
        <v>2</v>
      </c>
      <c r="N269" s="3381">
        <v>1</v>
      </c>
      <c r="O269" s="3340" t="s">
        <v>3153</v>
      </c>
    </row>
    <row r="270" spans="1:15">
      <c r="A270" s="3587"/>
      <c r="B270" s="3587"/>
      <c r="C270" s="3587"/>
      <c r="D270" s="3582"/>
      <c r="E270" s="3353" t="s">
        <v>3326</v>
      </c>
      <c r="F270" s="3353" t="s">
        <v>3421</v>
      </c>
      <c r="G270" s="3347" t="s">
        <v>3332</v>
      </c>
      <c r="H270" s="3386">
        <v>70.650000000000006</v>
      </c>
      <c r="I270" s="3386">
        <f>H270</f>
        <v>70.650000000000006</v>
      </c>
      <c r="J270" s="3381">
        <v>0</v>
      </c>
      <c r="K270" s="3381"/>
      <c r="L270" s="3582"/>
      <c r="M270" s="3381">
        <v>1</v>
      </c>
      <c r="N270" s="3381" t="s">
        <v>23</v>
      </c>
      <c r="O270" s="3340" t="s">
        <v>3113</v>
      </c>
    </row>
    <row r="271" spans="1:15">
      <c r="A271" s="3587"/>
      <c r="B271" s="3587"/>
      <c r="C271" s="3587"/>
      <c r="D271" s="3582"/>
      <c r="E271" s="3353" t="s">
        <v>3327</v>
      </c>
      <c r="F271" s="3353" t="s">
        <v>3422</v>
      </c>
      <c r="G271" s="3347" t="s">
        <v>3246</v>
      </c>
      <c r="H271" s="3386">
        <v>70.650000000000006</v>
      </c>
      <c r="I271" s="3386">
        <f t="shared" ref="I271:I290" si="13">H271</f>
        <v>70.650000000000006</v>
      </c>
      <c r="J271" s="3381">
        <v>0</v>
      </c>
      <c r="K271" s="3381"/>
      <c r="L271" s="3582"/>
      <c r="M271" s="3381">
        <v>1</v>
      </c>
      <c r="N271" s="3381" t="s">
        <v>23</v>
      </c>
      <c r="O271" s="3340" t="s">
        <v>3113</v>
      </c>
    </row>
    <row r="272" spans="1:15">
      <c r="A272" s="3587"/>
      <c r="B272" s="3587"/>
      <c r="C272" s="3587"/>
      <c r="D272" s="3582"/>
      <c r="E272" s="3353" t="s">
        <v>3327</v>
      </c>
      <c r="F272" s="3353" t="s">
        <v>3423</v>
      </c>
      <c r="G272" s="3349" t="s">
        <v>3424</v>
      </c>
      <c r="H272" s="3349">
        <v>67.069999999999993</v>
      </c>
      <c r="I272" s="3349">
        <f t="shared" si="13"/>
        <v>67.069999999999993</v>
      </c>
      <c r="J272" s="3389">
        <v>0</v>
      </c>
      <c r="K272" s="3390"/>
      <c r="L272" s="3582"/>
      <c r="M272" s="3381">
        <v>1</v>
      </c>
      <c r="N272" s="3381" t="s">
        <v>23</v>
      </c>
      <c r="O272" s="3340" t="s">
        <v>3113</v>
      </c>
    </row>
    <row r="273" spans="1:15">
      <c r="A273" s="3587"/>
      <c r="B273" s="3587"/>
      <c r="C273" s="3587"/>
      <c r="D273" s="3582"/>
      <c r="E273" s="3353" t="s">
        <v>3327</v>
      </c>
      <c r="F273" s="3353" t="s">
        <v>3425</v>
      </c>
      <c r="G273" s="3347" t="s">
        <v>3246</v>
      </c>
      <c r="H273" s="3386">
        <v>91.09</v>
      </c>
      <c r="I273" s="3386">
        <f t="shared" si="13"/>
        <v>91.09</v>
      </c>
      <c r="J273" s="3381">
        <v>0</v>
      </c>
      <c r="K273" s="3381"/>
      <c r="L273" s="3582"/>
      <c r="M273" s="3381">
        <v>1</v>
      </c>
      <c r="N273" s="3381" t="s">
        <v>23</v>
      </c>
      <c r="O273" s="3340" t="s">
        <v>3113</v>
      </c>
    </row>
    <row r="274" spans="1:15">
      <c r="A274" s="3587"/>
      <c r="B274" s="3587"/>
      <c r="C274" s="3587"/>
      <c r="D274" s="3582"/>
      <c r="E274" s="3353" t="s">
        <v>3327</v>
      </c>
      <c r="F274" s="3353" t="s">
        <v>3426</v>
      </c>
      <c r="G274" s="3347" t="s">
        <v>3246</v>
      </c>
      <c r="H274" s="3386">
        <v>130.15</v>
      </c>
      <c r="I274" s="3386">
        <f t="shared" si="13"/>
        <v>130.15</v>
      </c>
      <c r="J274" s="3381">
        <v>0</v>
      </c>
      <c r="K274" s="3381"/>
      <c r="L274" s="3582"/>
      <c r="M274" s="3381">
        <v>1</v>
      </c>
      <c r="N274" s="3381" t="s">
        <v>23</v>
      </c>
      <c r="O274" s="3340" t="s">
        <v>3113</v>
      </c>
    </row>
    <row r="275" spans="1:15">
      <c r="A275" s="3587"/>
      <c r="B275" s="3587"/>
      <c r="C275" s="3587"/>
      <c r="D275" s="3580"/>
      <c r="E275" s="3353" t="s">
        <v>3327</v>
      </c>
      <c r="F275" s="3353" t="s">
        <v>3427</v>
      </c>
      <c r="G275" s="3347" t="s">
        <v>3117</v>
      </c>
      <c r="H275" s="3386">
        <v>23.86</v>
      </c>
      <c r="I275" s="3386">
        <f t="shared" si="13"/>
        <v>23.86</v>
      </c>
      <c r="J275" s="3381">
        <v>0</v>
      </c>
      <c r="K275" s="3381"/>
      <c r="L275" s="3582"/>
      <c r="M275" s="3381">
        <v>1</v>
      </c>
      <c r="N275" s="3381" t="s">
        <v>23</v>
      </c>
      <c r="O275" s="3340" t="s">
        <v>3113</v>
      </c>
    </row>
    <row r="276" spans="1:15">
      <c r="A276" s="3587"/>
      <c r="B276" s="3587"/>
      <c r="C276" s="3587"/>
      <c r="D276" s="3579" t="s">
        <v>3428</v>
      </c>
      <c r="E276" s="3353" t="s">
        <v>3327</v>
      </c>
      <c r="F276" s="3353" t="s">
        <v>3429</v>
      </c>
      <c r="G276" s="3347" t="s">
        <v>3139</v>
      </c>
      <c r="H276" s="3386">
        <v>88.85</v>
      </c>
      <c r="I276" s="3386">
        <f t="shared" si="13"/>
        <v>88.85</v>
      </c>
      <c r="J276" s="3381">
        <v>0</v>
      </c>
      <c r="K276" s="3381"/>
      <c r="L276" s="3582"/>
      <c r="M276" s="3381">
        <v>1</v>
      </c>
      <c r="N276" s="3381" t="s">
        <v>23</v>
      </c>
      <c r="O276" s="3340" t="s">
        <v>3113</v>
      </c>
    </row>
    <row r="277" spans="1:15">
      <c r="A277" s="3587"/>
      <c r="B277" s="3587"/>
      <c r="C277" s="3587"/>
      <c r="D277" s="3582"/>
      <c r="E277" s="3353" t="s">
        <v>3327</v>
      </c>
      <c r="F277" s="3353" t="s">
        <v>3430</v>
      </c>
      <c r="G277" s="3347" t="s">
        <v>3139</v>
      </c>
      <c r="H277" s="3386">
        <v>147.24</v>
      </c>
      <c r="I277" s="3386">
        <f t="shared" si="13"/>
        <v>147.24</v>
      </c>
      <c r="J277" s="3381">
        <v>0</v>
      </c>
      <c r="K277" s="3381"/>
      <c r="L277" s="3582"/>
      <c r="M277" s="3381">
        <v>2</v>
      </c>
      <c r="N277" s="3381" t="s">
        <v>23</v>
      </c>
      <c r="O277" s="3340" t="s">
        <v>3099</v>
      </c>
    </row>
    <row r="278" spans="1:15">
      <c r="A278" s="3587"/>
      <c r="B278" s="3587"/>
      <c r="C278" s="3587"/>
      <c r="D278" s="3582"/>
      <c r="E278" s="3353" t="s">
        <v>3327</v>
      </c>
      <c r="F278" s="3353" t="s">
        <v>3431</v>
      </c>
      <c r="G278" s="3347" t="s">
        <v>3139</v>
      </c>
      <c r="H278" s="3386">
        <v>93.56</v>
      </c>
      <c r="I278" s="3386">
        <f t="shared" si="13"/>
        <v>93.56</v>
      </c>
      <c r="J278" s="3381">
        <v>0</v>
      </c>
      <c r="K278" s="3381"/>
      <c r="L278" s="3582"/>
      <c r="M278" s="3381">
        <v>1</v>
      </c>
      <c r="N278" s="3381" t="s">
        <v>23</v>
      </c>
      <c r="O278" s="3340" t="s">
        <v>3113</v>
      </c>
    </row>
    <row r="279" spans="1:15">
      <c r="A279" s="3587"/>
      <c r="B279" s="3587"/>
      <c r="C279" s="3587"/>
      <c r="D279" s="3582"/>
      <c r="E279" s="3353" t="s">
        <v>3327</v>
      </c>
      <c r="F279" s="3353" t="s">
        <v>3432</v>
      </c>
      <c r="G279" s="3347" t="s">
        <v>3139</v>
      </c>
      <c r="H279" s="3386">
        <v>30.6</v>
      </c>
      <c r="I279" s="3386">
        <f t="shared" si="13"/>
        <v>30.6</v>
      </c>
      <c r="J279" s="3381">
        <v>0</v>
      </c>
      <c r="K279" s="3381"/>
      <c r="L279" s="3582"/>
      <c r="M279" s="3381">
        <v>1</v>
      </c>
      <c r="N279" s="3381" t="s">
        <v>23</v>
      </c>
      <c r="O279" s="3340" t="s">
        <v>3113</v>
      </c>
    </row>
    <row r="280" spans="1:15">
      <c r="A280" s="3587"/>
      <c r="B280" s="3587"/>
      <c r="C280" s="3587"/>
      <c r="D280" s="3582"/>
      <c r="E280" s="3353" t="s">
        <v>3327</v>
      </c>
      <c r="F280" s="3353" t="s">
        <v>3433</v>
      </c>
      <c r="G280" s="3347" t="s">
        <v>3139</v>
      </c>
      <c r="H280" s="3386">
        <v>90.81</v>
      </c>
      <c r="I280" s="3386">
        <f t="shared" si="13"/>
        <v>90.81</v>
      </c>
      <c r="J280" s="3381">
        <v>0</v>
      </c>
      <c r="K280" s="3381"/>
      <c r="L280" s="3582"/>
      <c r="M280" s="3381">
        <v>1</v>
      </c>
      <c r="N280" s="3381" t="s">
        <v>23</v>
      </c>
      <c r="O280" s="3340" t="s">
        <v>3113</v>
      </c>
    </row>
    <row r="281" spans="1:15">
      <c r="A281" s="3587"/>
      <c r="B281" s="3587"/>
      <c r="C281" s="3587"/>
      <c r="D281" s="3582"/>
      <c r="E281" s="3353" t="s">
        <v>3327</v>
      </c>
      <c r="F281" s="3353" t="s">
        <v>3434</v>
      </c>
      <c r="G281" s="3347" t="s">
        <v>3139</v>
      </c>
      <c r="H281" s="3386">
        <v>60.48</v>
      </c>
      <c r="I281" s="3386">
        <f t="shared" si="13"/>
        <v>60.48</v>
      </c>
      <c r="J281" s="3381">
        <v>0</v>
      </c>
      <c r="K281" s="3381"/>
      <c r="L281" s="3582"/>
      <c r="M281" s="3381">
        <v>1</v>
      </c>
      <c r="N281" s="3381" t="s">
        <v>23</v>
      </c>
      <c r="O281" s="3340" t="s">
        <v>3113</v>
      </c>
    </row>
    <row r="282" spans="1:15">
      <c r="A282" s="3587"/>
      <c r="B282" s="3587"/>
      <c r="C282" s="3587"/>
      <c r="D282" s="3582"/>
      <c r="E282" s="3353" t="s">
        <v>3327</v>
      </c>
      <c r="F282" s="3353" t="s">
        <v>3435</v>
      </c>
      <c r="G282" s="3347" t="s">
        <v>3139</v>
      </c>
      <c r="H282" s="3386">
        <v>72.650000000000006</v>
      </c>
      <c r="I282" s="3386">
        <f t="shared" si="13"/>
        <v>72.650000000000006</v>
      </c>
      <c r="J282" s="3381">
        <v>0</v>
      </c>
      <c r="K282" s="3381"/>
      <c r="L282" s="3582"/>
      <c r="M282" s="3381">
        <v>2</v>
      </c>
      <c r="N282" s="3381" t="s">
        <v>23</v>
      </c>
      <c r="O282" s="3340" t="s">
        <v>3113</v>
      </c>
    </row>
    <row r="283" spans="1:15">
      <c r="A283" s="3587"/>
      <c r="B283" s="3587"/>
      <c r="C283" s="3587"/>
      <c r="D283" s="3580"/>
      <c r="E283" s="3353" t="s">
        <v>3327</v>
      </c>
      <c r="F283" s="3353" t="s">
        <v>3436</v>
      </c>
      <c r="G283" s="3347" t="s">
        <v>3139</v>
      </c>
      <c r="H283" s="3386">
        <v>13.88</v>
      </c>
      <c r="I283" s="3386">
        <f t="shared" si="13"/>
        <v>13.88</v>
      </c>
      <c r="J283" s="3381">
        <v>0</v>
      </c>
      <c r="K283" s="3381"/>
      <c r="L283" s="3582"/>
      <c r="M283" s="3381">
        <v>1</v>
      </c>
      <c r="N283" s="3381" t="s">
        <v>23</v>
      </c>
      <c r="O283" s="3340" t="s">
        <v>3113</v>
      </c>
    </row>
    <row r="284" spans="1:15">
      <c r="A284" s="3587"/>
      <c r="B284" s="3587"/>
      <c r="C284" s="3587"/>
      <c r="D284" s="3579" t="s">
        <v>3361</v>
      </c>
      <c r="E284" s="3353" t="s">
        <v>3327</v>
      </c>
      <c r="F284" s="3353" t="s">
        <v>3437</v>
      </c>
      <c r="G284" s="3347" t="s">
        <v>3246</v>
      </c>
      <c r="H284" s="3386">
        <v>195.82</v>
      </c>
      <c r="I284" s="3386">
        <f t="shared" si="13"/>
        <v>195.82</v>
      </c>
      <c r="J284" s="3381">
        <v>0</v>
      </c>
      <c r="K284" s="3381"/>
      <c r="L284" s="3582"/>
      <c r="M284" s="3381">
        <v>1</v>
      </c>
      <c r="N284" s="3381" t="s">
        <v>23</v>
      </c>
      <c r="O284" s="3340" t="s">
        <v>3099</v>
      </c>
    </row>
    <row r="285" spans="1:15">
      <c r="A285" s="3587"/>
      <c r="B285" s="3587"/>
      <c r="C285" s="3587"/>
      <c r="D285" s="3582"/>
      <c r="E285" s="3353" t="s">
        <v>3327</v>
      </c>
      <c r="F285" s="3353" t="s">
        <v>3438</v>
      </c>
      <c r="G285" s="3347" t="s">
        <v>3246</v>
      </c>
      <c r="H285" s="3386">
        <v>50.35</v>
      </c>
      <c r="I285" s="3386">
        <f t="shared" si="13"/>
        <v>50.35</v>
      </c>
      <c r="J285" s="3381">
        <v>0</v>
      </c>
      <c r="K285" s="3381"/>
      <c r="L285" s="3582"/>
      <c r="M285" s="3381">
        <v>1</v>
      </c>
      <c r="N285" s="3381" t="s">
        <v>23</v>
      </c>
      <c r="O285" s="3340" t="s">
        <v>3099</v>
      </c>
    </row>
    <row r="286" spans="1:15">
      <c r="A286" s="3587"/>
      <c r="B286" s="3587"/>
      <c r="C286" s="3587"/>
      <c r="D286" s="3582"/>
      <c r="E286" s="3353" t="s">
        <v>3327</v>
      </c>
      <c r="F286" s="3353" t="s">
        <v>3439</v>
      </c>
      <c r="G286" s="3347" t="s">
        <v>3246</v>
      </c>
      <c r="H286" s="3386">
        <v>70.59</v>
      </c>
      <c r="I286" s="3386">
        <f t="shared" si="13"/>
        <v>70.59</v>
      </c>
      <c r="J286" s="3381">
        <v>0</v>
      </c>
      <c r="K286" s="3381"/>
      <c r="L286" s="3582"/>
      <c r="M286" s="3381">
        <v>1</v>
      </c>
      <c r="N286" s="3381" t="s">
        <v>23</v>
      </c>
      <c r="O286" s="3340" t="s">
        <v>3099</v>
      </c>
    </row>
    <row r="287" spans="1:15">
      <c r="A287" s="3587"/>
      <c r="B287" s="3587"/>
      <c r="C287" s="3587"/>
      <c r="D287" s="3580"/>
      <c r="E287" s="3353" t="s">
        <v>3327</v>
      </c>
      <c r="F287" s="3353" t="s">
        <v>3440</v>
      </c>
      <c r="G287" s="3347" t="s">
        <v>3246</v>
      </c>
      <c r="H287" s="3386">
        <v>59.79</v>
      </c>
      <c r="I287" s="3386">
        <f t="shared" si="13"/>
        <v>59.79</v>
      </c>
      <c r="J287" s="3381">
        <v>0</v>
      </c>
      <c r="K287" s="3381"/>
      <c r="L287" s="3582"/>
      <c r="M287" s="3381">
        <v>1</v>
      </c>
      <c r="N287" s="3381" t="s">
        <v>23</v>
      </c>
      <c r="O287" s="3340" t="s">
        <v>3113</v>
      </c>
    </row>
    <row r="288" spans="1:15" ht="36">
      <c r="A288" s="3587"/>
      <c r="B288" s="3587"/>
      <c r="C288" s="3587"/>
      <c r="D288" s="3340" t="s">
        <v>3428</v>
      </c>
      <c r="E288" s="3353" t="s">
        <v>3327</v>
      </c>
      <c r="F288" s="3353" t="s">
        <v>3441</v>
      </c>
      <c r="G288" s="3347" t="s">
        <v>3442</v>
      </c>
      <c r="H288" s="3386">
        <v>155.80000000000001</v>
      </c>
      <c r="I288" s="3386">
        <f t="shared" si="13"/>
        <v>155.80000000000001</v>
      </c>
      <c r="J288" s="3381">
        <v>0</v>
      </c>
      <c r="K288" s="3381"/>
      <c r="L288" s="3582"/>
      <c r="M288" s="3381">
        <v>2</v>
      </c>
      <c r="N288" s="3381" t="s">
        <v>23</v>
      </c>
      <c r="O288" s="3340" t="s">
        <v>3099</v>
      </c>
    </row>
    <row r="289" spans="1:15" ht="36">
      <c r="A289" s="3587"/>
      <c r="B289" s="3587"/>
      <c r="C289" s="3587"/>
      <c r="D289" s="3340" t="s">
        <v>3359</v>
      </c>
      <c r="E289" s="3353" t="s">
        <v>3327</v>
      </c>
      <c r="F289" s="3353" t="s">
        <v>3443</v>
      </c>
      <c r="G289" s="3347" t="s">
        <v>3246</v>
      </c>
      <c r="H289" s="3386">
        <v>26.11</v>
      </c>
      <c r="I289" s="3386">
        <f t="shared" si="13"/>
        <v>26.11</v>
      </c>
      <c r="J289" s="3381">
        <v>0</v>
      </c>
      <c r="K289" s="3381"/>
      <c r="L289" s="3582"/>
      <c r="M289" s="3381">
        <v>1</v>
      </c>
      <c r="N289" s="3381" t="s">
        <v>23</v>
      </c>
      <c r="O289" s="3340" t="s">
        <v>3099</v>
      </c>
    </row>
    <row r="290" spans="1:15" ht="36">
      <c r="A290" s="3587"/>
      <c r="B290" s="3587"/>
      <c r="C290" s="3587"/>
      <c r="D290" s="3340" t="s">
        <v>3428</v>
      </c>
      <c r="E290" s="3353" t="s">
        <v>3327</v>
      </c>
      <c r="F290" s="3353" t="s">
        <v>3444</v>
      </c>
      <c r="G290" s="3347" t="s">
        <v>3134</v>
      </c>
      <c r="H290" s="3386">
        <v>84.94</v>
      </c>
      <c r="I290" s="3386">
        <f t="shared" si="13"/>
        <v>84.94</v>
      </c>
      <c r="J290" s="3381">
        <v>0</v>
      </c>
      <c r="K290" s="3381"/>
      <c r="L290" s="3582"/>
      <c r="M290" s="3381">
        <v>1</v>
      </c>
      <c r="N290" s="3381" t="s">
        <v>23</v>
      </c>
      <c r="O290" s="3340" t="s">
        <v>3099</v>
      </c>
    </row>
    <row r="291" spans="1:15">
      <c r="A291" s="3587"/>
      <c r="B291" s="3587"/>
      <c r="C291" s="3587"/>
      <c r="D291" s="3579" t="s">
        <v>3361</v>
      </c>
      <c r="E291" s="3353" t="s">
        <v>3327</v>
      </c>
      <c r="F291" s="3353" t="s">
        <v>3445</v>
      </c>
      <c r="G291" s="3349" t="s">
        <v>3424</v>
      </c>
      <c r="H291" s="3349">
        <v>22.47</v>
      </c>
      <c r="I291" s="3349">
        <f>H291</f>
        <v>22.47</v>
      </c>
      <c r="J291" s="3389">
        <v>0</v>
      </c>
      <c r="K291" s="3390"/>
      <c r="L291" s="3582"/>
      <c r="M291" s="3381">
        <v>1</v>
      </c>
      <c r="N291" s="3381" t="s">
        <v>3124</v>
      </c>
      <c r="O291" s="3340" t="s">
        <v>3125</v>
      </c>
    </row>
    <row r="292" spans="1:15">
      <c r="A292" s="3588"/>
      <c r="B292" s="3588"/>
      <c r="C292" s="3581"/>
      <c r="D292" s="3581"/>
      <c r="E292" s="3347" t="s">
        <v>3326</v>
      </c>
      <c r="F292" s="3347" t="s">
        <v>3446</v>
      </c>
      <c r="G292" s="3347" t="s">
        <v>3332</v>
      </c>
      <c r="H292" s="3347">
        <v>766.52</v>
      </c>
      <c r="I292" s="3347">
        <v>0</v>
      </c>
      <c r="J292" s="3391">
        <f>H292</f>
        <v>766.52</v>
      </c>
      <c r="K292" s="3381"/>
      <c r="L292" s="3580"/>
      <c r="M292" s="3381" t="s">
        <v>23</v>
      </c>
      <c r="N292" s="3381">
        <v>1</v>
      </c>
      <c r="O292" s="3340" t="s">
        <v>3113</v>
      </c>
    </row>
    <row r="293" spans="1:15" ht="36">
      <c r="A293" s="3579">
        <v>9</v>
      </c>
      <c r="B293" s="3579" t="s">
        <v>3447</v>
      </c>
      <c r="C293" s="3579" t="s">
        <v>3448</v>
      </c>
      <c r="D293" s="3393" t="s">
        <v>3100</v>
      </c>
      <c r="E293" s="3353" t="s">
        <v>3449</v>
      </c>
      <c r="F293" s="3353" t="s">
        <v>3097</v>
      </c>
      <c r="G293" s="3347" t="s">
        <v>3450</v>
      </c>
      <c r="H293" s="3347">
        <v>400.5</v>
      </c>
      <c r="I293" s="3347">
        <f>H293</f>
        <v>400.5</v>
      </c>
      <c r="J293" s="3381">
        <v>0</v>
      </c>
      <c r="K293" s="3381"/>
      <c r="L293" s="3579">
        <v>53269.77</v>
      </c>
      <c r="M293" s="3381">
        <v>1</v>
      </c>
      <c r="N293" s="3381" t="s">
        <v>23</v>
      </c>
      <c r="O293" s="3340" t="s">
        <v>3099</v>
      </c>
    </row>
    <row r="294" spans="1:15" ht="36">
      <c r="A294" s="3580"/>
      <c r="B294" s="3580"/>
      <c r="C294" s="3581"/>
      <c r="D294" s="3394" t="s">
        <v>3451</v>
      </c>
      <c r="E294" s="3347" t="s">
        <v>3449</v>
      </c>
      <c r="F294" s="3347" t="s">
        <v>3109</v>
      </c>
      <c r="G294" s="3347" t="s">
        <v>3452</v>
      </c>
      <c r="H294" s="3347">
        <v>71652.91</v>
      </c>
      <c r="I294" s="3354">
        <v>58334.3</v>
      </c>
      <c r="J294" s="3354">
        <v>12400.55</v>
      </c>
      <c r="K294" s="3383">
        <v>918.06</v>
      </c>
      <c r="L294" s="3580"/>
      <c r="M294" s="3381">
        <v>6</v>
      </c>
      <c r="N294" s="3381">
        <v>1</v>
      </c>
      <c r="O294" s="3340" t="s">
        <v>3099</v>
      </c>
    </row>
    <row r="295" spans="1:15">
      <c r="A295" s="3575">
        <v>10</v>
      </c>
      <c r="B295" s="3575" t="s">
        <v>3453</v>
      </c>
      <c r="C295" s="3575" t="s">
        <v>3454</v>
      </c>
      <c r="D295" s="3584" t="s">
        <v>3455</v>
      </c>
      <c r="E295" s="3353" t="s">
        <v>3456</v>
      </c>
      <c r="F295" s="3353" t="s">
        <v>3097</v>
      </c>
      <c r="G295" s="3347" t="s">
        <v>3117</v>
      </c>
      <c r="H295" s="3347">
        <v>147.5</v>
      </c>
      <c r="I295" s="3347">
        <f>H295</f>
        <v>147.5</v>
      </c>
      <c r="J295" s="3381">
        <v>0</v>
      </c>
      <c r="K295" s="3381"/>
      <c r="L295" s="3579">
        <v>37234.080000000002</v>
      </c>
      <c r="M295" s="3381">
        <v>2</v>
      </c>
      <c r="N295" s="3381" t="s">
        <v>23</v>
      </c>
      <c r="O295" s="3340" t="s">
        <v>3099</v>
      </c>
    </row>
    <row r="296" spans="1:15">
      <c r="A296" s="3575"/>
      <c r="B296" s="3575"/>
      <c r="C296" s="3575"/>
      <c r="D296" s="3584"/>
      <c r="E296" s="3353" t="s">
        <v>3456</v>
      </c>
      <c r="F296" s="3353" t="s">
        <v>3184</v>
      </c>
      <c r="G296" s="3347" t="s">
        <v>3117</v>
      </c>
      <c r="H296" s="3347">
        <v>33.869999999999997</v>
      </c>
      <c r="I296" s="3347">
        <f>H296</f>
        <v>33.869999999999997</v>
      </c>
      <c r="J296" s="3381">
        <v>0</v>
      </c>
      <c r="K296" s="3381"/>
      <c r="L296" s="3582"/>
      <c r="M296" s="3381">
        <v>1</v>
      </c>
      <c r="N296" s="3381" t="s">
        <v>23</v>
      </c>
      <c r="O296" s="3340" t="s">
        <v>3099</v>
      </c>
    </row>
    <row r="297" spans="1:15">
      <c r="A297" s="3575"/>
      <c r="B297" s="3575"/>
      <c r="C297" s="3575"/>
      <c r="D297" s="3584"/>
      <c r="E297" s="3353" t="s">
        <v>3456</v>
      </c>
      <c r="F297" s="3353" t="s">
        <v>3185</v>
      </c>
      <c r="G297" s="3347" t="s">
        <v>3117</v>
      </c>
      <c r="H297" s="3347">
        <v>18.93</v>
      </c>
      <c r="I297" s="3347">
        <f>H297</f>
        <v>18.93</v>
      </c>
      <c r="J297" s="3381">
        <v>0</v>
      </c>
      <c r="K297" s="3381"/>
      <c r="L297" s="3582"/>
      <c r="M297" s="3381">
        <v>1</v>
      </c>
      <c r="N297" s="3381" t="s">
        <v>23</v>
      </c>
      <c r="O297" s="3340" t="s">
        <v>3099</v>
      </c>
    </row>
    <row r="298" spans="1:15">
      <c r="A298" s="3575"/>
      <c r="B298" s="3575"/>
      <c r="C298" s="3575"/>
      <c r="D298" s="3584"/>
      <c r="E298" s="3353" t="s">
        <v>3456</v>
      </c>
      <c r="F298" s="3353" t="s">
        <v>3172</v>
      </c>
      <c r="G298" s="3347" t="s">
        <v>3117</v>
      </c>
      <c r="H298" s="3347">
        <v>234.11</v>
      </c>
      <c r="I298" s="3347">
        <f>H298</f>
        <v>234.11</v>
      </c>
      <c r="J298" s="3381">
        <v>0</v>
      </c>
      <c r="K298" s="3381"/>
      <c r="L298" s="3582"/>
      <c r="M298" s="3381">
        <v>2</v>
      </c>
      <c r="N298" s="3381" t="s">
        <v>23</v>
      </c>
      <c r="O298" s="3340" t="s">
        <v>3099</v>
      </c>
    </row>
    <row r="299" spans="1:15">
      <c r="A299" s="3575"/>
      <c r="B299" s="3575"/>
      <c r="C299" s="3583"/>
      <c r="D299" s="3585"/>
      <c r="E299" s="3347" t="s">
        <v>3456</v>
      </c>
      <c r="F299" s="3347" t="s">
        <v>3101</v>
      </c>
      <c r="G299" s="3347" t="s">
        <v>3117</v>
      </c>
      <c r="H299" s="3347">
        <v>357.3</v>
      </c>
      <c r="I299" s="3354">
        <v>251.44</v>
      </c>
      <c r="J299" s="3354">
        <v>105.86</v>
      </c>
      <c r="K299" s="3381"/>
      <c r="L299" s="3582"/>
      <c r="M299" s="3381">
        <v>2</v>
      </c>
      <c r="N299" s="3381">
        <v>1</v>
      </c>
      <c r="O299" s="3340" t="s">
        <v>3099</v>
      </c>
    </row>
    <row r="300" spans="1:15">
      <c r="A300" s="3575"/>
      <c r="B300" s="3575"/>
      <c r="C300" s="3575"/>
      <c r="D300" s="3584"/>
      <c r="E300" s="3353" t="s">
        <v>3456</v>
      </c>
      <c r="F300" s="3353" t="s">
        <v>3111</v>
      </c>
      <c r="G300" s="3347" t="s">
        <v>3117</v>
      </c>
      <c r="H300" s="3347">
        <v>92.89</v>
      </c>
      <c r="I300" s="3367">
        <f>H300</f>
        <v>92.89</v>
      </c>
      <c r="J300" s="3380">
        <v>0</v>
      </c>
      <c r="K300" s="3381"/>
      <c r="L300" s="3582"/>
      <c r="M300" s="3381">
        <v>1</v>
      </c>
      <c r="N300" s="3381" t="s">
        <v>3124</v>
      </c>
      <c r="O300" s="3340" t="s">
        <v>3153</v>
      </c>
    </row>
    <row r="301" spans="1:15">
      <c r="A301" s="3575"/>
      <c r="B301" s="3575"/>
      <c r="C301" s="3575"/>
      <c r="D301" s="3584"/>
      <c r="E301" s="3353" t="s">
        <v>3457</v>
      </c>
      <c r="F301" s="3353" t="s">
        <v>3317</v>
      </c>
      <c r="G301" s="3347" t="s">
        <v>3157</v>
      </c>
      <c r="H301" s="3347">
        <v>49.37</v>
      </c>
      <c r="I301" s="3367">
        <f>H301</f>
        <v>49.37</v>
      </c>
      <c r="J301" s="3380">
        <v>0</v>
      </c>
      <c r="K301" s="3381"/>
      <c r="L301" s="3582"/>
      <c r="M301" s="3381">
        <v>1</v>
      </c>
      <c r="N301" s="3381" t="s">
        <v>23</v>
      </c>
      <c r="O301" s="3340" t="s">
        <v>3099</v>
      </c>
    </row>
    <row r="302" spans="1:15">
      <c r="A302" s="3575"/>
      <c r="B302" s="3575"/>
      <c r="C302" s="3575"/>
      <c r="D302" s="3584"/>
      <c r="E302" s="3353" t="s">
        <v>3456</v>
      </c>
      <c r="F302" s="3353" t="s">
        <v>3318</v>
      </c>
      <c r="G302" s="3347" t="s">
        <v>3117</v>
      </c>
      <c r="H302" s="3347">
        <v>39.46</v>
      </c>
      <c r="I302" s="3347">
        <f t="shared" ref="I302:I312" si="14">H302</f>
        <v>39.46</v>
      </c>
      <c r="J302" s="3381">
        <v>0</v>
      </c>
      <c r="K302" s="3381"/>
      <c r="L302" s="3582"/>
      <c r="M302" s="3381">
        <v>1</v>
      </c>
      <c r="N302" s="3381" t="s">
        <v>23</v>
      </c>
      <c r="O302" s="3340" t="s">
        <v>3099</v>
      </c>
    </row>
    <row r="303" spans="1:15">
      <c r="A303" s="3575"/>
      <c r="B303" s="3575"/>
      <c r="C303" s="3575"/>
      <c r="D303" s="3584"/>
      <c r="E303" s="3353" t="s">
        <v>3456</v>
      </c>
      <c r="F303" s="3353" t="s">
        <v>3116</v>
      </c>
      <c r="G303" s="3347" t="s">
        <v>3117</v>
      </c>
      <c r="H303" s="3347">
        <v>158.56</v>
      </c>
      <c r="I303" s="3347">
        <f t="shared" si="14"/>
        <v>158.56</v>
      </c>
      <c r="J303" s="3381">
        <v>0</v>
      </c>
      <c r="K303" s="3381"/>
      <c r="L303" s="3582"/>
      <c r="M303" s="3381">
        <v>2</v>
      </c>
      <c r="N303" s="3381" t="s">
        <v>23</v>
      </c>
      <c r="O303" s="3340" t="s">
        <v>3099</v>
      </c>
    </row>
    <row r="304" spans="1:15">
      <c r="A304" s="3575"/>
      <c r="B304" s="3575"/>
      <c r="C304" s="3575"/>
      <c r="D304" s="3584"/>
      <c r="E304" s="3353" t="s">
        <v>3456</v>
      </c>
      <c r="F304" s="3353" t="s">
        <v>3118</v>
      </c>
      <c r="G304" s="3347" t="s">
        <v>3117</v>
      </c>
      <c r="H304" s="3347">
        <v>42.04</v>
      </c>
      <c r="I304" s="3347">
        <f t="shared" si="14"/>
        <v>42.04</v>
      </c>
      <c r="J304" s="3381">
        <v>0</v>
      </c>
      <c r="K304" s="3381"/>
      <c r="L304" s="3582"/>
      <c r="M304" s="3381">
        <v>1</v>
      </c>
      <c r="N304" s="3381" t="s">
        <v>23</v>
      </c>
      <c r="O304" s="3340" t="s">
        <v>3099</v>
      </c>
    </row>
    <row r="305" spans="1:15">
      <c r="A305" s="3575"/>
      <c r="B305" s="3575"/>
      <c r="C305" s="3575"/>
      <c r="D305" s="3584"/>
      <c r="E305" s="3353" t="s">
        <v>3456</v>
      </c>
      <c r="F305" s="3353" t="s">
        <v>3321</v>
      </c>
      <c r="G305" s="3347" t="s">
        <v>3117</v>
      </c>
      <c r="H305" s="3347">
        <v>41.63</v>
      </c>
      <c r="I305" s="3347">
        <f t="shared" si="14"/>
        <v>41.63</v>
      </c>
      <c r="J305" s="3381">
        <v>0</v>
      </c>
      <c r="K305" s="3381"/>
      <c r="L305" s="3582"/>
      <c r="M305" s="3381">
        <v>1</v>
      </c>
      <c r="N305" s="3381" t="s">
        <v>23</v>
      </c>
      <c r="O305" s="3340" t="s">
        <v>3099</v>
      </c>
    </row>
    <row r="306" spans="1:15">
      <c r="A306" s="3575"/>
      <c r="B306" s="3575"/>
      <c r="C306" s="3575"/>
      <c r="D306" s="3584"/>
      <c r="E306" s="3353" t="s">
        <v>3456</v>
      </c>
      <c r="F306" s="3353" t="s">
        <v>3458</v>
      </c>
      <c r="G306" s="3347" t="s">
        <v>3117</v>
      </c>
      <c r="H306" s="3347">
        <v>96.94</v>
      </c>
      <c r="I306" s="3347">
        <f t="shared" si="14"/>
        <v>96.94</v>
      </c>
      <c r="J306" s="3381">
        <v>0</v>
      </c>
      <c r="K306" s="3381"/>
      <c r="L306" s="3582"/>
      <c r="M306" s="3381">
        <v>1</v>
      </c>
      <c r="N306" s="3381" t="s">
        <v>23</v>
      </c>
      <c r="O306" s="3340" t="s">
        <v>3099</v>
      </c>
    </row>
    <row r="307" spans="1:15">
      <c r="A307" s="3575"/>
      <c r="B307" s="3575"/>
      <c r="C307" s="3575"/>
      <c r="D307" s="3584"/>
      <c r="E307" s="3353" t="s">
        <v>3456</v>
      </c>
      <c r="F307" s="3353" t="s">
        <v>3459</v>
      </c>
      <c r="G307" s="3347" t="s">
        <v>3117</v>
      </c>
      <c r="H307" s="3347">
        <v>20.420000000000002</v>
      </c>
      <c r="I307" s="3347">
        <f t="shared" si="14"/>
        <v>20.420000000000002</v>
      </c>
      <c r="J307" s="3381">
        <v>0</v>
      </c>
      <c r="K307" s="3381"/>
      <c r="L307" s="3582"/>
      <c r="M307" s="3381">
        <v>1</v>
      </c>
      <c r="N307" s="3381" t="s">
        <v>23</v>
      </c>
      <c r="O307" s="3340" t="s">
        <v>3099</v>
      </c>
    </row>
    <row r="308" spans="1:15">
      <c r="A308" s="3575"/>
      <c r="B308" s="3575"/>
      <c r="C308" s="3575"/>
      <c r="D308" s="3584"/>
      <c r="E308" s="3353" t="s">
        <v>3456</v>
      </c>
      <c r="F308" s="3353" t="s">
        <v>3120</v>
      </c>
      <c r="G308" s="3347" t="s">
        <v>3117</v>
      </c>
      <c r="H308" s="3347">
        <v>30.16</v>
      </c>
      <c r="I308" s="3347">
        <f t="shared" si="14"/>
        <v>30.16</v>
      </c>
      <c r="J308" s="3381">
        <v>0</v>
      </c>
      <c r="K308" s="3381"/>
      <c r="L308" s="3582"/>
      <c r="M308" s="3381">
        <v>1</v>
      </c>
      <c r="N308" s="3381" t="s">
        <v>23</v>
      </c>
      <c r="O308" s="3340" t="s">
        <v>3099</v>
      </c>
    </row>
    <row r="309" spans="1:15">
      <c r="A309" s="3575"/>
      <c r="B309" s="3575"/>
      <c r="C309" s="3575"/>
      <c r="D309" s="3584"/>
      <c r="E309" s="3353" t="s">
        <v>3456</v>
      </c>
      <c r="F309" s="3353" t="s">
        <v>3460</v>
      </c>
      <c r="G309" s="3347" t="s">
        <v>3117</v>
      </c>
      <c r="H309" s="3347">
        <v>132</v>
      </c>
      <c r="I309" s="3347">
        <f t="shared" si="14"/>
        <v>132</v>
      </c>
      <c r="J309" s="3381">
        <v>0</v>
      </c>
      <c r="K309" s="3381"/>
      <c r="L309" s="3582"/>
      <c r="M309" s="3381">
        <v>1</v>
      </c>
      <c r="N309" s="3381" t="s">
        <v>23</v>
      </c>
      <c r="O309" s="3340" t="s">
        <v>3099</v>
      </c>
    </row>
    <row r="310" spans="1:15">
      <c r="A310" s="3575"/>
      <c r="B310" s="3575"/>
      <c r="C310" s="3575"/>
      <c r="D310" s="3584"/>
      <c r="E310" s="3353" t="s">
        <v>3456</v>
      </c>
      <c r="F310" s="3353" t="s">
        <v>3121</v>
      </c>
      <c r="G310" s="3347" t="s">
        <v>3461</v>
      </c>
      <c r="H310" s="3347">
        <v>403.44</v>
      </c>
      <c r="I310" s="3347">
        <f t="shared" si="14"/>
        <v>403.44</v>
      </c>
      <c r="J310" s="3381">
        <v>0</v>
      </c>
      <c r="K310" s="3381"/>
      <c r="L310" s="3582"/>
      <c r="M310" s="3381">
        <v>3</v>
      </c>
      <c r="N310" s="3381" t="s">
        <v>23</v>
      </c>
      <c r="O310" s="3340" t="s">
        <v>3099</v>
      </c>
    </row>
    <row r="311" spans="1:15">
      <c r="A311" s="3575"/>
      <c r="B311" s="3575"/>
      <c r="C311" s="3575"/>
      <c r="D311" s="3584"/>
      <c r="E311" s="3353" t="s">
        <v>3456</v>
      </c>
      <c r="F311" s="3353" t="s">
        <v>3200</v>
      </c>
      <c r="G311" s="3349" t="s">
        <v>3462</v>
      </c>
      <c r="H311" s="3349">
        <v>184.8</v>
      </c>
      <c r="I311" s="3349">
        <f t="shared" si="14"/>
        <v>184.8</v>
      </c>
      <c r="J311" s="3389">
        <v>0</v>
      </c>
      <c r="K311" s="3389"/>
      <c r="L311" s="3582"/>
      <c r="M311" s="3381">
        <v>1</v>
      </c>
      <c r="N311" s="3381" t="s">
        <v>23</v>
      </c>
      <c r="O311" s="3340" t="s">
        <v>3099</v>
      </c>
    </row>
    <row r="312" spans="1:15">
      <c r="A312" s="3575"/>
      <c r="B312" s="3575"/>
      <c r="C312" s="3575"/>
      <c r="D312" s="3584"/>
      <c r="E312" s="3353" t="s">
        <v>3456</v>
      </c>
      <c r="F312" s="3353" t="s">
        <v>3463</v>
      </c>
      <c r="G312" s="3349" t="s">
        <v>3462</v>
      </c>
      <c r="H312" s="3349">
        <v>180.59</v>
      </c>
      <c r="I312" s="3349">
        <f t="shared" si="14"/>
        <v>180.59</v>
      </c>
      <c r="J312" s="3389">
        <v>0</v>
      </c>
      <c r="K312" s="3389"/>
      <c r="L312" s="3582"/>
      <c r="M312" s="3381">
        <v>1</v>
      </c>
      <c r="N312" s="3381" t="s">
        <v>23</v>
      </c>
      <c r="O312" s="3340" t="s">
        <v>3099</v>
      </c>
    </row>
    <row r="313" spans="1:15">
      <c r="A313" s="3575"/>
      <c r="B313" s="3575"/>
      <c r="C313" s="3583"/>
      <c r="D313" s="3585"/>
      <c r="E313" s="3347" t="s">
        <v>3456</v>
      </c>
      <c r="F313" s="3347" t="s">
        <v>3204</v>
      </c>
      <c r="G313" s="3347" t="s">
        <v>3464</v>
      </c>
      <c r="H313" s="3347">
        <v>24172.17</v>
      </c>
      <c r="I313" s="3354">
        <v>16978.080000000002</v>
      </c>
      <c r="J313" s="3354">
        <v>7194.09</v>
      </c>
      <c r="K313" s="3388"/>
      <c r="L313" s="3582"/>
      <c r="M313" s="3381">
        <v>3</v>
      </c>
      <c r="N313" s="3381">
        <v>1</v>
      </c>
      <c r="O313" s="3340" t="s">
        <v>3099</v>
      </c>
    </row>
    <row r="314" spans="1:15">
      <c r="A314" s="3575"/>
      <c r="B314" s="3575"/>
      <c r="C314" s="3575"/>
      <c r="D314" s="3584"/>
      <c r="E314" s="3353" t="s">
        <v>3456</v>
      </c>
      <c r="F314" s="3353" t="s">
        <v>3205</v>
      </c>
      <c r="G314" s="3347" t="s">
        <v>3465</v>
      </c>
      <c r="H314" s="3347">
        <v>334.82</v>
      </c>
      <c r="I314" s="3347">
        <f t="shared" ref="I314:I338" si="15">H314</f>
        <v>334.82</v>
      </c>
      <c r="J314" s="3381">
        <v>0</v>
      </c>
      <c r="K314" s="3381"/>
      <c r="L314" s="3582"/>
      <c r="M314" s="3381">
        <v>2</v>
      </c>
      <c r="N314" s="3381" t="s">
        <v>23</v>
      </c>
      <c r="O314" s="3340" t="s">
        <v>3099</v>
      </c>
    </row>
    <row r="315" spans="1:15">
      <c r="A315" s="3575"/>
      <c r="B315" s="3575"/>
      <c r="C315" s="3575"/>
      <c r="D315" s="3584"/>
      <c r="E315" s="3353" t="s">
        <v>3456</v>
      </c>
      <c r="F315" s="3353" t="s">
        <v>3206</v>
      </c>
      <c r="G315" s="3347" t="s">
        <v>3183</v>
      </c>
      <c r="H315" s="3347">
        <v>1230.54</v>
      </c>
      <c r="I315" s="3347">
        <f t="shared" si="15"/>
        <v>1230.54</v>
      </c>
      <c r="J315" s="3381">
        <v>0</v>
      </c>
      <c r="K315" s="3381"/>
      <c r="L315" s="3582"/>
      <c r="M315" s="3381">
        <v>2</v>
      </c>
      <c r="N315" s="3381" t="s">
        <v>23</v>
      </c>
      <c r="O315" s="3340" t="s">
        <v>3099</v>
      </c>
    </row>
    <row r="316" spans="1:15">
      <c r="A316" s="3575"/>
      <c r="B316" s="3575"/>
      <c r="C316" s="3575"/>
      <c r="D316" s="3584"/>
      <c r="E316" s="3353" t="s">
        <v>3456</v>
      </c>
      <c r="F316" s="3353" t="s">
        <v>3207</v>
      </c>
      <c r="G316" s="3347" t="s">
        <v>3442</v>
      </c>
      <c r="H316" s="3347">
        <v>90</v>
      </c>
      <c r="I316" s="3347">
        <f t="shared" si="15"/>
        <v>90</v>
      </c>
      <c r="J316" s="3381">
        <v>0</v>
      </c>
      <c r="K316" s="3381"/>
      <c r="L316" s="3582"/>
      <c r="M316" s="3381">
        <v>2</v>
      </c>
      <c r="N316" s="3381" t="s">
        <v>23</v>
      </c>
      <c r="O316" s="3340" t="s">
        <v>3099</v>
      </c>
    </row>
    <row r="317" spans="1:15">
      <c r="A317" s="3575"/>
      <c r="B317" s="3575"/>
      <c r="C317" s="3575"/>
      <c r="D317" s="3584"/>
      <c r="E317" s="3353" t="s">
        <v>3456</v>
      </c>
      <c r="F317" s="3353" t="s">
        <v>3129</v>
      </c>
      <c r="G317" s="3347" t="s">
        <v>3466</v>
      </c>
      <c r="H317" s="3347">
        <v>70.7</v>
      </c>
      <c r="I317" s="3347">
        <f t="shared" si="15"/>
        <v>70.7</v>
      </c>
      <c r="J317" s="3381">
        <v>0</v>
      </c>
      <c r="K317" s="3381"/>
      <c r="L317" s="3582"/>
      <c r="M317" s="3381">
        <v>1</v>
      </c>
      <c r="N317" s="3381" t="s">
        <v>23</v>
      </c>
      <c r="O317" s="3340" t="s">
        <v>3099</v>
      </c>
    </row>
    <row r="318" spans="1:15">
      <c r="A318" s="3575"/>
      <c r="B318" s="3575"/>
      <c r="C318" s="3575"/>
      <c r="D318" s="3584"/>
      <c r="E318" s="3353" t="s">
        <v>3456</v>
      </c>
      <c r="F318" s="3353" t="s">
        <v>3467</v>
      </c>
      <c r="G318" s="3347" t="s">
        <v>3466</v>
      </c>
      <c r="H318" s="3347">
        <v>28.69</v>
      </c>
      <c r="I318" s="3347">
        <f t="shared" si="15"/>
        <v>28.69</v>
      </c>
      <c r="J318" s="3381">
        <v>0</v>
      </c>
      <c r="K318" s="3381"/>
      <c r="L318" s="3582"/>
      <c r="M318" s="3381">
        <v>1</v>
      </c>
      <c r="N318" s="3381" t="s">
        <v>23</v>
      </c>
      <c r="O318" s="3340" t="s">
        <v>3099</v>
      </c>
    </row>
    <row r="319" spans="1:15">
      <c r="A319" s="3575"/>
      <c r="B319" s="3575"/>
      <c r="C319" s="3575"/>
      <c r="D319" s="3584"/>
      <c r="E319" s="3353" t="s">
        <v>3456</v>
      </c>
      <c r="F319" s="3353" t="s">
        <v>3344</v>
      </c>
      <c r="G319" s="3347" t="s">
        <v>3466</v>
      </c>
      <c r="H319" s="3347">
        <v>28.32</v>
      </c>
      <c r="I319" s="3347">
        <f t="shared" si="15"/>
        <v>28.32</v>
      </c>
      <c r="J319" s="3381">
        <v>0</v>
      </c>
      <c r="K319" s="3381"/>
      <c r="L319" s="3582"/>
      <c r="M319" s="3381">
        <v>1</v>
      </c>
      <c r="N319" s="3381" t="s">
        <v>23</v>
      </c>
      <c r="O319" s="3340" t="s">
        <v>3099</v>
      </c>
    </row>
    <row r="320" spans="1:15">
      <c r="A320" s="3575"/>
      <c r="B320" s="3575"/>
      <c r="C320" s="3575"/>
      <c r="D320" s="3584"/>
      <c r="E320" s="3353" t="s">
        <v>3456</v>
      </c>
      <c r="F320" s="3353" t="s">
        <v>3133</v>
      </c>
      <c r="G320" s="3347" t="s">
        <v>3466</v>
      </c>
      <c r="H320" s="3347">
        <v>37.44</v>
      </c>
      <c r="I320" s="3347">
        <f t="shared" si="15"/>
        <v>37.44</v>
      </c>
      <c r="J320" s="3381">
        <v>0</v>
      </c>
      <c r="K320" s="3381"/>
      <c r="L320" s="3582"/>
      <c r="M320" s="3381">
        <v>1</v>
      </c>
      <c r="N320" s="3381" t="s">
        <v>23</v>
      </c>
      <c r="O320" s="3340" t="s">
        <v>3099</v>
      </c>
    </row>
    <row r="321" spans="1:15">
      <c r="A321" s="3575"/>
      <c r="B321" s="3575"/>
      <c r="C321" s="3575"/>
      <c r="D321" s="3584"/>
      <c r="E321" s="3353" t="s">
        <v>3456</v>
      </c>
      <c r="F321" s="3353" t="s">
        <v>3135</v>
      </c>
      <c r="G321" s="3347" t="s">
        <v>3139</v>
      </c>
      <c r="H321" s="3347">
        <v>516.89</v>
      </c>
      <c r="I321" s="3347">
        <f t="shared" si="15"/>
        <v>516.89</v>
      </c>
      <c r="J321" s="3381">
        <v>0</v>
      </c>
      <c r="K321" s="3381"/>
      <c r="L321" s="3582"/>
      <c r="M321" s="3381">
        <v>2</v>
      </c>
      <c r="N321" s="3381" t="s">
        <v>23</v>
      </c>
      <c r="O321" s="3340" t="s">
        <v>3099</v>
      </c>
    </row>
    <row r="322" spans="1:15">
      <c r="A322" s="3575"/>
      <c r="B322" s="3575"/>
      <c r="C322" s="3575"/>
      <c r="D322" s="3584"/>
      <c r="E322" s="3353" t="s">
        <v>3456</v>
      </c>
      <c r="F322" s="3353" t="s">
        <v>3136</v>
      </c>
      <c r="G322" s="3347" t="s">
        <v>3139</v>
      </c>
      <c r="H322" s="3347">
        <v>481.42</v>
      </c>
      <c r="I322" s="3347">
        <f t="shared" si="15"/>
        <v>481.42</v>
      </c>
      <c r="J322" s="3381">
        <v>0</v>
      </c>
      <c r="K322" s="3381"/>
      <c r="L322" s="3582"/>
      <c r="M322" s="3381">
        <v>2</v>
      </c>
      <c r="N322" s="3381" t="s">
        <v>23</v>
      </c>
      <c r="O322" s="3340" t="s">
        <v>3099</v>
      </c>
    </row>
    <row r="323" spans="1:15">
      <c r="A323" s="3575"/>
      <c r="B323" s="3575"/>
      <c r="C323" s="3575"/>
      <c r="D323" s="3584"/>
      <c r="E323" s="3353" t="s">
        <v>3456</v>
      </c>
      <c r="F323" s="3353" t="s">
        <v>3137</v>
      </c>
      <c r="G323" s="3347" t="s">
        <v>3139</v>
      </c>
      <c r="H323" s="3347">
        <v>223.49</v>
      </c>
      <c r="I323" s="3347">
        <f t="shared" si="15"/>
        <v>223.49</v>
      </c>
      <c r="J323" s="3381">
        <v>0</v>
      </c>
      <c r="K323" s="3381"/>
      <c r="L323" s="3582"/>
      <c r="M323" s="3381">
        <v>2</v>
      </c>
      <c r="N323" s="3381" t="s">
        <v>23</v>
      </c>
      <c r="O323" s="3340" t="s">
        <v>3099</v>
      </c>
    </row>
    <row r="324" spans="1:15">
      <c r="A324" s="3575"/>
      <c r="B324" s="3575"/>
      <c r="C324" s="3575"/>
      <c r="D324" s="3584"/>
      <c r="E324" s="3353" t="s">
        <v>3456</v>
      </c>
      <c r="F324" s="3353" t="s">
        <v>3345</v>
      </c>
      <c r="G324" s="3347" t="s">
        <v>3139</v>
      </c>
      <c r="H324" s="3347">
        <v>227.92</v>
      </c>
      <c r="I324" s="3347">
        <f t="shared" si="15"/>
        <v>227.92</v>
      </c>
      <c r="J324" s="3381">
        <v>0</v>
      </c>
      <c r="K324" s="3381"/>
      <c r="L324" s="3582"/>
      <c r="M324" s="3381">
        <v>2</v>
      </c>
      <c r="N324" s="3381" t="s">
        <v>23</v>
      </c>
      <c r="O324" s="3340" t="s">
        <v>3099</v>
      </c>
    </row>
    <row r="325" spans="1:15">
      <c r="A325" s="3575"/>
      <c r="B325" s="3575"/>
      <c r="C325" s="3575"/>
      <c r="D325" s="3584"/>
      <c r="E325" s="3353" t="s">
        <v>3456</v>
      </c>
      <c r="F325" s="3353" t="s">
        <v>3140</v>
      </c>
      <c r="G325" s="3347" t="s">
        <v>3139</v>
      </c>
      <c r="H325" s="3347">
        <v>319.87</v>
      </c>
      <c r="I325" s="3347">
        <f t="shared" si="15"/>
        <v>319.87</v>
      </c>
      <c r="J325" s="3381">
        <v>0</v>
      </c>
      <c r="K325" s="3381"/>
      <c r="L325" s="3582"/>
      <c r="M325" s="3381">
        <v>2</v>
      </c>
      <c r="N325" s="3381" t="s">
        <v>23</v>
      </c>
      <c r="O325" s="3340" t="s">
        <v>3099</v>
      </c>
    </row>
    <row r="326" spans="1:15">
      <c r="A326" s="3575"/>
      <c r="B326" s="3575"/>
      <c r="C326" s="3575"/>
      <c r="D326" s="3584"/>
      <c r="E326" s="3353" t="s">
        <v>3456</v>
      </c>
      <c r="F326" s="3353" t="s">
        <v>3468</v>
      </c>
      <c r="G326" s="3347" t="s">
        <v>3139</v>
      </c>
      <c r="H326" s="3347">
        <v>48.96</v>
      </c>
      <c r="I326" s="3347">
        <f t="shared" si="15"/>
        <v>48.96</v>
      </c>
      <c r="J326" s="3381">
        <v>0</v>
      </c>
      <c r="K326" s="3381"/>
      <c r="L326" s="3582"/>
      <c r="M326" s="3381">
        <v>1</v>
      </c>
      <c r="N326" s="3381" t="s">
        <v>23</v>
      </c>
      <c r="O326" s="3340" t="s">
        <v>3099</v>
      </c>
    </row>
    <row r="327" spans="1:15">
      <c r="A327" s="3575"/>
      <c r="B327" s="3575"/>
      <c r="C327" s="3575"/>
      <c r="D327" s="3584"/>
      <c r="E327" s="3353" t="s">
        <v>3456</v>
      </c>
      <c r="F327" s="3353" t="s">
        <v>3347</v>
      </c>
      <c r="G327" s="3347" t="s">
        <v>3139</v>
      </c>
      <c r="H327" s="3347">
        <v>72.08</v>
      </c>
      <c r="I327" s="3347">
        <f t="shared" si="15"/>
        <v>72.08</v>
      </c>
      <c r="J327" s="3381">
        <v>0</v>
      </c>
      <c r="K327" s="3381"/>
      <c r="L327" s="3582"/>
      <c r="M327" s="3381">
        <v>1</v>
      </c>
      <c r="N327" s="3381" t="s">
        <v>23</v>
      </c>
      <c r="O327" s="3340" t="s">
        <v>3099</v>
      </c>
    </row>
    <row r="328" spans="1:15">
      <c r="A328" s="3575"/>
      <c r="B328" s="3575"/>
      <c r="C328" s="3575"/>
      <c r="D328" s="3584"/>
      <c r="E328" s="3353" t="s">
        <v>3456</v>
      </c>
      <c r="F328" s="3353" t="s">
        <v>3244</v>
      </c>
      <c r="G328" s="3347" t="s">
        <v>3139</v>
      </c>
      <c r="H328" s="3347">
        <v>341.94</v>
      </c>
      <c r="I328" s="3347">
        <f t="shared" si="15"/>
        <v>341.94</v>
      </c>
      <c r="J328" s="3381">
        <v>0</v>
      </c>
      <c r="K328" s="3381"/>
      <c r="L328" s="3582"/>
      <c r="M328" s="3381">
        <v>2</v>
      </c>
      <c r="N328" s="3381" t="s">
        <v>23</v>
      </c>
      <c r="O328" s="3340" t="s">
        <v>3099</v>
      </c>
    </row>
    <row r="329" spans="1:15">
      <c r="A329" s="3575"/>
      <c r="B329" s="3575"/>
      <c r="C329" s="3575"/>
      <c r="D329" s="3584"/>
      <c r="E329" s="3353" t="s">
        <v>3456</v>
      </c>
      <c r="F329" s="3353" t="s">
        <v>3141</v>
      </c>
      <c r="G329" s="3347" t="s">
        <v>3139</v>
      </c>
      <c r="H329" s="3347">
        <v>62.75</v>
      </c>
      <c r="I329" s="3347">
        <f t="shared" si="15"/>
        <v>62.75</v>
      </c>
      <c r="J329" s="3381">
        <v>0</v>
      </c>
      <c r="K329" s="3381"/>
      <c r="L329" s="3582"/>
      <c r="M329" s="3381">
        <v>1</v>
      </c>
      <c r="N329" s="3381" t="s">
        <v>23</v>
      </c>
      <c r="O329" s="3340" t="s">
        <v>3099</v>
      </c>
    </row>
    <row r="330" spans="1:15">
      <c r="A330" s="3575"/>
      <c r="B330" s="3575"/>
      <c r="C330" s="3575"/>
      <c r="D330" s="3584"/>
      <c r="E330" s="3353" t="s">
        <v>3456</v>
      </c>
      <c r="F330" s="3353" t="s">
        <v>3350</v>
      </c>
      <c r="G330" s="3347" t="s">
        <v>3139</v>
      </c>
      <c r="H330" s="3347">
        <v>43.67</v>
      </c>
      <c r="I330" s="3347">
        <f t="shared" si="15"/>
        <v>43.67</v>
      </c>
      <c r="J330" s="3381">
        <v>0</v>
      </c>
      <c r="K330" s="3381"/>
      <c r="L330" s="3582"/>
      <c r="M330" s="3381">
        <v>1</v>
      </c>
      <c r="N330" s="3381" t="s">
        <v>23</v>
      </c>
      <c r="O330" s="3340" t="s">
        <v>3099</v>
      </c>
    </row>
    <row r="331" spans="1:15">
      <c r="A331" s="3575"/>
      <c r="B331" s="3575"/>
      <c r="C331" s="3575"/>
      <c r="D331" s="3584"/>
      <c r="E331" s="3353" t="s">
        <v>3456</v>
      </c>
      <c r="F331" s="3353" t="s">
        <v>3351</v>
      </c>
      <c r="G331" s="3347" t="s">
        <v>3139</v>
      </c>
      <c r="H331" s="3347">
        <v>18.25</v>
      </c>
      <c r="I331" s="3347">
        <f t="shared" si="15"/>
        <v>18.25</v>
      </c>
      <c r="J331" s="3381">
        <v>0</v>
      </c>
      <c r="K331" s="3381"/>
      <c r="L331" s="3582"/>
      <c r="M331" s="3381">
        <v>1</v>
      </c>
      <c r="N331" s="3381" t="s">
        <v>23</v>
      </c>
      <c r="O331" s="3340" t="s">
        <v>3099</v>
      </c>
    </row>
    <row r="332" spans="1:15">
      <c r="A332" s="3575"/>
      <c r="B332" s="3575"/>
      <c r="C332" s="3575"/>
      <c r="D332" s="3584"/>
      <c r="E332" s="3353" t="s">
        <v>3456</v>
      </c>
      <c r="F332" s="3353" t="s">
        <v>3469</v>
      </c>
      <c r="G332" s="3347" t="s">
        <v>3139</v>
      </c>
      <c r="H332" s="3347">
        <v>393.7</v>
      </c>
      <c r="I332" s="3347">
        <f t="shared" si="15"/>
        <v>393.7</v>
      </c>
      <c r="J332" s="3381">
        <v>0</v>
      </c>
      <c r="K332" s="3381"/>
      <c r="L332" s="3582"/>
      <c r="M332" s="3381">
        <v>1</v>
      </c>
      <c r="N332" s="3381" t="s">
        <v>23</v>
      </c>
      <c r="O332" s="3340" t="s">
        <v>3099</v>
      </c>
    </row>
    <row r="333" spans="1:15">
      <c r="A333" s="3575"/>
      <c r="B333" s="3575"/>
      <c r="C333" s="3575"/>
      <c r="D333" s="3584"/>
      <c r="E333" s="3353" t="s">
        <v>3456</v>
      </c>
      <c r="F333" s="3353" t="s">
        <v>3146</v>
      </c>
      <c r="G333" s="3347" t="s">
        <v>3139</v>
      </c>
      <c r="H333" s="3347">
        <v>15.64</v>
      </c>
      <c r="I333" s="3347">
        <f t="shared" si="15"/>
        <v>15.64</v>
      </c>
      <c r="J333" s="3381">
        <v>0</v>
      </c>
      <c r="K333" s="3381"/>
      <c r="L333" s="3582"/>
      <c r="M333" s="3381">
        <v>1</v>
      </c>
      <c r="N333" s="3381" t="s">
        <v>23</v>
      </c>
      <c r="O333" s="3340" t="s">
        <v>3099</v>
      </c>
    </row>
    <row r="334" spans="1:15">
      <c r="A334" s="3575"/>
      <c r="B334" s="3575"/>
      <c r="C334" s="3575"/>
      <c r="D334" s="3584"/>
      <c r="E334" s="3353" t="s">
        <v>3456</v>
      </c>
      <c r="F334" s="3353" t="s">
        <v>3147</v>
      </c>
      <c r="G334" s="3347" t="s">
        <v>3139</v>
      </c>
      <c r="H334" s="3347">
        <v>61.98</v>
      </c>
      <c r="I334" s="3347">
        <f t="shared" si="15"/>
        <v>61.98</v>
      </c>
      <c r="J334" s="3381">
        <v>0</v>
      </c>
      <c r="K334" s="3381"/>
      <c r="L334" s="3582"/>
      <c r="M334" s="3381">
        <v>1</v>
      </c>
      <c r="N334" s="3381" t="s">
        <v>23</v>
      </c>
      <c r="O334" s="3340" t="s">
        <v>3099</v>
      </c>
    </row>
    <row r="335" spans="1:15">
      <c r="A335" s="3575"/>
      <c r="B335" s="3575"/>
      <c r="C335" s="3575"/>
      <c r="D335" s="3584"/>
      <c r="E335" s="3353" t="s">
        <v>3456</v>
      </c>
      <c r="F335" s="3353" t="s">
        <v>3470</v>
      </c>
      <c r="G335" s="3347" t="s">
        <v>3139</v>
      </c>
      <c r="H335" s="3347">
        <v>306.58999999999997</v>
      </c>
      <c r="I335" s="3347">
        <f t="shared" si="15"/>
        <v>306.58999999999997</v>
      </c>
      <c r="J335" s="3381">
        <v>0</v>
      </c>
      <c r="K335" s="3381"/>
      <c r="L335" s="3582"/>
      <c r="M335" s="3381">
        <v>2</v>
      </c>
      <c r="N335" s="3381" t="s">
        <v>23</v>
      </c>
      <c r="O335" s="3340" t="s">
        <v>3099</v>
      </c>
    </row>
    <row r="336" spans="1:15">
      <c r="A336" s="3575"/>
      <c r="B336" s="3575"/>
      <c r="C336" s="3575"/>
      <c r="D336" s="3584"/>
      <c r="E336" s="3353" t="s">
        <v>3456</v>
      </c>
      <c r="F336" s="3353" t="s">
        <v>3353</v>
      </c>
      <c r="G336" s="3347" t="s">
        <v>3139</v>
      </c>
      <c r="H336" s="3347">
        <v>34.99</v>
      </c>
      <c r="I336" s="3347">
        <f t="shared" si="15"/>
        <v>34.99</v>
      </c>
      <c r="J336" s="3381">
        <v>0</v>
      </c>
      <c r="K336" s="3381"/>
      <c r="L336" s="3582"/>
      <c r="M336" s="3381">
        <v>1</v>
      </c>
      <c r="N336" s="3381" t="s">
        <v>23</v>
      </c>
      <c r="O336" s="3340" t="s">
        <v>3099</v>
      </c>
    </row>
    <row r="337" spans="1:15">
      <c r="A337" s="3575"/>
      <c r="B337" s="3575"/>
      <c r="C337" s="3575"/>
      <c r="D337" s="3584"/>
      <c r="E337" s="3353" t="s">
        <v>3456</v>
      </c>
      <c r="F337" s="3353" t="s">
        <v>3149</v>
      </c>
      <c r="G337" s="3347" t="s">
        <v>3139</v>
      </c>
      <c r="H337" s="3347">
        <v>286.06</v>
      </c>
      <c r="I337" s="3347">
        <f t="shared" si="15"/>
        <v>286.06</v>
      </c>
      <c r="J337" s="3381">
        <v>0</v>
      </c>
      <c r="K337" s="3381"/>
      <c r="L337" s="3582"/>
      <c r="M337" s="3381">
        <v>2</v>
      </c>
      <c r="N337" s="3381" t="s">
        <v>23</v>
      </c>
      <c r="O337" s="3340" t="s">
        <v>3099</v>
      </c>
    </row>
    <row r="338" spans="1:15">
      <c r="A338" s="3575"/>
      <c r="B338" s="3575"/>
      <c r="C338" s="3575"/>
      <c r="D338" s="3584"/>
      <c r="E338" s="3353" t="s">
        <v>3456</v>
      </c>
      <c r="F338" s="3353" t="s">
        <v>3150</v>
      </c>
      <c r="G338" s="3347" t="s">
        <v>3139</v>
      </c>
      <c r="H338" s="3347">
        <v>63.51</v>
      </c>
      <c r="I338" s="3347">
        <f t="shared" si="15"/>
        <v>63.51</v>
      </c>
      <c r="J338" s="3381">
        <v>0</v>
      </c>
      <c r="K338" s="3381"/>
      <c r="L338" s="3582"/>
      <c r="M338" s="3381">
        <v>1</v>
      </c>
      <c r="N338" s="3381" t="s">
        <v>23</v>
      </c>
      <c r="O338" s="3340" t="s">
        <v>3099</v>
      </c>
    </row>
    <row r="339" spans="1:15">
      <c r="A339" s="3575"/>
      <c r="B339" s="3575"/>
      <c r="C339" s="3583"/>
      <c r="D339" s="3585"/>
      <c r="E339" s="3347" t="s">
        <v>3456</v>
      </c>
      <c r="F339" s="3347" t="s">
        <v>3151</v>
      </c>
      <c r="G339" s="3347" t="s">
        <v>3139</v>
      </c>
      <c r="H339" s="3347">
        <v>1773.15</v>
      </c>
      <c r="I339" s="3354">
        <v>1272.24</v>
      </c>
      <c r="J339" s="3354">
        <v>500.91</v>
      </c>
      <c r="K339" s="3388"/>
      <c r="L339" s="3582"/>
      <c r="M339" s="3381">
        <v>2</v>
      </c>
      <c r="N339" s="3381">
        <v>1</v>
      </c>
      <c r="O339" s="3340" t="s">
        <v>3099</v>
      </c>
    </row>
    <row r="340" spans="1:15">
      <c r="A340" s="3575"/>
      <c r="B340" s="3575"/>
      <c r="C340" s="3575"/>
      <c r="D340" s="3584"/>
      <c r="E340" s="3353" t="s">
        <v>3456</v>
      </c>
      <c r="F340" s="3353" t="s">
        <v>3152</v>
      </c>
      <c r="G340" s="3347" t="s">
        <v>3139</v>
      </c>
      <c r="H340" s="3347">
        <v>11.97</v>
      </c>
      <c r="I340" s="3347">
        <f t="shared" ref="I340:I352" si="16">H340</f>
        <v>11.97</v>
      </c>
      <c r="J340" s="3381">
        <v>0</v>
      </c>
      <c r="K340" s="3381"/>
      <c r="L340" s="3582"/>
      <c r="M340" s="3381">
        <v>1</v>
      </c>
      <c r="N340" s="3381" t="s">
        <v>23</v>
      </c>
      <c r="O340" s="3340" t="s">
        <v>3099</v>
      </c>
    </row>
    <row r="341" spans="1:15">
      <c r="A341" s="3575"/>
      <c r="B341" s="3575"/>
      <c r="C341" s="3575"/>
      <c r="D341" s="3584"/>
      <c r="E341" s="3353" t="s">
        <v>3456</v>
      </c>
      <c r="F341" s="3353" t="s">
        <v>3471</v>
      </c>
      <c r="G341" s="3347" t="s">
        <v>3139</v>
      </c>
      <c r="H341" s="3347">
        <v>97.82</v>
      </c>
      <c r="I341" s="3347">
        <f t="shared" si="16"/>
        <v>97.82</v>
      </c>
      <c r="J341" s="3381">
        <v>0</v>
      </c>
      <c r="K341" s="3381"/>
      <c r="L341" s="3582"/>
      <c r="M341" s="3381">
        <v>2</v>
      </c>
      <c r="N341" s="3381" t="s">
        <v>23</v>
      </c>
      <c r="O341" s="3340" t="s">
        <v>3099</v>
      </c>
    </row>
    <row r="342" spans="1:15">
      <c r="A342" s="3575"/>
      <c r="B342" s="3575"/>
      <c r="C342" s="3575"/>
      <c r="D342" s="3584"/>
      <c r="E342" s="3353" t="s">
        <v>3456</v>
      </c>
      <c r="F342" s="3353" t="s">
        <v>3472</v>
      </c>
      <c r="G342" s="3347" t="s">
        <v>3139</v>
      </c>
      <c r="H342" s="3347">
        <v>31.68</v>
      </c>
      <c r="I342" s="3347">
        <f t="shared" si="16"/>
        <v>31.68</v>
      </c>
      <c r="J342" s="3381">
        <v>0</v>
      </c>
      <c r="K342" s="3381"/>
      <c r="L342" s="3582"/>
      <c r="M342" s="3381">
        <v>1</v>
      </c>
      <c r="N342" s="3381" t="s">
        <v>23</v>
      </c>
      <c r="O342" s="3340" t="s">
        <v>3099</v>
      </c>
    </row>
    <row r="343" spans="1:15">
      <c r="A343" s="3575"/>
      <c r="B343" s="3575"/>
      <c r="C343" s="3575"/>
      <c r="D343" s="3584"/>
      <c r="E343" s="3353" t="s">
        <v>3456</v>
      </c>
      <c r="F343" s="3353" t="s">
        <v>3473</v>
      </c>
      <c r="G343" s="3347" t="s">
        <v>3139</v>
      </c>
      <c r="H343" s="3347">
        <v>40.700000000000003</v>
      </c>
      <c r="I343" s="3347">
        <f t="shared" si="16"/>
        <v>40.700000000000003</v>
      </c>
      <c r="J343" s="3381">
        <v>0</v>
      </c>
      <c r="K343" s="3381"/>
      <c r="L343" s="3582"/>
      <c r="M343" s="3381">
        <v>1</v>
      </c>
      <c r="N343" s="3381" t="s">
        <v>23</v>
      </c>
      <c r="O343" s="3340" t="s">
        <v>3099</v>
      </c>
    </row>
    <row r="344" spans="1:15">
      <c r="A344" s="3575"/>
      <c r="B344" s="3575"/>
      <c r="C344" s="3575"/>
      <c r="D344" s="3584"/>
      <c r="E344" s="3353" t="s">
        <v>3456</v>
      </c>
      <c r="F344" s="3353" t="s">
        <v>3357</v>
      </c>
      <c r="G344" s="3347" t="s">
        <v>3139</v>
      </c>
      <c r="H344" s="3347">
        <v>86.24</v>
      </c>
      <c r="I344" s="3347">
        <f t="shared" si="16"/>
        <v>86.24</v>
      </c>
      <c r="J344" s="3381">
        <v>0</v>
      </c>
      <c r="K344" s="3381"/>
      <c r="L344" s="3582"/>
      <c r="M344" s="3381">
        <v>2</v>
      </c>
      <c r="N344" s="3381" t="s">
        <v>23</v>
      </c>
      <c r="O344" s="3340" t="s">
        <v>3099</v>
      </c>
    </row>
    <row r="345" spans="1:15">
      <c r="A345" s="3575"/>
      <c r="B345" s="3575"/>
      <c r="C345" s="3575"/>
      <c r="D345" s="3584"/>
      <c r="E345" s="3353" t="s">
        <v>3456</v>
      </c>
      <c r="F345" s="3353" t="s">
        <v>3358</v>
      </c>
      <c r="G345" s="3347" t="s">
        <v>3139</v>
      </c>
      <c r="H345" s="3347">
        <v>39.24</v>
      </c>
      <c r="I345" s="3347">
        <f t="shared" si="16"/>
        <v>39.24</v>
      </c>
      <c r="J345" s="3381">
        <v>0</v>
      </c>
      <c r="K345" s="3381"/>
      <c r="L345" s="3582"/>
      <c r="M345" s="3381">
        <v>1</v>
      </c>
      <c r="N345" s="3381" t="s">
        <v>23</v>
      </c>
      <c r="O345" s="3340" t="s">
        <v>3099</v>
      </c>
    </row>
    <row r="346" spans="1:15">
      <c r="A346" s="3575"/>
      <c r="B346" s="3575"/>
      <c r="C346" s="3575"/>
      <c r="D346" s="3584"/>
      <c r="E346" s="3353" t="s">
        <v>3456</v>
      </c>
      <c r="F346" s="3353" t="s">
        <v>3360</v>
      </c>
      <c r="G346" s="3347" t="s">
        <v>3139</v>
      </c>
      <c r="H346" s="3347">
        <v>108.56</v>
      </c>
      <c r="I346" s="3347">
        <f t="shared" si="16"/>
        <v>108.56</v>
      </c>
      <c r="J346" s="3381">
        <v>0</v>
      </c>
      <c r="K346" s="3381"/>
      <c r="L346" s="3582"/>
      <c r="M346" s="3381">
        <v>1</v>
      </c>
      <c r="N346" s="3381" t="s">
        <v>23</v>
      </c>
      <c r="O346" s="3340" t="s">
        <v>3099</v>
      </c>
    </row>
    <row r="347" spans="1:15">
      <c r="A347" s="3575"/>
      <c r="B347" s="3575"/>
      <c r="C347" s="3575"/>
      <c r="D347" s="3584"/>
      <c r="E347" s="3353" t="s">
        <v>3456</v>
      </c>
      <c r="F347" s="3353" t="s">
        <v>3362</v>
      </c>
      <c r="G347" s="3347" t="s">
        <v>3139</v>
      </c>
      <c r="H347" s="3347">
        <v>24.23</v>
      </c>
      <c r="I347" s="3347">
        <f t="shared" si="16"/>
        <v>24.23</v>
      </c>
      <c r="J347" s="3381">
        <v>0</v>
      </c>
      <c r="K347" s="3381"/>
      <c r="L347" s="3582"/>
      <c r="M347" s="3381">
        <v>1</v>
      </c>
      <c r="N347" s="3381" t="s">
        <v>23</v>
      </c>
      <c r="O347" s="3340" t="s">
        <v>3099</v>
      </c>
    </row>
    <row r="348" spans="1:15">
      <c r="A348" s="3575"/>
      <c r="B348" s="3575"/>
      <c r="C348" s="3575"/>
      <c r="D348" s="3584"/>
      <c r="E348" s="3353" t="s">
        <v>3456</v>
      </c>
      <c r="F348" s="3353" t="s">
        <v>3474</v>
      </c>
      <c r="G348" s="3347" t="s">
        <v>3139</v>
      </c>
      <c r="H348" s="3347">
        <v>75.14</v>
      </c>
      <c r="I348" s="3347">
        <f t="shared" si="16"/>
        <v>75.14</v>
      </c>
      <c r="J348" s="3381">
        <v>0</v>
      </c>
      <c r="K348" s="3381"/>
      <c r="L348" s="3582"/>
      <c r="M348" s="3381">
        <v>1</v>
      </c>
      <c r="N348" s="3381" t="s">
        <v>23</v>
      </c>
      <c r="O348" s="3340" t="s">
        <v>3099</v>
      </c>
    </row>
    <row r="349" spans="1:15">
      <c r="A349" s="3575"/>
      <c r="B349" s="3575"/>
      <c r="C349" s="3575"/>
      <c r="D349" s="3584"/>
      <c r="E349" s="3353" t="s">
        <v>3456</v>
      </c>
      <c r="F349" s="3353" t="s">
        <v>3475</v>
      </c>
      <c r="G349" s="3347" t="s">
        <v>3139</v>
      </c>
      <c r="H349" s="3347">
        <v>62.37</v>
      </c>
      <c r="I349" s="3347">
        <f t="shared" si="16"/>
        <v>62.37</v>
      </c>
      <c r="J349" s="3381">
        <v>0</v>
      </c>
      <c r="K349" s="3381"/>
      <c r="L349" s="3582"/>
      <c r="M349" s="3381">
        <v>1</v>
      </c>
      <c r="N349" s="3381" t="s">
        <v>23</v>
      </c>
      <c r="O349" s="3340" t="s">
        <v>3099</v>
      </c>
    </row>
    <row r="350" spans="1:15">
      <c r="A350" s="3575"/>
      <c r="B350" s="3575"/>
      <c r="C350" s="3575"/>
      <c r="D350" s="3584"/>
      <c r="E350" s="3353" t="s">
        <v>3456</v>
      </c>
      <c r="F350" s="3353" t="s">
        <v>3476</v>
      </c>
      <c r="G350" s="3347" t="s">
        <v>3139</v>
      </c>
      <c r="H350" s="3347">
        <v>65.31</v>
      </c>
      <c r="I350" s="3347">
        <f t="shared" si="16"/>
        <v>65.31</v>
      </c>
      <c r="J350" s="3381">
        <v>0</v>
      </c>
      <c r="K350" s="3381"/>
      <c r="L350" s="3582"/>
      <c r="M350" s="3381">
        <v>1</v>
      </c>
      <c r="N350" s="3381" t="s">
        <v>23</v>
      </c>
      <c r="O350" s="3340" t="s">
        <v>3099</v>
      </c>
    </row>
    <row r="351" spans="1:15">
      <c r="A351" s="3575"/>
      <c r="B351" s="3575"/>
      <c r="C351" s="3575"/>
      <c r="D351" s="3584"/>
      <c r="E351" s="3353" t="s">
        <v>3456</v>
      </c>
      <c r="F351" s="3353" t="s">
        <v>3477</v>
      </c>
      <c r="G351" s="3347" t="s">
        <v>3139</v>
      </c>
      <c r="H351" s="3347">
        <v>27.5</v>
      </c>
      <c r="I351" s="3347">
        <f t="shared" si="16"/>
        <v>27.5</v>
      </c>
      <c r="J351" s="3381">
        <v>0</v>
      </c>
      <c r="K351" s="3381"/>
      <c r="L351" s="3582"/>
      <c r="M351" s="3381">
        <v>1</v>
      </c>
      <c r="N351" s="3381" t="s">
        <v>23</v>
      </c>
      <c r="O351" s="3340" t="s">
        <v>3099</v>
      </c>
    </row>
    <row r="352" spans="1:15">
      <c r="A352" s="3575"/>
      <c r="B352" s="3575"/>
      <c r="C352" s="3575"/>
      <c r="D352" s="3584"/>
      <c r="E352" s="3353" t="s">
        <v>3456</v>
      </c>
      <c r="F352" s="3353" t="s">
        <v>3281</v>
      </c>
      <c r="G352" s="3347" t="s">
        <v>3478</v>
      </c>
      <c r="H352" s="3347">
        <v>85.65</v>
      </c>
      <c r="I352" s="3347">
        <f t="shared" si="16"/>
        <v>85.65</v>
      </c>
      <c r="J352" s="3381">
        <v>0</v>
      </c>
      <c r="K352" s="3381"/>
      <c r="L352" s="3582"/>
      <c r="M352" s="3381">
        <v>3</v>
      </c>
      <c r="N352" s="3381" t="s">
        <v>23</v>
      </c>
      <c r="O352" s="3340" t="s">
        <v>3099</v>
      </c>
    </row>
    <row r="353" spans="1:15">
      <c r="A353" s="3575"/>
      <c r="B353" s="3575"/>
      <c r="C353" s="3583"/>
      <c r="D353" s="3585"/>
      <c r="E353" s="3347" t="s">
        <v>3456</v>
      </c>
      <c r="F353" s="3347" t="s">
        <v>3479</v>
      </c>
      <c r="G353" s="3347" t="s">
        <v>3210</v>
      </c>
      <c r="H353" s="3347">
        <v>1859.18</v>
      </c>
      <c r="I353" s="3354">
        <v>1294.71</v>
      </c>
      <c r="J353" s="3354">
        <v>418.58</v>
      </c>
      <c r="K353" s="3383">
        <v>145.88999999999999</v>
      </c>
      <c r="L353" s="3582"/>
      <c r="M353" s="3381">
        <v>2</v>
      </c>
      <c r="N353" s="3381" t="s">
        <v>23</v>
      </c>
      <c r="O353" s="3340" t="s">
        <v>3099</v>
      </c>
    </row>
    <row r="354" spans="1:15">
      <c r="A354" s="3575"/>
      <c r="B354" s="3575"/>
      <c r="C354" s="3575"/>
      <c r="D354" s="3584"/>
      <c r="E354" s="3353" t="s">
        <v>3456</v>
      </c>
      <c r="F354" s="3353" t="s">
        <v>3480</v>
      </c>
      <c r="G354" s="3347" t="s">
        <v>3465</v>
      </c>
      <c r="H354" s="3347">
        <v>222.41</v>
      </c>
      <c r="I354" s="3347">
        <f>H354</f>
        <v>222.41</v>
      </c>
      <c r="J354" s="3381">
        <v>0</v>
      </c>
      <c r="K354" s="3381"/>
      <c r="L354" s="3582"/>
      <c r="M354" s="3381">
        <v>2</v>
      </c>
      <c r="N354" s="3381" t="s">
        <v>23</v>
      </c>
      <c r="O354" s="3340" t="s">
        <v>3099</v>
      </c>
    </row>
    <row r="355" spans="1:15">
      <c r="A355" s="3575"/>
      <c r="B355" s="3575"/>
      <c r="C355" s="3575"/>
      <c r="D355" s="3584"/>
      <c r="E355" s="3353" t="s">
        <v>3456</v>
      </c>
      <c r="F355" s="3353" t="s">
        <v>3481</v>
      </c>
      <c r="G355" s="3347" t="s">
        <v>3465</v>
      </c>
      <c r="H355" s="3347">
        <v>495.12</v>
      </c>
      <c r="I355" s="3347">
        <f>H355</f>
        <v>495.12</v>
      </c>
      <c r="J355" s="3381">
        <v>0</v>
      </c>
      <c r="K355" s="3381"/>
      <c r="L355" s="3582"/>
      <c r="M355" s="3381">
        <v>2</v>
      </c>
      <c r="N355" s="3381" t="s">
        <v>23</v>
      </c>
      <c r="O355" s="3340" t="s">
        <v>3099</v>
      </c>
    </row>
    <row r="356" spans="1:15">
      <c r="A356" s="3575"/>
      <c r="B356" s="3575"/>
      <c r="C356" s="3575"/>
      <c r="D356" s="3584"/>
      <c r="E356" s="3353" t="s">
        <v>3456</v>
      </c>
      <c r="F356" s="3353" t="s">
        <v>3482</v>
      </c>
      <c r="G356" s="3347" t="s">
        <v>3465</v>
      </c>
      <c r="H356" s="3347">
        <v>784.52</v>
      </c>
      <c r="I356" s="3347">
        <f>H356</f>
        <v>784.52</v>
      </c>
      <c r="J356" s="3381">
        <v>0</v>
      </c>
      <c r="K356" s="3381"/>
      <c r="L356" s="3582"/>
      <c r="M356" s="3381">
        <v>3</v>
      </c>
      <c r="N356" s="3381" t="s">
        <v>23</v>
      </c>
      <c r="O356" s="3340" t="s">
        <v>3099</v>
      </c>
    </row>
    <row r="357" spans="1:15">
      <c r="A357" s="3575"/>
      <c r="B357" s="3575"/>
      <c r="C357" s="3575"/>
      <c r="D357" s="3584"/>
      <c r="E357" s="3353" t="s">
        <v>3456</v>
      </c>
      <c r="F357" s="3353" t="s">
        <v>3483</v>
      </c>
      <c r="G357" s="3347" t="s">
        <v>3461</v>
      </c>
      <c r="H357" s="3347">
        <v>33.450000000000003</v>
      </c>
      <c r="I357" s="3347">
        <f>H357</f>
        <v>33.450000000000003</v>
      </c>
      <c r="J357" s="3381">
        <v>0</v>
      </c>
      <c r="K357" s="3381"/>
      <c r="L357" s="3582"/>
      <c r="M357" s="3381">
        <v>2</v>
      </c>
      <c r="N357" s="3381" t="s">
        <v>23</v>
      </c>
      <c r="O357" s="3340" t="s">
        <v>3099</v>
      </c>
    </row>
    <row r="358" spans="1:15">
      <c r="A358" s="3575"/>
      <c r="B358" s="3575"/>
      <c r="C358" s="3583"/>
      <c r="D358" s="3585"/>
      <c r="E358" s="3347" t="s">
        <v>3456</v>
      </c>
      <c r="F358" s="3347" t="s">
        <v>3484</v>
      </c>
      <c r="G358" s="3347" t="s">
        <v>2565</v>
      </c>
      <c r="H358" s="3347">
        <v>1241.23</v>
      </c>
      <c r="I358" s="3354">
        <v>985.49</v>
      </c>
      <c r="J358" s="3354">
        <v>255.74</v>
      </c>
      <c r="K358" s="3395"/>
      <c r="L358" s="3582"/>
      <c r="M358" s="3381">
        <v>2</v>
      </c>
      <c r="N358" s="3381">
        <v>1</v>
      </c>
      <c r="O358" s="3340" t="s">
        <v>3099</v>
      </c>
    </row>
    <row r="359" spans="1:15">
      <c r="A359" s="3575"/>
      <c r="B359" s="3575"/>
      <c r="C359" s="3575"/>
      <c r="D359" s="3584"/>
      <c r="E359" s="3340" t="s">
        <v>3456</v>
      </c>
      <c r="F359" s="3340" t="s">
        <v>3485</v>
      </c>
      <c r="G359" s="3396" t="s">
        <v>3486</v>
      </c>
      <c r="H359" s="3396">
        <v>240.6</v>
      </c>
      <c r="I359" s="3396">
        <f>H359</f>
        <v>240.6</v>
      </c>
      <c r="J359" s="3389">
        <v>0</v>
      </c>
      <c r="K359" s="3389"/>
      <c r="L359" s="3580"/>
      <c r="M359" s="3381">
        <v>2</v>
      </c>
      <c r="N359" s="3381">
        <v>0</v>
      </c>
      <c r="O359" s="3340" t="s">
        <v>3099</v>
      </c>
    </row>
    <row r="360" spans="1:15" ht="24">
      <c r="A360" s="3575" t="s">
        <v>3487</v>
      </c>
      <c r="B360" s="3575"/>
      <c r="C360" s="3575"/>
      <c r="D360" s="3575"/>
      <c r="E360" s="3397"/>
      <c r="F360" s="3397"/>
      <c r="G360" s="3398" t="s">
        <v>3488</v>
      </c>
      <c r="H360" s="3398">
        <f>SUM(H2:H359)</f>
        <v>300166.0399999998</v>
      </c>
      <c r="I360" s="3399">
        <f>SUM(I2:I359)</f>
        <v>246696.93999999992</v>
      </c>
      <c r="J360" s="3399">
        <f>SUM(J2:J359)</f>
        <v>50602.71</v>
      </c>
      <c r="K360" s="3399">
        <f>SUM(K2:K359)</f>
        <v>2866.389999999999</v>
      </c>
      <c r="L360" s="3397"/>
      <c r="M360" s="3350" t="s">
        <v>3489</v>
      </c>
      <c r="N360" s="3400">
        <f>SUM(L2:L359)</f>
        <v>343695.7</v>
      </c>
      <c r="O360" s="3401"/>
    </row>
    <row r="361" spans="1:15" ht="24">
      <c r="A361" s="3397"/>
      <c r="B361" s="3397"/>
      <c r="C361" s="3397"/>
      <c r="D361" s="3397"/>
      <c r="E361" s="3397"/>
      <c r="F361" s="3397"/>
      <c r="G361" s="3402" t="s">
        <v>3490</v>
      </c>
      <c r="H361" s="3403">
        <f>H2+H6+K38+H40+K45+H48+H52+H53+H55+H59+H61+H74+H88+K96+H99+H108+H128+H130+H135+H136+K148+K149+K150+K151+K152+K153+K154+K155+H171+K235+K236+H197+H251+H311++H312+H359+K353+K294+K232+K147+K43+K42+K4+K3+H291+H272+H103+H85</f>
        <v>8588.0500000000029</v>
      </c>
      <c r="I361" s="3397"/>
      <c r="J361" s="3397"/>
      <c r="K361" s="3397"/>
      <c r="L361" s="3397"/>
      <c r="M361" s="3397" t="s">
        <v>3491</v>
      </c>
      <c r="N361" s="3404">
        <f>ROUND((I360+K360)/N360,2)</f>
        <v>0.73</v>
      </c>
      <c r="O361" s="3401"/>
    </row>
    <row r="362" spans="1:15">
      <c r="A362" s="3397"/>
      <c r="B362" s="3397"/>
      <c r="C362" s="3397"/>
      <c r="D362" s="3397"/>
      <c r="E362" s="3397"/>
      <c r="F362" s="3397"/>
      <c r="G362" s="3576" t="s">
        <v>3492</v>
      </c>
      <c r="H362" s="3577">
        <f>H360-H361</f>
        <v>291577.98999999982</v>
      </c>
      <c r="I362" s="3340" t="s">
        <v>3493</v>
      </c>
      <c r="J362" s="3344">
        <f>H362-J363</f>
        <v>241181.01999999981</v>
      </c>
      <c r="K362" s="3397"/>
      <c r="L362" s="3397"/>
      <c r="M362" s="3401"/>
      <c r="N362" s="3401"/>
      <c r="O362" s="3401"/>
    </row>
    <row r="363" spans="1:15">
      <c r="A363" s="3397"/>
      <c r="B363" s="3397"/>
      <c r="C363" s="3397"/>
      <c r="D363" s="3397"/>
      <c r="E363" s="3397"/>
      <c r="F363" s="3397"/>
      <c r="G363" s="3576"/>
      <c r="H363" s="3577"/>
      <c r="I363" s="3340" t="s">
        <v>3494</v>
      </c>
      <c r="J363" s="3340">
        <f>J3+J4+J7+J9+J11+J31+J41+J42+J43+J79+J106+J143+J147+J156+J162+J208+J232+J249+J292+J294+J299+J313+J339+J353+J358+J269</f>
        <v>50396.970000000008</v>
      </c>
      <c r="K363" s="3397"/>
      <c r="L363" s="3397"/>
      <c r="M363" s="3401"/>
      <c r="N363" s="3401"/>
      <c r="O363" s="3401"/>
    </row>
    <row r="364" spans="1:15">
      <c r="A364" s="3143"/>
      <c r="B364" s="3143"/>
      <c r="C364" s="3143"/>
      <c r="D364" s="3143"/>
      <c r="E364" s="3143"/>
      <c r="F364" s="3143"/>
      <c r="G364" s="3143"/>
      <c r="H364" s="3143"/>
      <c r="I364" s="3143"/>
      <c r="J364" s="3143"/>
      <c r="K364" s="3143"/>
      <c r="L364" s="3143"/>
      <c r="M364" s="3143"/>
      <c r="N364" s="3143"/>
      <c r="O364" s="3143"/>
    </row>
    <row r="365" spans="1:15">
      <c r="A365" s="3143"/>
      <c r="B365" s="3143"/>
      <c r="C365" s="3143"/>
      <c r="D365" s="3143"/>
      <c r="E365" s="3143"/>
      <c r="F365" s="3143"/>
      <c r="G365" s="3578" t="s">
        <v>3498</v>
      </c>
      <c r="H365" s="3409" t="s">
        <v>615</v>
      </c>
      <c r="I365" s="3409" t="s">
        <v>1836</v>
      </c>
      <c r="J365" s="3409" t="s">
        <v>3496</v>
      </c>
      <c r="K365" s="3143"/>
      <c r="L365" s="3143"/>
      <c r="M365" s="3143"/>
      <c r="N365" s="3143"/>
      <c r="O365" s="3143"/>
    </row>
    <row r="366" spans="1:15">
      <c r="A366" s="3143"/>
      <c r="B366" s="3143"/>
      <c r="C366" s="3143"/>
      <c r="D366" s="3143"/>
      <c r="E366" s="3143"/>
      <c r="F366" s="3143"/>
      <c r="G366" s="3578"/>
      <c r="H366" s="3414">
        <f>H361</f>
        <v>8588.0500000000029</v>
      </c>
      <c r="I366" s="3408">
        <v>2800</v>
      </c>
      <c r="J366" s="3415">
        <f>ROUND(H366*I366/10000,0)</f>
        <v>2405</v>
      </c>
      <c r="K366" s="3143"/>
      <c r="L366" s="3143"/>
      <c r="M366" s="3143"/>
      <c r="N366" s="3143"/>
      <c r="O366" s="3143"/>
    </row>
    <row r="367" spans="1:15">
      <c r="A367" s="3405" t="s">
        <v>3495</v>
      </c>
      <c r="B367" s="3406" t="s">
        <v>615</v>
      </c>
      <c r="C367" s="3407" t="s">
        <v>1836</v>
      </c>
      <c r="D367" s="3407" t="s">
        <v>3496</v>
      </c>
      <c r="E367" s="3408" t="s">
        <v>3497</v>
      </c>
      <c r="F367" s="3408" t="s">
        <v>3549</v>
      </c>
      <c r="G367" s="3408" t="s">
        <v>3550</v>
      </c>
      <c r="H367" s="3408" t="s">
        <v>3551</v>
      </c>
      <c r="K367" s="3143"/>
      <c r="L367" s="3143"/>
      <c r="M367" s="3143"/>
      <c r="N367" s="3143"/>
      <c r="O367" s="3143"/>
    </row>
    <row r="368" spans="1:15">
      <c r="A368" s="3410" t="s">
        <v>3499</v>
      </c>
      <c r="B368" s="3411">
        <f>I3+J3</f>
        <v>44374.06</v>
      </c>
      <c r="C368" s="3412">
        <v>6500</v>
      </c>
      <c r="D368" s="3412">
        <f>ROUND(B368*C368/10000,0)</f>
        <v>28843</v>
      </c>
      <c r="E368" s="3413">
        <v>0.4</v>
      </c>
      <c r="F368" s="3413">
        <v>0.99</v>
      </c>
      <c r="G368" s="3412">
        <f>ROUND(F368*D368,0)</f>
        <v>28555</v>
      </c>
      <c r="H368" s="3412">
        <f>D368-G368</f>
        <v>288</v>
      </c>
      <c r="K368" s="3143"/>
      <c r="L368" s="3143"/>
      <c r="M368" s="3143"/>
      <c r="N368" s="3143"/>
      <c r="O368" s="3143"/>
    </row>
    <row r="369" spans="1:15">
      <c r="A369" s="3410" t="s">
        <v>3500</v>
      </c>
      <c r="B369" s="3411">
        <f>I4+J4</f>
        <v>7344.88</v>
      </c>
      <c r="C369" s="3412">
        <f>$C$368</f>
        <v>6500</v>
      </c>
      <c r="D369" s="3412">
        <f t="shared" ref="D369:D385" si="17">ROUND(B369*C369/10000,0)</f>
        <v>4774</v>
      </c>
      <c r="E369" s="3413">
        <f>$E$368</f>
        <v>0.4</v>
      </c>
      <c r="F369" s="3413">
        <v>0.99</v>
      </c>
      <c r="G369" s="3412">
        <f t="shared" ref="G369:G385" si="18">ROUND(F369*D369,0)</f>
        <v>4726</v>
      </c>
      <c r="H369" s="3412">
        <f t="shared" ref="H369:H385" si="19">D369-G369</f>
        <v>48</v>
      </c>
      <c r="I369" s="3416"/>
      <c r="J369" s="3143"/>
      <c r="K369" s="3143"/>
      <c r="L369" s="3143"/>
      <c r="M369" s="3143"/>
      <c r="N369" s="3143"/>
      <c r="O369" s="3143"/>
    </row>
    <row r="370" spans="1:15">
      <c r="A370" s="3410" t="s">
        <v>3501</v>
      </c>
      <c r="B370" s="3411">
        <f>H5</f>
        <v>10101.4</v>
      </c>
      <c r="C370" s="3412">
        <f>$C$368</f>
        <v>6500</v>
      </c>
      <c r="D370" s="3412">
        <f t="shared" si="17"/>
        <v>6566</v>
      </c>
      <c r="E370" s="3413">
        <f>$E$368</f>
        <v>0.4</v>
      </c>
      <c r="F370" s="3413">
        <v>0.99</v>
      </c>
      <c r="G370" s="3412">
        <f t="shared" si="18"/>
        <v>6500</v>
      </c>
      <c r="H370" s="3412">
        <f t="shared" si="19"/>
        <v>66</v>
      </c>
      <c r="I370" s="3143"/>
      <c r="J370" s="3143"/>
      <c r="K370" s="3143"/>
      <c r="L370" s="3143"/>
      <c r="M370" s="3143"/>
      <c r="N370" s="3143"/>
      <c r="O370" s="3143"/>
    </row>
    <row r="371" spans="1:15">
      <c r="A371" s="3410" t="s">
        <v>3502</v>
      </c>
      <c r="B371" s="3411">
        <f>H26</f>
        <v>13512.13</v>
      </c>
      <c r="C371" s="3412">
        <f>$C$368</f>
        <v>6500</v>
      </c>
      <c r="D371" s="3412">
        <f t="shared" si="17"/>
        <v>8783</v>
      </c>
      <c r="E371" s="3413">
        <f>$E$368</f>
        <v>0.4</v>
      </c>
      <c r="F371" s="3413">
        <v>0.99</v>
      </c>
      <c r="G371" s="3412">
        <f t="shared" si="18"/>
        <v>8695</v>
      </c>
      <c r="H371" s="3412">
        <f t="shared" si="19"/>
        <v>88</v>
      </c>
      <c r="I371" s="3143"/>
      <c r="J371" s="3143"/>
      <c r="K371" s="3143"/>
      <c r="L371" s="3143"/>
      <c r="M371" s="3143"/>
      <c r="N371" s="3143"/>
      <c r="O371" s="3143"/>
    </row>
    <row r="372" spans="1:15">
      <c r="A372" s="3410" t="s">
        <v>3503</v>
      </c>
      <c r="B372" s="3411">
        <f>SUM(H7:H25)+SUM(H27:H36)</f>
        <v>18704.180000000004</v>
      </c>
      <c r="C372" s="3412">
        <v>4000</v>
      </c>
      <c r="D372" s="3412">
        <f t="shared" si="17"/>
        <v>7482</v>
      </c>
      <c r="E372" s="3413">
        <v>0.3</v>
      </c>
      <c r="F372" s="3413">
        <v>0.99</v>
      </c>
      <c r="G372" s="3412">
        <f t="shared" si="18"/>
        <v>7407</v>
      </c>
      <c r="H372" s="3412">
        <f t="shared" si="19"/>
        <v>75</v>
      </c>
      <c r="I372" s="3143"/>
      <c r="J372" s="3143"/>
      <c r="K372" s="3143"/>
      <c r="L372" s="3143"/>
      <c r="M372" s="3143"/>
      <c r="N372" s="3143"/>
      <c r="O372" s="3143"/>
    </row>
    <row r="373" spans="1:15">
      <c r="A373" s="3410" t="s">
        <v>3504</v>
      </c>
      <c r="B373" s="3411">
        <f>H37+I38+H39</f>
        <v>9041.66</v>
      </c>
      <c r="C373" s="3412">
        <f t="shared" ref="C373:C374" si="20">$C$368</f>
        <v>6500</v>
      </c>
      <c r="D373" s="3412">
        <f t="shared" si="17"/>
        <v>5877</v>
      </c>
      <c r="E373" s="3413">
        <f>$E$368</f>
        <v>0.4</v>
      </c>
      <c r="F373" s="3413">
        <v>0.99</v>
      </c>
      <c r="G373" s="3412">
        <f t="shared" si="18"/>
        <v>5818</v>
      </c>
      <c r="H373" s="3412">
        <f t="shared" si="19"/>
        <v>59</v>
      </c>
      <c r="I373" s="3143"/>
      <c r="J373" s="3143"/>
      <c r="K373" s="3143"/>
      <c r="L373" s="3143"/>
      <c r="M373" s="3143"/>
      <c r="N373" s="3143"/>
      <c r="O373" s="3143"/>
    </row>
    <row r="374" spans="1:15">
      <c r="A374" s="3410" t="s">
        <v>3505</v>
      </c>
      <c r="B374" s="3411">
        <f>I41+J41+I42+J42+I43+J43</f>
        <v>10646.35</v>
      </c>
      <c r="C374" s="3412">
        <f t="shared" si="20"/>
        <v>6500</v>
      </c>
      <c r="D374" s="3412">
        <f t="shared" si="17"/>
        <v>6920</v>
      </c>
      <c r="E374" s="3413">
        <f>$E$368</f>
        <v>0.4</v>
      </c>
      <c r="F374" s="3413">
        <v>0.99</v>
      </c>
      <c r="G374" s="3412">
        <f t="shared" si="18"/>
        <v>6851</v>
      </c>
      <c r="H374" s="3412">
        <f t="shared" si="19"/>
        <v>69</v>
      </c>
      <c r="I374" s="3143"/>
      <c r="J374" s="3143"/>
      <c r="K374" s="3143"/>
      <c r="L374" s="3143"/>
      <c r="M374" s="3143"/>
      <c r="N374" s="3143"/>
      <c r="O374" s="3143"/>
    </row>
    <row r="375" spans="1:15">
      <c r="A375" s="3410" t="s">
        <v>3506</v>
      </c>
      <c r="B375" s="3411">
        <f>SUM(I44:I47)+SUM(I49:I51)+I54+SUM(I56:I58)+I60+SUM(I62:I70)</f>
        <v>9556.94</v>
      </c>
      <c r="C375" s="3412">
        <f>$C$372</f>
        <v>4000</v>
      </c>
      <c r="D375" s="3412">
        <f t="shared" si="17"/>
        <v>3823</v>
      </c>
      <c r="E375" s="3413">
        <f>$E$372</f>
        <v>0.3</v>
      </c>
      <c r="F375" s="3413">
        <v>0.99</v>
      </c>
      <c r="G375" s="3412">
        <f t="shared" si="18"/>
        <v>3785</v>
      </c>
      <c r="H375" s="3412">
        <f t="shared" si="19"/>
        <v>38</v>
      </c>
      <c r="I375" s="3143"/>
      <c r="J375" s="3143"/>
      <c r="K375" s="3143"/>
      <c r="L375" s="3143"/>
      <c r="M375" s="3143"/>
      <c r="N375" s="3143"/>
      <c r="O375" s="3143"/>
    </row>
    <row r="376" spans="1:15">
      <c r="A376" s="3410" t="s">
        <v>3507</v>
      </c>
      <c r="B376" s="3411">
        <f>SUM(I71:I73)+SUM(I75:I84)+SUM(I86:I87)+SUM(I89:I98)+SUM(I100:I102)+SUM(I104:I107)+SUM(I109:I127)+I129+SUM(I131:I134)+SUM(I137:I140)+J106+J79</f>
        <v>10265.950000000003</v>
      </c>
      <c r="C376" s="3412">
        <f>$C$372</f>
        <v>4000</v>
      </c>
      <c r="D376" s="3412">
        <f t="shared" si="17"/>
        <v>4106</v>
      </c>
      <c r="E376" s="3413">
        <f>$E$372</f>
        <v>0.3</v>
      </c>
      <c r="F376" s="3413">
        <v>0.99</v>
      </c>
      <c r="G376" s="3412">
        <f t="shared" si="18"/>
        <v>4065</v>
      </c>
      <c r="H376" s="3412">
        <f t="shared" si="19"/>
        <v>41</v>
      </c>
      <c r="I376" s="3143"/>
      <c r="J376" s="3143"/>
      <c r="K376" s="3143"/>
      <c r="L376" s="3143"/>
      <c r="M376" s="3143"/>
      <c r="N376" s="3143"/>
      <c r="O376" s="3143"/>
    </row>
    <row r="377" spans="1:15">
      <c r="A377" s="3410" t="s">
        <v>3508</v>
      </c>
      <c r="B377" s="3411">
        <f>SUM(I147+J147)</f>
        <v>12432.699999999999</v>
      </c>
      <c r="C377" s="3412">
        <f>$C$368</f>
        <v>6500</v>
      </c>
      <c r="D377" s="3412">
        <f t="shared" si="17"/>
        <v>8081</v>
      </c>
      <c r="E377" s="3413">
        <f>$E$368</f>
        <v>0.4</v>
      </c>
      <c r="F377" s="3413">
        <v>0.99</v>
      </c>
      <c r="G377" s="3412">
        <f t="shared" si="18"/>
        <v>8000</v>
      </c>
      <c r="H377" s="3412">
        <f t="shared" si="19"/>
        <v>81</v>
      </c>
      <c r="I377" s="3143"/>
      <c r="J377" s="3143"/>
      <c r="K377" s="3143"/>
      <c r="L377" s="3143"/>
      <c r="M377" s="3143"/>
      <c r="N377" s="3143"/>
      <c r="O377" s="3143"/>
    </row>
    <row r="378" spans="1:15">
      <c r="A378" s="3410" t="s">
        <v>3509</v>
      </c>
      <c r="B378" s="3411">
        <f>SUM(H141:H146)</f>
        <v>3402.1499999999996</v>
      </c>
      <c r="C378" s="3412">
        <f>$C$372</f>
        <v>4000</v>
      </c>
      <c r="D378" s="3412">
        <f t="shared" si="17"/>
        <v>1361</v>
      </c>
      <c r="E378" s="3413">
        <f>$E$372</f>
        <v>0.3</v>
      </c>
      <c r="F378" s="3413">
        <v>0.99</v>
      </c>
      <c r="G378" s="3412">
        <f t="shared" si="18"/>
        <v>1347</v>
      </c>
      <c r="H378" s="3412">
        <f t="shared" si="19"/>
        <v>14</v>
      </c>
      <c r="I378" s="3143"/>
      <c r="J378" s="3143"/>
      <c r="K378" s="3143"/>
      <c r="L378" s="3143"/>
      <c r="M378" s="3143"/>
      <c r="N378" s="3143"/>
      <c r="O378" s="3143"/>
    </row>
    <row r="379" spans="1:15">
      <c r="A379" s="3410" t="s">
        <v>3510</v>
      </c>
      <c r="B379" s="3411">
        <f>SUM(I148:I156)+J156</f>
        <v>10413.82</v>
      </c>
      <c r="C379" s="3412">
        <f>$C$368</f>
        <v>6500</v>
      </c>
      <c r="D379" s="3412">
        <f t="shared" si="17"/>
        <v>6769</v>
      </c>
      <c r="E379" s="3413">
        <f>$E$368</f>
        <v>0.4</v>
      </c>
      <c r="F379" s="3413">
        <v>0.5</v>
      </c>
      <c r="G379" s="3412">
        <f t="shared" si="18"/>
        <v>3385</v>
      </c>
      <c r="H379" s="3412">
        <f t="shared" si="19"/>
        <v>3384</v>
      </c>
      <c r="I379" s="3143"/>
      <c r="J379" s="3143"/>
      <c r="K379" s="3143"/>
      <c r="L379" s="3143"/>
      <c r="M379" s="3143"/>
      <c r="N379" s="3143"/>
      <c r="O379" s="3143"/>
    </row>
    <row r="380" spans="1:15">
      <c r="A380" s="3410" t="s">
        <v>3511</v>
      </c>
      <c r="B380" s="3411">
        <f>SUM(H157:H170)+SUM(H172:H196)+SUM(I198:I250)+J232+J249+SUM(I252:I271)+J269+SUM(I273:I290)+H292+J208</f>
        <v>22215.829999999998</v>
      </c>
      <c r="C380" s="3412">
        <f>$C$372</f>
        <v>4000</v>
      </c>
      <c r="D380" s="3412">
        <f t="shared" si="17"/>
        <v>8886</v>
      </c>
      <c r="E380" s="3413">
        <f>$E$372</f>
        <v>0.3</v>
      </c>
      <c r="F380" s="3413">
        <v>0.99</v>
      </c>
      <c r="G380" s="3412">
        <f t="shared" si="18"/>
        <v>8797</v>
      </c>
      <c r="H380" s="3412">
        <f t="shared" si="19"/>
        <v>89</v>
      </c>
      <c r="I380" s="3143"/>
      <c r="J380" s="3143"/>
      <c r="K380" s="3143"/>
      <c r="L380" s="3143"/>
      <c r="M380" s="3143"/>
      <c r="N380" s="3143"/>
      <c r="O380" s="3143"/>
    </row>
    <row r="381" spans="1:15">
      <c r="A381" s="3410" t="s">
        <v>3512</v>
      </c>
      <c r="B381" s="3411">
        <f>I293+I294+J294</f>
        <v>71135.350000000006</v>
      </c>
      <c r="C381" s="3412">
        <v>7500</v>
      </c>
      <c r="D381" s="3412">
        <f t="shared" si="17"/>
        <v>53352</v>
      </c>
      <c r="E381" s="3413">
        <f>$E$368</f>
        <v>0.4</v>
      </c>
      <c r="F381" s="3413">
        <v>0.99</v>
      </c>
      <c r="G381" s="3412">
        <f t="shared" si="18"/>
        <v>52818</v>
      </c>
      <c r="H381" s="3412">
        <f t="shared" si="19"/>
        <v>534</v>
      </c>
      <c r="I381" s="3143"/>
      <c r="J381" s="3143"/>
      <c r="K381" s="3143"/>
      <c r="L381" s="3143"/>
      <c r="M381" s="3143"/>
      <c r="N381" s="3143"/>
      <c r="O381" s="3143"/>
    </row>
    <row r="382" spans="1:15">
      <c r="A382" s="3410" t="s">
        <v>3513</v>
      </c>
      <c r="B382" s="3411">
        <f>H313</f>
        <v>24172.17</v>
      </c>
      <c r="C382" s="3412">
        <v>4500</v>
      </c>
      <c r="D382" s="3412">
        <f t="shared" si="17"/>
        <v>10877</v>
      </c>
      <c r="E382" s="3413">
        <f t="shared" ref="E382:E383" si="21">$E$372</f>
        <v>0.3</v>
      </c>
      <c r="F382" s="3413">
        <v>0.99</v>
      </c>
      <c r="G382" s="3412">
        <f t="shared" si="18"/>
        <v>10768</v>
      </c>
      <c r="H382" s="3412">
        <f t="shared" si="19"/>
        <v>109</v>
      </c>
      <c r="I382" s="3143"/>
      <c r="J382" s="3143"/>
      <c r="K382" s="3143"/>
      <c r="L382" s="3143"/>
      <c r="M382" s="3143"/>
      <c r="N382" s="3143"/>
      <c r="O382" s="3143"/>
    </row>
    <row r="383" spans="1:15">
      <c r="A383" s="3410" t="s">
        <v>3514</v>
      </c>
      <c r="B383" s="3411">
        <f>SUM(I314:I358)+SUM(H295:H310)+J358+J353+J339</f>
        <v>14258.420000000002</v>
      </c>
      <c r="C383" s="3412">
        <f>$C$372</f>
        <v>4000</v>
      </c>
      <c r="D383" s="3412">
        <f t="shared" si="17"/>
        <v>5703</v>
      </c>
      <c r="E383" s="3413">
        <f t="shared" si="21"/>
        <v>0.3</v>
      </c>
      <c r="F383" s="3413">
        <v>0.99</v>
      </c>
      <c r="G383" s="3412">
        <f t="shared" si="18"/>
        <v>5646</v>
      </c>
      <c r="H383" s="3412">
        <f t="shared" si="19"/>
        <v>57</v>
      </c>
      <c r="I383" s="3143"/>
      <c r="J383" s="3143"/>
      <c r="K383" s="3143"/>
      <c r="L383" s="3143"/>
      <c r="M383" s="3143"/>
      <c r="N383" s="3143"/>
      <c r="O383" s="3143"/>
    </row>
    <row r="384" spans="1:15">
      <c r="A384" s="3410" t="s">
        <v>3487</v>
      </c>
      <c r="B384" s="3417">
        <f>SUM(B368:B383)</f>
        <v>291577.99</v>
      </c>
      <c r="C384" s="3412">
        <f>ROUND(D384/B384*10000,0)</f>
        <v>5906</v>
      </c>
      <c r="D384" s="3412">
        <f>SUM(D368:D383)</f>
        <v>172203</v>
      </c>
      <c r="E384" s="3418">
        <f>ROUND((E368*B368+B369*E369+E370*B370+E371*B371+E372*B372+E373*B373+B374*E374+E375*B375+E376*B376+E377*B377+E378*B378+E379*B379+E380*B380+E381*B381+E382*B382+E383*B383)/B384,2)</f>
        <v>0.36</v>
      </c>
      <c r="F384" s="3418">
        <f>ROUND((F368*B368+B369*F369+F370*B370+F371*B371+F372*B372+F373*B373+B374*F374+F375*B375+F376*B376+F377*B377+F378*B378+F379*B379+F380*B380+F381*B381+F382*B382+F383*B383)/B384,2)</f>
        <v>0.97</v>
      </c>
      <c r="G384" s="3412">
        <f>SUM(G368:G383)</f>
        <v>167163</v>
      </c>
      <c r="H384" s="3412">
        <f>SUM(H368:H383)</f>
        <v>5040</v>
      </c>
      <c r="I384" s="3418">
        <f>ROUND((F368*B368+B369*F369+F370*B370+F371*B371+F372*B372+F373*B373+B374*F374+F375*B375+F376*B376+F377*B377+F378*B378+F379*B379+F380*B380+F381*B381+F382*B382+F383*B383+F385*B385)/(B384+B385),2)</f>
        <v>0.97</v>
      </c>
      <c r="J384" s="3143"/>
      <c r="K384" s="3143"/>
      <c r="L384" s="3143"/>
      <c r="M384" s="3143"/>
      <c r="N384" s="3143"/>
      <c r="O384" s="3143"/>
    </row>
    <row r="385" spans="1:15">
      <c r="A385" s="3437" t="s">
        <v>3552</v>
      </c>
      <c r="B385" s="3438">
        <f>H361</f>
        <v>8588.0500000000029</v>
      </c>
      <c r="C385" s="3412">
        <v>2800</v>
      </c>
      <c r="D385" s="3412">
        <f t="shared" si="17"/>
        <v>2405</v>
      </c>
      <c r="E385" s="3143"/>
      <c r="F385" s="3413">
        <v>0.99</v>
      </c>
      <c r="G385" s="3412">
        <f t="shared" si="18"/>
        <v>2381</v>
      </c>
      <c r="H385" s="3412">
        <f t="shared" si="19"/>
        <v>24</v>
      </c>
      <c r="I385" s="3143"/>
      <c r="J385" s="3143"/>
      <c r="K385" s="3143"/>
      <c r="L385" s="3143"/>
      <c r="M385" s="3143"/>
      <c r="N385" s="3143"/>
      <c r="O385" s="3143"/>
    </row>
    <row r="386" spans="1:15" ht="24">
      <c r="A386" s="3419" t="s">
        <v>3515</v>
      </c>
      <c r="B386" s="3419">
        <f>ROUND(3765112/10000,0)</f>
        <v>377</v>
      </c>
      <c r="C386" s="3143"/>
      <c r="D386" s="3143"/>
      <c r="E386" s="3143"/>
      <c r="F386" s="3143"/>
      <c r="G386" s="3143"/>
      <c r="H386" s="3143"/>
      <c r="I386" s="3143"/>
      <c r="J386" s="3143"/>
      <c r="K386" s="3143"/>
      <c r="L386" s="3143"/>
      <c r="M386" s="3143"/>
      <c r="N386" s="3143"/>
      <c r="O386" s="3143"/>
    </row>
    <row r="387" spans="1:15">
      <c r="A387" s="3420" t="s">
        <v>3516</v>
      </c>
      <c r="B387" s="3419">
        <f>ROUND((D384+J366)*10%,0)</f>
        <v>17461</v>
      </c>
      <c r="C387" s="3143"/>
      <c r="D387" s="3143"/>
      <c r="E387" s="3143"/>
      <c r="F387" s="3143"/>
      <c r="G387" s="3143"/>
      <c r="H387" s="3143"/>
      <c r="I387" s="3143"/>
      <c r="J387" s="3143"/>
      <c r="K387" s="3143"/>
      <c r="L387" s="3143"/>
      <c r="M387" s="3143"/>
      <c r="N387" s="3143"/>
      <c r="O387" s="3143"/>
    </row>
    <row r="388" spans="1:15">
      <c r="A388" s="3420"/>
      <c r="B388" s="3421"/>
      <c r="C388" s="3143"/>
      <c r="D388" s="3143"/>
      <c r="E388" s="3143"/>
      <c r="F388" s="3143"/>
      <c r="G388" s="3143"/>
      <c r="H388" s="3143"/>
      <c r="I388" s="3143"/>
      <c r="J388" s="3143"/>
      <c r="K388" s="3143"/>
      <c r="L388" s="3143"/>
      <c r="M388" s="3143"/>
      <c r="N388" s="3143"/>
      <c r="O388" s="3143"/>
    </row>
  </sheetData>
  <autoFilter ref="A1:O363"/>
  <mergeCells count="71">
    <mergeCell ref="A2:A3"/>
    <mergeCell ref="B2:B3"/>
    <mergeCell ref="C2:C3"/>
    <mergeCell ref="L2:L3"/>
    <mergeCell ref="A4:A36"/>
    <mergeCell ref="B4:B36"/>
    <mergeCell ref="C4:C36"/>
    <mergeCell ref="L4:L36"/>
    <mergeCell ref="D6:D25"/>
    <mergeCell ref="D27:D30"/>
    <mergeCell ref="D31:D32"/>
    <mergeCell ref="D35:D36"/>
    <mergeCell ref="A37:A43"/>
    <mergeCell ref="B37:B40"/>
    <mergeCell ref="C37:C40"/>
    <mergeCell ref="D37:D40"/>
    <mergeCell ref="A44:A70"/>
    <mergeCell ref="B44:B70"/>
    <mergeCell ref="C44:C70"/>
    <mergeCell ref="D44:D70"/>
    <mergeCell ref="L44:L70"/>
    <mergeCell ref="L37:L40"/>
    <mergeCell ref="B41:B43"/>
    <mergeCell ref="C41:C43"/>
    <mergeCell ref="D41:D43"/>
    <mergeCell ref="L41:L43"/>
    <mergeCell ref="L71:L140"/>
    <mergeCell ref="A141:A147"/>
    <mergeCell ref="B141:B147"/>
    <mergeCell ref="C141:C147"/>
    <mergeCell ref="D141:D146"/>
    <mergeCell ref="L141:L147"/>
    <mergeCell ref="D269:D275"/>
    <mergeCell ref="D276:D283"/>
    <mergeCell ref="A71:A140"/>
    <mergeCell ref="B71:B140"/>
    <mergeCell ref="C71:C140"/>
    <mergeCell ref="D71:D140"/>
    <mergeCell ref="D209:D210"/>
    <mergeCell ref="D212:D227"/>
    <mergeCell ref="D228:D251"/>
    <mergeCell ref="D253:D254"/>
    <mergeCell ref="D255:D268"/>
    <mergeCell ref="A148:A156"/>
    <mergeCell ref="B148:B156"/>
    <mergeCell ref="C148:C156"/>
    <mergeCell ref="D148:D156"/>
    <mergeCell ref="D197:D207"/>
    <mergeCell ref="L148:L156"/>
    <mergeCell ref="D284:D287"/>
    <mergeCell ref="L293:L294"/>
    <mergeCell ref="A295:A359"/>
    <mergeCell ref="B295:B359"/>
    <mergeCell ref="C295:C359"/>
    <mergeCell ref="D295:D359"/>
    <mergeCell ref="L295:L359"/>
    <mergeCell ref="A157:A292"/>
    <mergeCell ref="B157:B292"/>
    <mergeCell ref="C157:C292"/>
    <mergeCell ref="D157:D170"/>
    <mergeCell ref="L157:L292"/>
    <mergeCell ref="D291:D292"/>
    <mergeCell ref="D171:D172"/>
    <mergeCell ref="D174:D194"/>
    <mergeCell ref="A360:D360"/>
    <mergeCell ref="G362:G363"/>
    <mergeCell ref="H362:H363"/>
    <mergeCell ref="G365:G366"/>
    <mergeCell ref="A293:A294"/>
    <mergeCell ref="B293:B294"/>
    <mergeCell ref="C293:C294"/>
  </mergeCells>
  <phoneticPr fontId="20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3"/>
  <sheetViews>
    <sheetView tabSelected="1" topLeftCell="A379" workbookViewId="0">
      <selection activeCell="J396" sqref="J396"/>
    </sheetView>
  </sheetViews>
  <sheetFormatPr defaultRowHeight="12"/>
  <cols>
    <col min="1" max="1" width="15.875" style="3397" customWidth="1"/>
    <col min="2" max="2" width="12.875" style="3397" customWidth="1"/>
    <col min="3" max="3" width="12.625" style="3478" customWidth="1"/>
    <col min="4" max="4" width="10.625" style="3478" customWidth="1"/>
    <col min="5" max="7" width="9" style="3397"/>
    <col min="8" max="8" width="12" style="3397" customWidth="1"/>
    <col min="9" max="9" width="10.625" style="3397" bestFit="1" customWidth="1"/>
    <col min="10" max="10" width="10.375" style="3397" bestFit="1" customWidth="1"/>
    <col min="11" max="11" width="9.125" style="3397" bestFit="1" customWidth="1"/>
    <col min="12" max="12" width="11" style="3397" customWidth="1"/>
    <col min="13" max="13" width="6.875" style="3401" customWidth="1"/>
    <col min="14" max="14" width="12.5" style="3401" customWidth="1"/>
    <col min="15" max="15" width="9" style="3401"/>
    <col min="16" max="16384" width="9" style="3397"/>
  </cols>
  <sheetData>
    <row r="1" spans="1:15" ht="36">
      <c r="A1" s="3430" t="s">
        <v>1619</v>
      </c>
      <c r="B1" s="3436" t="s">
        <v>3079</v>
      </c>
      <c r="C1" s="3458" t="s">
        <v>3080</v>
      </c>
      <c r="D1" s="3482" t="s">
        <v>3554</v>
      </c>
      <c r="E1" s="3434" t="s">
        <v>3555</v>
      </c>
      <c r="F1" s="3430" t="s">
        <v>3083</v>
      </c>
      <c r="G1" s="3343" t="s">
        <v>3556</v>
      </c>
      <c r="H1" s="3430" t="s">
        <v>3557</v>
      </c>
      <c r="I1" s="3344" t="s">
        <v>3086</v>
      </c>
      <c r="J1" s="3430" t="s">
        <v>3087</v>
      </c>
      <c r="K1" s="3430" t="s">
        <v>3088</v>
      </c>
      <c r="L1" s="3430" t="s">
        <v>3089</v>
      </c>
      <c r="M1" s="3430" t="s">
        <v>3090</v>
      </c>
      <c r="N1" s="3434" t="s">
        <v>3091</v>
      </c>
      <c r="O1" s="3430" t="s">
        <v>3558</v>
      </c>
    </row>
    <row r="2" spans="1:15" ht="36">
      <c r="A2" s="3576">
        <v>1</v>
      </c>
      <c r="B2" s="3605" t="s">
        <v>3093</v>
      </c>
      <c r="C2" s="3590" t="s">
        <v>3094</v>
      </c>
      <c r="D2" s="3482" t="s">
        <v>3899</v>
      </c>
      <c r="E2" s="3345" t="s">
        <v>3559</v>
      </c>
      <c r="F2" s="3393" t="s">
        <v>3097</v>
      </c>
      <c r="G2" s="3348" t="s">
        <v>3560</v>
      </c>
      <c r="H2" s="3349">
        <v>433.24</v>
      </c>
      <c r="I2" s="3349">
        <v>227.5</v>
      </c>
      <c r="J2" s="3349">
        <v>205.74</v>
      </c>
      <c r="K2" s="3349"/>
      <c r="L2" s="3579">
        <v>47458.59</v>
      </c>
      <c r="M2" s="3431">
        <v>1</v>
      </c>
      <c r="N2" s="3351">
        <v>1</v>
      </c>
      <c r="O2" s="3431" t="s">
        <v>3099</v>
      </c>
    </row>
    <row r="3" spans="1:15" ht="36">
      <c r="A3" s="3576"/>
      <c r="B3" s="3606"/>
      <c r="C3" s="3590"/>
      <c r="D3" s="3482" t="s">
        <v>3900</v>
      </c>
      <c r="E3" s="3345" t="s">
        <v>3559</v>
      </c>
      <c r="F3" s="3393" t="s">
        <v>3315</v>
      </c>
      <c r="G3" s="3441" t="s">
        <v>3102</v>
      </c>
      <c r="H3" s="3353">
        <v>44820.35</v>
      </c>
      <c r="I3" s="3354">
        <v>26211.16</v>
      </c>
      <c r="J3" s="3354">
        <v>18162.900000000001</v>
      </c>
      <c r="K3" s="3355">
        <v>446.29</v>
      </c>
      <c r="L3" s="3582"/>
      <c r="M3" s="3431">
        <v>4</v>
      </c>
      <c r="N3" s="3351">
        <v>1</v>
      </c>
      <c r="O3" s="3431" t="s">
        <v>3099</v>
      </c>
    </row>
    <row r="4" spans="1:15" ht="36">
      <c r="A4" s="3460"/>
      <c r="B4" s="3607"/>
      <c r="C4" s="3477" t="s">
        <v>3864</v>
      </c>
      <c r="D4" s="3483" t="s">
        <v>3901</v>
      </c>
      <c r="E4" s="3461"/>
      <c r="F4" s="3395"/>
      <c r="G4" s="3462" t="s">
        <v>3857</v>
      </c>
      <c r="H4" s="3395">
        <v>3539.52</v>
      </c>
      <c r="I4" s="3463">
        <v>3539.52</v>
      </c>
      <c r="J4" s="3463">
        <v>0</v>
      </c>
      <c r="K4" s="3463">
        <v>0</v>
      </c>
      <c r="L4" s="3582"/>
      <c r="M4" s="3465">
        <v>3</v>
      </c>
      <c r="N4" s="3466">
        <v>1</v>
      </c>
      <c r="O4" s="3465"/>
    </row>
    <row r="5" spans="1:15" ht="36">
      <c r="A5" s="3591">
        <v>2</v>
      </c>
      <c r="B5" s="3586" t="s">
        <v>3561</v>
      </c>
      <c r="C5" s="3586" t="s">
        <v>3104</v>
      </c>
      <c r="D5" s="3356" t="s">
        <v>3902</v>
      </c>
      <c r="E5" s="3357" t="s">
        <v>3106</v>
      </c>
      <c r="F5" s="3357" t="s">
        <v>3097</v>
      </c>
      <c r="G5" s="3442" t="s">
        <v>3310</v>
      </c>
      <c r="H5" s="3357">
        <v>7442.38</v>
      </c>
      <c r="I5" s="3354">
        <v>5983.33</v>
      </c>
      <c r="J5" s="3354">
        <v>1361.55</v>
      </c>
      <c r="K5" s="3355">
        <v>97.5</v>
      </c>
      <c r="L5" s="3582">
        <v>79775.149999999994</v>
      </c>
      <c r="M5" s="3359">
        <v>3</v>
      </c>
      <c r="N5" s="3359">
        <v>1</v>
      </c>
      <c r="O5" s="3431" t="s">
        <v>3099</v>
      </c>
    </row>
    <row r="6" spans="1:15" ht="36">
      <c r="A6" s="3592"/>
      <c r="B6" s="3587"/>
      <c r="C6" s="3587"/>
      <c r="D6" s="3356" t="s">
        <v>3903</v>
      </c>
      <c r="E6" s="3393" t="s">
        <v>3106</v>
      </c>
      <c r="F6" s="3393" t="s">
        <v>3562</v>
      </c>
      <c r="G6" s="3443" t="s">
        <v>3563</v>
      </c>
      <c r="H6" s="3444">
        <v>10101.4</v>
      </c>
      <c r="I6" s="3362">
        <f>H6</f>
        <v>10101.4</v>
      </c>
      <c r="J6" s="3362">
        <v>0</v>
      </c>
      <c r="K6" s="3362"/>
      <c r="L6" s="3582"/>
      <c r="M6" s="3363">
        <v>4</v>
      </c>
      <c r="N6" s="3363" t="s">
        <v>3564</v>
      </c>
      <c r="O6" s="3364" t="s">
        <v>3565</v>
      </c>
    </row>
    <row r="7" spans="1:15">
      <c r="A7" s="3592"/>
      <c r="B7" s="3587"/>
      <c r="C7" s="3587"/>
      <c r="D7" s="3586" t="s">
        <v>3892</v>
      </c>
      <c r="E7" s="3433" t="s">
        <v>3566</v>
      </c>
      <c r="F7" s="3433" t="s">
        <v>3567</v>
      </c>
      <c r="G7" s="3365" t="s">
        <v>3568</v>
      </c>
      <c r="H7" s="3365">
        <v>167.4</v>
      </c>
      <c r="I7" s="3365">
        <f>H7</f>
        <v>167.4</v>
      </c>
      <c r="J7" s="3365">
        <v>0</v>
      </c>
      <c r="K7" s="3365"/>
      <c r="L7" s="3582"/>
      <c r="M7" s="3359">
        <v>2</v>
      </c>
      <c r="N7" s="3359" t="s">
        <v>3569</v>
      </c>
      <c r="O7" s="3431" t="s">
        <v>3570</v>
      </c>
    </row>
    <row r="8" spans="1:15">
      <c r="A8" s="3592"/>
      <c r="B8" s="3587"/>
      <c r="C8" s="3587"/>
      <c r="D8" s="3587"/>
      <c r="E8" s="3357" t="s">
        <v>3571</v>
      </c>
      <c r="F8" s="3357" t="s">
        <v>3572</v>
      </c>
      <c r="G8" s="3366" t="s">
        <v>3573</v>
      </c>
      <c r="H8" s="3366">
        <v>1937.15</v>
      </c>
      <c r="I8" s="3367">
        <v>1382.59</v>
      </c>
      <c r="J8" s="3367">
        <v>554.55999999999995</v>
      </c>
      <c r="K8" s="3367">
        <v>0</v>
      </c>
      <c r="L8" s="3582"/>
      <c r="M8" s="3359">
        <v>1</v>
      </c>
      <c r="N8" s="3359">
        <v>1</v>
      </c>
      <c r="O8" s="3431" t="s">
        <v>3570</v>
      </c>
    </row>
    <row r="9" spans="1:15">
      <c r="A9" s="3592"/>
      <c r="B9" s="3587"/>
      <c r="C9" s="3587"/>
      <c r="D9" s="3587"/>
      <c r="E9" s="3430" t="s">
        <v>3571</v>
      </c>
      <c r="F9" s="3430" t="s">
        <v>3574</v>
      </c>
      <c r="G9" s="3368" t="s">
        <v>3575</v>
      </c>
      <c r="H9" s="3368">
        <v>310.25</v>
      </c>
      <c r="I9" s="3368">
        <f>H9</f>
        <v>310.25</v>
      </c>
      <c r="J9" s="3368">
        <v>0</v>
      </c>
      <c r="K9" s="3368"/>
      <c r="L9" s="3582"/>
      <c r="M9" s="3359">
        <v>1</v>
      </c>
      <c r="N9" s="3359" t="s">
        <v>3569</v>
      </c>
      <c r="O9" s="3431" t="s">
        <v>3570</v>
      </c>
    </row>
    <row r="10" spans="1:15">
      <c r="A10" s="3592"/>
      <c r="B10" s="3587"/>
      <c r="C10" s="3587"/>
      <c r="D10" s="3587"/>
      <c r="E10" s="3357" t="s">
        <v>3571</v>
      </c>
      <c r="F10" s="3357" t="s">
        <v>3576</v>
      </c>
      <c r="G10" s="3366" t="s">
        <v>3573</v>
      </c>
      <c r="H10" s="3366">
        <v>1207.0999999999999</v>
      </c>
      <c r="I10" s="3367">
        <v>1155.5899999999999</v>
      </c>
      <c r="J10" s="3367">
        <v>51.51</v>
      </c>
      <c r="K10" s="3367">
        <v>0</v>
      </c>
      <c r="L10" s="3582"/>
      <c r="M10" s="3359">
        <v>2</v>
      </c>
      <c r="N10" s="3359">
        <v>1</v>
      </c>
      <c r="O10" s="3431" t="s">
        <v>3570</v>
      </c>
    </row>
    <row r="11" spans="1:15">
      <c r="A11" s="3592"/>
      <c r="B11" s="3587"/>
      <c r="C11" s="3587"/>
      <c r="D11" s="3587"/>
      <c r="E11" s="3430" t="s">
        <v>3571</v>
      </c>
      <c r="F11" s="3430" t="s">
        <v>3577</v>
      </c>
      <c r="G11" s="3368" t="s">
        <v>3578</v>
      </c>
      <c r="H11" s="3368">
        <v>482.61</v>
      </c>
      <c r="I11" s="3368">
        <f>H11</f>
        <v>482.61</v>
      </c>
      <c r="J11" s="3368">
        <v>0</v>
      </c>
      <c r="K11" s="3368"/>
      <c r="L11" s="3582"/>
      <c r="M11" s="3359">
        <v>1</v>
      </c>
      <c r="N11" s="3359" t="s">
        <v>3569</v>
      </c>
      <c r="O11" s="3431" t="s">
        <v>3570</v>
      </c>
    </row>
    <row r="12" spans="1:15">
      <c r="A12" s="3592"/>
      <c r="B12" s="3587"/>
      <c r="C12" s="3587"/>
      <c r="D12" s="3587"/>
      <c r="E12" s="3353" t="s">
        <v>3571</v>
      </c>
      <c r="F12" s="3353" t="s">
        <v>3579</v>
      </c>
      <c r="G12" s="3366" t="s">
        <v>3580</v>
      </c>
      <c r="H12" s="3366">
        <v>1774.04</v>
      </c>
      <c r="I12" s="3367">
        <v>1592.38</v>
      </c>
      <c r="J12" s="3367">
        <v>181.66</v>
      </c>
      <c r="K12" s="3367">
        <v>0</v>
      </c>
      <c r="L12" s="3582"/>
      <c r="M12" s="3359">
        <v>2</v>
      </c>
      <c r="N12" s="3359">
        <v>1</v>
      </c>
      <c r="O12" s="3431" t="s">
        <v>3570</v>
      </c>
    </row>
    <row r="13" spans="1:15">
      <c r="A13" s="3592"/>
      <c r="B13" s="3587"/>
      <c r="C13" s="3587"/>
      <c r="D13" s="3587"/>
      <c r="E13" s="3430" t="s">
        <v>3571</v>
      </c>
      <c r="F13" s="3430" t="s">
        <v>3581</v>
      </c>
      <c r="G13" s="3368" t="s">
        <v>3573</v>
      </c>
      <c r="H13" s="3368">
        <v>475.41</v>
      </c>
      <c r="I13" s="3368">
        <f>H13</f>
        <v>475.41</v>
      </c>
      <c r="J13" s="3368">
        <v>0</v>
      </c>
      <c r="K13" s="3368"/>
      <c r="L13" s="3582"/>
      <c r="M13" s="3359">
        <v>1</v>
      </c>
      <c r="N13" s="3359" t="s">
        <v>3569</v>
      </c>
      <c r="O13" s="3431" t="s">
        <v>3570</v>
      </c>
    </row>
    <row r="14" spans="1:15">
      <c r="A14" s="3592"/>
      <c r="B14" s="3587"/>
      <c r="C14" s="3587"/>
      <c r="D14" s="3587"/>
      <c r="E14" s="3430" t="s">
        <v>3571</v>
      </c>
      <c r="F14" s="3430" t="s">
        <v>3122</v>
      </c>
      <c r="G14" s="3368" t="s">
        <v>3582</v>
      </c>
      <c r="H14" s="3368">
        <v>1385.3</v>
      </c>
      <c r="I14" s="3368">
        <f>H14</f>
        <v>1385.3</v>
      </c>
      <c r="J14" s="3368">
        <v>0</v>
      </c>
      <c r="K14" s="3368"/>
      <c r="L14" s="3582"/>
      <c r="M14" s="3359">
        <v>2</v>
      </c>
      <c r="N14" s="3359" t="s">
        <v>3569</v>
      </c>
      <c r="O14" s="3431" t="s">
        <v>3570</v>
      </c>
    </row>
    <row r="15" spans="1:15">
      <c r="A15" s="3592"/>
      <c r="B15" s="3587"/>
      <c r="C15" s="3587"/>
      <c r="D15" s="3587"/>
      <c r="E15" s="3430" t="s">
        <v>3571</v>
      </c>
      <c r="F15" s="3430" t="s">
        <v>3583</v>
      </c>
      <c r="G15" s="3368" t="s">
        <v>3573</v>
      </c>
      <c r="H15" s="3368">
        <v>1009.66</v>
      </c>
      <c r="I15" s="3368">
        <f>H15</f>
        <v>1009.66</v>
      </c>
      <c r="J15" s="3368">
        <v>0</v>
      </c>
      <c r="K15" s="3368"/>
      <c r="L15" s="3582"/>
      <c r="M15" s="3359">
        <v>1</v>
      </c>
      <c r="N15" s="3359" t="s">
        <v>3569</v>
      </c>
      <c r="O15" s="3431" t="s">
        <v>3570</v>
      </c>
    </row>
    <row r="16" spans="1:15">
      <c r="A16" s="3592"/>
      <c r="B16" s="3587"/>
      <c r="C16" s="3587"/>
      <c r="D16" s="3587"/>
      <c r="E16" s="3430" t="s">
        <v>3571</v>
      </c>
      <c r="F16" s="3430" t="s">
        <v>3584</v>
      </c>
      <c r="G16" s="3368" t="s">
        <v>3573</v>
      </c>
      <c r="H16" s="3368">
        <v>1560.09</v>
      </c>
      <c r="I16" s="3368">
        <f>H16</f>
        <v>1560.09</v>
      </c>
      <c r="J16" s="3368">
        <v>0</v>
      </c>
      <c r="K16" s="3368"/>
      <c r="L16" s="3582"/>
      <c r="M16" s="3359">
        <v>3</v>
      </c>
      <c r="N16" s="3359" t="s">
        <v>3569</v>
      </c>
      <c r="O16" s="3431" t="s">
        <v>3570</v>
      </c>
    </row>
    <row r="17" spans="1:15">
      <c r="A17" s="3592"/>
      <c r="B17" s="3587"/>
      <c r="C17" s="3587"/>
      <c r="D17" s="3587"/>
      <c r="E17" s="3430" t="s">
        <v>3571</v>
      </c>
      <c r="F17" s="3430" t="s">
        <v>3585</v>
      </c>
      <c r="G17" s="3368" t="s">
        <v>3573</v>
      </c>
      <c r="H17" s="3368">
        <v>399.85</v>
      </c>
      <c r="I17" s="3368">
        <f>H17</f>
        <v>399.85</v>
      </c>
      <c r="J17" s="3368">
        <v>0</v>
      </c>
      <c r="K17" s="3368"/>
      <c r="L17" s="3582"/>
      <c r="M17" s="3359">
        <v>2</v>
      </c>
      <c r="N17" s="3359" t="s">
        <v>3569</v>
      </c>
      <c r="O17" s="3431" t="s">
        <v>3570</v>
      </c>
    </row>
    <row r="18" spans="1:15">
      <c r="A18" s="3592"/>
      <c r="B18" s="3587"/>
      <c r="C18" s="3587"/>
      <c r="D18" s="3587"/>
      <c r="E18" s="3430" t="s">
        <v>3571</v>
      </c>
      <c r="F18" s="3430" t="s">
        <v>3586</v>
      </c>
      <c r="G18" s="3368" t="s">
        <v>3587</v>
      </c>
      <c r="H18" s="3356">
        <v>281.77999999999997</v>
      </c>
      <c r="I18" s="3368">
        <f t="shared" ref="I18:I31" si="0">H18</f>
        <v>281.77999999999997</v>
      </c>
      <c r="J18" s="3368">
        <v>0</v>
      </c>
      <c r="K18" s="3368"/>
      <c r="L18" s="3582"/>
      <c r="M18" s="3359">
        <v>1</v>
      </c>
      <c r="N18" s="3359" t="s">
        <v>3569</v>
      </c>
      <c r="O18" s="3431" t="s">
        <v>3570</v>
      </c>
    </row>
    <row r="19" spans="1:15">
      <c r="A19" s="3592"/>
      <c r="B19" s="3587"/>
      <c r="C19" s="3587"/>
      <c r="D19" s="3587"/>
      <c r="E19" s="3430" t="s">
        <v>3571</v>
      </c>
      <c r="F19" s="3430" t="s">
        <v>3133</v>
      </c>
      <c r="G19" s="3368" t="s">
        <v>3587</v>
      </c>
      <c r="H19" s="3356">
        <v>328.52</v>
      </c>
      <c r="I19" s="3368">
        <f t="shared" si="0"/>
        <v>328.52</v>
      </c>
      <c r="J19" s="3368">
        <v>0</v>
      </c>
      <c r="K19" s="3368"/>
      <c r="L19" s="3582"/>
      <c r="M19" s="3359">
        <v>1</v>
      </c>
      <c r="N19" s="3359" t="s">
        <v>3569</v>
      </c>
      <c r="O19" s="3431" t="s">
        <v>3570</v>
      </c>
    </row>
    <row r="20" spans="1:15">
      <c r="A20" s="3592"/>
      <c r="B20" s="3587"/>
      <c r="C20" s="3587"/>
      <c r="D20" s="3587"/>
      <c r="E20" s="3430" t="s">
        <v>3571</v>
      </c>
      <c r="F20" s="3430" t="s">
        <v>3135</v>
      </c>
      <c r="G20" s="3368" t="s">
        <v>3587</v>
      </c>
      <c r="H20" s="3356">
        <v>548.87</v>
      </c>
      <c r="I20" s="3368">
        <f t="shared" si="0"/>
        <v>548.87</v>
      </c>
      <c r="J20" s="3368">
        <v>0</v>
      </c>
      <c r="K20" s="3368"/>
      <c r="L20" s="3582"/>
      <c r="M20" s="3359">
        <v>1</v>
      </c>
      <c r="N20" s="3359" t="s">
        <v>3569</v>
      </c>
      <c r="O20" s="3431" t="s">
        <v>3570</v>
      </c>
    </row>
    <row r="21" spans="1:15">
      <c r="A21" s="3592"/>
      <c r="B21" s="3587"/>
      <c r="C21" s="3587"/>
      <c r="D21" s="3587"/>
      <c r="E21" s="3430" t="s">
        <v>3571</v>
      </c>
      <c r="F21" s="3430" t="s">
        <v>3136</v>
      </c>
      <c r="G21" s="3368" t="s">
        <v>3587</v>
      </c>
      <c r="H21" s="3356">
        <v>402.06</v>
      </c>
      <c r="I21" s="3368">
        <f t="shared" si="0"/>
        <v>402.06</v>
      </c>
      <c r="J21" s="3368">
        <v>0</v>
      </c>
      <c r="K21" s="3368"/>
      <c r="L21" s="3582"/>
      <c r="M21" s="3359">
        <v>1</v>
      </c>
      <c r="N21" s="3359" t="s">
        <v>3569</v>
      </c>
      <c r="O21" s="3431" t="s">
        <v>3570</v>
      </c>
    </row>
    <row r="22" spans="1:15">
      <c r="A22" s="3592"/>
      <c r="B22" s="3587"/>
      <c r="C22" s="3587"/>
      <c r="D22" s="3587"/>
      <c r="E22" s="3430" t="s">
        <v>3571</v>
      </c>
      <c r="F22" s="3430" t="s">
        <v>3137</v>
      </c>
      <c r="G22" s="3368" t="s">
        <v>3587</v>
      </c>
      <c r="H22" s="3356">
        <v>210.19</v>
      </c>
      <c r="I22" s="3368">
        <f t="shared" si="0"/>
        <v>210.19</v>
      </c>
      <c r="J22" s="3368">
        <v>0</v>
      </c>
      <c r="K22" s="3368"/>
      <c r="L22" s="3582"/>
      <c r="M22" s="3359">
        <v>2</v>
      </c>
      <c r="N22" s="3359" t="s">
        <v>3569</v>
      </c>
      <c r="O22" s="3431" t="s">
        <v>3570</v>
      </c>
    </row>
    <row r="23" spans="1:15">
      <c r="A23" s="3592"/>
      <c r="B23" s="3587"/>
      <c r="C23" s="3587"/>
      <c r="D23" s="3587"/>
      <c r="E23" s="3430" t="s">
        <v>3571</v>
      </c>
      <c r="F23" s="3430" t="s">
        <v>3588</v>
      </c>
      <c r="G23" s="3368" t="s">
        <v>3589</v>
      </c>
      <c r="H23" s="3368">
        <v>471.67</v>
      </c>
      <c r="I23" s="3368">
        <f t="shared" si="0"/>
        <v>471.67</v>
      </c>
      <c r="J23" s="3368">
        <v>0</v>
      </c>
      <c r="K23" s="3368"/>
      <c r="L23" s="3582"/>
      <c r="M23" s="3359">
        <v>2</v>
      </c>
      <c r="N23" s="3359" t="s">
        <v>3569</v>
      </c>
      <c r="O23" s="3431" t="s">
        <v>3570</v>
      </c>
    </row>
    <row r="24" spans="1:15">
      <c r="A24" s="3592"/>
      <c r="B24" s="3587"/>
      <c r="C24" s="3587"/>
      <c r="D24" s="3587"/>
      <c r="E24" s="3430" t="s">
        <v>3571</v>
      </c>
      <c r="F24" s="3430" t="s">
        <v>3140</v>
      </c>
      <c r="G24" s="3368" t="s">
        <v>3589</v>
      </c>
      <c r="H24" s="3356">
        <v>552.41999999999996</v>
      </c>
      <c r="I24" s="3368">
        <f t="shared" si="0"/>
        <v>552.41999999999996</v>
      </c>
      <c r="J24" s="3368">
        <v>0</v>
      </c>
      <c r="K24" s="3368"/>
      <c r="L24" s="3582"/>
      <c r="M24" s="3359">
        <v>2</v>
      </c>
      <c r="N24" s="3359" t="s">
        <v>3569</v>
      </c>
      <c r="O24" s="3431" t="s">
        <v>3570</v>
      </c>
    </row>
    <row r="25" spans="1:15">
      <c r="A25" s="3592"/>
      <c r="B25" s="3587"/>
      <c r="C25" s="3587"/>
      <c r="D25" s="3587"/>
      <c r="E25" s="3430" t="s">
        <v>3571</v>
      </c>
      <c r="F25" s="3430" t="s">
        <v>3590</v>
      </c>
      <c r="G25" s="3368" t="s">
        <v>3589</v>
      </c>
      <c r="H25" s="3356">
        <v>253.85</v>
      </c>
      <c r="I25" s="3368">
        <f t="shared" si="0"/>
        <v>253.85</v>
      </c>
      <c r="J25" s="3368">
        <v>0</v>
      </c>
      <c r="K25" s="3368"/>
      <c r="L25" s="3582"/>
      <c r="M25" s="3359">
        <v>2</v>
      </c>
      <c r="N25" s="3359" t="s">
        <v>3569</v>
      </c>
      <c r="O25" s="3431" t="s">
        <v>3570</v>
      </c>
    </row>
    <row r="26" spans="1:15">
      <c r="A26" s="3592"/>
      <c r="B26" s="3587"/>
      <c r="C26" s="3587"/>
      <c r="D26" s="3588"/>
      <c r="E26" s="3430" t="s">
        <v>3571</v>
      </c>
      <c r="F26" s="3430" t="s">
        <v>3591</v>
      </c>
      <c r="G26" s="3368" t="s">
        <v>3589</v>
      </c>
      <c r="H26" s="3356">
        <v>208.83</v>
      </c>
      <c r="I26" s="3368">
        <f t="shared" si="0"/>
        <v>208.83</v>
      </c>
      <c r="J26" s="3368">
        <v>0</v>
      </c>
      <c r="K26" s="3368"/>
      <c r="L26" s="3582"/>
      <c r="M26" s="3359">
        <v>1</v>
      </c>
      <c r="N26" s="3359" t="s">
        <v>3569</v>
      </c>
      <c r="O26" s="3431" t="s">
        <v>3570</v>
      </c>
    </row>
    <row r="27" spans="1:15" ht="36">
      <c r="A27" s="3592"/>
      <c r="B27" s="3587"/>
      <c r="C27" s="3587"/>
      <c r="D27" s="3458" t="s">
        <v>3904</v>
      </c>
      <c r="E27" s="3393" t="s">
        <v>3571</v>
      </c>
      <c r="F27" s="3393" t="s">
        <v>3592</v>
      </c>
      <c r="G27" s="3362" t="s">
        <v>3593</v>
      </c>
      <c r="H27" s="3393">
        <v>13512.13</v>
      </c>
      <c r="I27" s="3393">
        <f t="shared" si="0"/>
        <v>13512.13</v>
      </c>
      <c r="J27" s="3362">
        <v>0</v>
      </c>
      <c r="K27" s="3362"/>
      <c r="L27" s="3582"/>
      <c r="M27" s="3363">
        <v>3</v>
      </c>
      <c r="N27" s="3363" t="s">
        <v>3569</v>
      </c>
      <c r="O27" s="3364" t="s">
        <v>3594</v>
      </c>
    </row>
    <row r="28" spans="1:15">
      <c r="A28" s="3592"/>
      <c r="B28" s="3587"/>
      <c r="C28" s="3587"/>
      <c r="D28" s="3586" t="s">
        <v>3878</v>
      </c>
      <c r="E28" s="3430" t="s">
        <v>3571</v>
      </c>
      <c r="F28" s="3430" t="s">
        <v>3595</v>
      </c>
      <c r="G28" s="3368" t="s">
        <v>3589</v>
      </c>
      <c r="H28" s="3356">
        <v>115.19</v>
      </c>
      <c r="I28" s="3368">
        <f t="shared" si="0"/>
        <v>115.19</v>
      </c>
      <c r="J28" s="3368">
        <v>0</v>
      </c>
      <c r="K28" s="3368"/>
      <c r="L28" s="3582"/>
      <c r="M28" s="3359">
        <v>1</v>
      </c>
      <c r="N28" s="3359" t="s">
        <v>3569</v>
      </c>
      <c r="O28" s="3431" t="s">
        <v>3570</v>
      </c>
    </row>
    <row r="29" spans="1:15">
      <c r="A29" s="3592"/>
      <c r="B29" s="3587"/>
      <c r="C29" s="3587"/>
      <c r="D29" s="3587"/>
      <c r="E29" s="3430" t="s">
        <v>3571</v>
      </c>
      <c r="F29" s="3430" t="s">
        <v>3596</v>
      </c>
      <c r="G29" s="3368" t="s">
        <v>3597</v>
      </c>
      <c r="H29" s="3356">
        <v>1121.55</v>
      </c>
      <c r="I29" s="3368">
        <f t="shared" si="0"/>
        <v>1121.55</v>
      </c>
      <c r="J29" s="3368">
        <v>0</v>
      </c>
      <c r="K29" s="3368"/>
      <c r="L29" s="3582"/>
      <c r="M29" s="3359">
        <v>3</v>
      </c>
      <c r="N29" s="3359" t="s">
        <v>3569</v>
      </c>
      <c r="O29" s="3431" t="s">
        <v>3570</v>
      </c>
    </row>
    <row r="30" spans="1:15">
      <c r="A30" s="3592"/>
      <c r="B30" s="3587"/>
      <c r="C30" s="3587"/>
      <c r="D30" s="3587"/>
      <c r="E30" s="3430" t="s">
        <v>3571</v>
      </c>
      <c r="F30" s="3430" t="s">
        <v>3598</v>
      </c>
      <c r="G30" s="3368" t="s">
        <v>3589</v>
      </c>
      <c r="H30" s="3356">
        <v>90.39</v>
      </c>
      <c r="I30" s="3368">
        <f t="shared" si="0"/>
        <v>90.39</v>
      </c>
      <c r="J30" s="3368">
        <v>0</v>
      </c>
      <c r="K30" s="3368"/>
      <c r="L30" s="3582"/>
      <c r="M30" s="3359">
        <v>1</v>
      </c>
      <c r="N30" s="3359" t="s">
        <v>3569</v>
      </c>
      <c r="O30" s="3431" t="s">
        <v>3570</v>
      </c>
    </row>
    <row r="31" spans="1:15">
      <c r="A31" s="3592"/>
      <c r="B31" s="3587"/>
      <c r="C31" s="3587"/>
      <c r="D31" s="3588"/>
      <c r="E31" s="3430" t="s">
        <v>3571</v>
      </c>
      <c r="F31" s="3430" t="s">
        <v>3599</v>
      </c>
      <c r="G31" s="3368" t="s">
        <v>3597</v>
      </c>
      <c r="H31" s="3356">
        <v>1490.66</v>
      </c>
      <c r="I31" s="3356">
        <f t="shared" si="0"/>
        <v>1490.66</v>
      </c>
      <c r="J31" s="3368">
        <v>0</v>
      </c>
      <c r="K31" s="3368"/>
      <c r="L31" s="3582"/>
      <c r="M31" s="3359">
        <v>4</v>
      </c>
      <c r="N31" s="3359" t="s">
        <v>3569</v>
      </c>
      <c r="O31" s="3431" t="s">
        <v>3570</v>
      </c>
    </row>
    <row r="32" spans="1:15">
      <c r="A32" s="3592"/>
      <c r="B32" s="3587"/>
      <c r="C32" s="3587"/>
      <c r="D32" s="3595" t="s">
        <v>3891</v>
      </c>
      <c r="E32" s="3353" t="s">
        <v>3571</v>
      </c>
      <c r="F32" s="3433" t="s">
        <v>3600</v>
      </c>
      <c r="G32" s="3366" t="s">
        <v>3589</v>
      </c>
      <c r="H32" s="3360">
        <v>287.56</v>
      </c>
      <c r="I32" s="3367">
        <v>251.98</v>
      </c>
      <c r="J32" s="3367">
        <v>35.58</v>
      </c>
      <c r="K32" s="3367">
        <v>0</v>
      </c>
      <c r="L32" s="3582"/>
      <c r="M32" s="3363">
        <v>3</v>
      </c>
      <c r="N32" s="3363">
        <v>1</v>
      </c>
      <c r="O32" s="3364" t="s">
        <v>3594</v>
      </c>
    </row>
    <row r="33" spans="1:15">
      <c r="A33" s="3592"/>
      <c r="B33" s="3587"/>
      <c r="C33" s="3587"/>
      <c r="D33" s="3596"/>
      <c r="E33" s="3430" t="s">
        <v>3571</v>
      </c>
      <c r="F33" s="3430" t="s">
        <v>3601</v>
      </c>
      <c r="G33" s="3368" t="s">
        <v>3589</v>
      </c>
      <c r="H33" s="3356">
        <v>290.89999999999998</v>
      </c>
      <c r="I33" s="3356">
        <f>H33</f>
        <v>290.89999999999998</v>
      </c>
      <c r="J33" s="3368">
        <v>0</v>
      </c>
      <c r="K33" s="3368"/>
      <c r="L33" s="3582"/>
      <c r="M33" s="3359">
        <v>2</v>
      </c>
      <c r="N33" s="3359" t="s">
        <v>3569</v>
      </c>
      <c r="O33" s="3364" t="s">
        <v>3594</v>
      </c>
    </row>
    <row r="34" spans="1:15" ht="36">
      <c r="A34" s="3592"/>
      <c r="B34" s="3587"/>
      <c r="C34" s="3587"/>
      <c r="D34" s="3458" t="s">
        <v>3878</v>
      </c>
      <c r="E34" s="3430" t="s">
        <v>3571</v>
      </c>
      <c r="F34" s="3430" t="s">
        <v>3602</v>
      </c>
      <c r="G34" s="3368" t="s">
        <v>3573</v>
      </c>
      <c r="H34" s="3356">
        <v>623.49</v>
      </c>
      <c r="I34" s="3356">
        <f>H34</f>
        <v>623.49</v>
      </c>
      <c r="J34" s="3368">
        <v>0</v>
      </c>
      <c r="K34" s="3368"/>
      <c r="L34" s="3582"/>
      <c r="M34" s="3359">
        <v>3</v>
      </c>
      <c r="N34" s="3359" t="s">
        <v>3569</v>
      </c>
      <c r="O34" s="3431" t="s">
        <v>3570</v>
      </c>
    </row>
    <row r="35" spans="1:15" ht="36">
      <c r="A35" s="3592"/>
      <c r="B35" s="3587"/>
      <c r="C35" s="3587"/>
      <c r="D35" s="3356" t="s">
        <v>3891</v>
      </c>
      <c r="E35" s="3393" t="s">
        <v>3571</v>
      </c>
      <c r="F35" s="3393" t="s">
        <v>3603</v>
      </c>
      <c r="G35" s="3362" t="s">
        <v>3580</v>
      </c>
      <c r="H35" s="3444">
        <v>735.78</v>
      </c>
      <c r="I35" s="3362">
        <f>H35</f>
        <v>735.78</v>
      </c>
      <c r="J35" s="3362">
        <v>0</v>
      </c>
      <c r="K35" s="3362"/>
      <c r="L35" s="3582"/>
      <c r="M35" s="3363">
        <v>2</v>
      </c>
      <c r="N35" s="3363" t="s">
        <v>3569</v>
      </c>
      <c r="O35" s="3364" t="s">
        <v>3594</v>
      </c>
    </row>
    <row r="36" spans="1:15">
      <c r="A36" s="3592"/>
      <c r="B36" s="3587"/>
      <c r="C36" s="3587"/>
      <c r="D36" s="3586" t="s">
        <v>3878</v>
      </c>
      <c r="E36" s="3430" t="s">
        <v>3571</v>
      </c>
      <c r="F36" s="3430" t="s">
        <v>3604</v>
      </c>
      <c r="G36" s="3362" t="s">
        <v>3580</v>
      </c>
      <c r="H36" s="3356">
        <v>59.29</v>
      </c>
      <c r="I36" s="3356">
        <f>H36</f>
        <v>59.29</v>
      </c>
      <c r="J36" s="3368">
        <v>0</v>
      </c>
      <c r="K36" s="3368"/>
      <c r="L36" s="3582"/>
      <c r="M36" s="3359">
        <v>2</v>
      </c>
      <c r="N36" s="3359" t="s">
        <v>3569</v>
      </c>
      <c r="O36" s="3431" t="s">
        <v>3570</v>
      </c>
    </row>
    <row r="37" spans="1:15">
      <c r="A37" s="3592"/>
      <c r="B37" s="3587"/>
      <c r="C37" s="3587"/>
      <c r="D37" s="3588"/>
      <c r="E37" s="3430" t="s">
        <v>3571</v>
      </c>
      <c r="F37" s="3430" t="s">
        <v>3605</v>
      </c>
      <c r="G37" s="3366" t="s">
        <v>3606</v>
      </c>
      <c r="H37" s="3356">
        <v>89.72</v>
      </c>
      <c r="I37" s="3356">
        <f>H37</f>
        <v>89.72</v>
      </c>
      <c r="J37" s="3368">
        <v>0</v>
      </c>
      <c r="K37" s="3368"/>
      <c r="L37" s="3582"/>
      <c r="M37" s="3359">
        <v>1</v>
      </c>
      <c r="N37" s="3359" t="s">
        <v>3569</v>
      </c>
      <c r="O37" s="3431" t="s">
        <v>3570</v>
      </c>
    </row>
    <row r="38" spans="1:15" ht="36">
      <c r="A38" s="3592"/>
      <c r="B38" s="3587"/>
      <c r="C38" s="3587"/>
      <c r="D38" s="3458" t="s">
        <v>3905</v>
      </c>
      <c r="E38" s="3430" t="s">
        <v>3571</v>
      </c>
      <c r="F38" s="3445"/>
      <c r="G38" s="3446" t="s">
        <v>3607</v>
      </c>
      <c r="H38" s="3446">
        <v>385.69</v>
      </c>
      <c r="I38" s="3446">
        <v>203.94</v>
      </c>
      <c r="J38" s="3446">
        <v>181.75</v>
      </c>
      <c r="K38" s="3446"/>
      <c r="L38" s="3582"/>
      <c r="M38" s="3381">
        <v>1</v>
      </c>
      <c r="N38" s="3381">
        <v>1</v>
      </c>
      <c r="O38" s="3430"/>
    </row>
    <row r="39" spans="1:15" ht="36">
      <c r="A39" s="3592"/>
      <c r="B39" s="3587"/>
      <c r="C39" s="3587"/>
      <c r="D39" s="3458" t="s">
        <v>3873</v>
      </c>
      <c r="E39" s="3430" t="s">
        <v>3571</v>
      </c>
      <c r="F39" s="3445"/>
      <c r="G39" s="3446" t="s">
        <v>3553</v>
      </c>
      <c r="H39" s="3446">
        <v>550.73</v>
      </c>
      <c r="I39" s="3446">
        <v>404.47</v>
      </c>
      <c r="J39" s="3446">
        <v>146.26</v>
      </c>
      <c r="K39" s="3446"/>
      <c r="L39" s="3582"/>
      <c r="M39" s="3381">
        <v>1</v>
      </c>
      <c r="N39" s="3381">
        <v>1</v>
      </c>
      <c r="O39" s="3430"/>
    </row>
    <row r="40" spans="1:15" ht="36">
      <c r="A40" s="3593"/>
      <c r="B40" s="3587"/>
      <c r="C40" s="3588"/>
      <c r="D40" s="3458" t="s">
        <v>3872</v>
      </c>
      <c r="E40" s="3430" t="s">
        <v>3571</v>
      </c>
      <c r="F40" s="3445"/>
      <c r="G40" s="3446" t="s">
        <v>3608</v>
      </c>
      <c r="H40" s="3446">
        <v>270.52</v>
      </c>
      <c r="I40" s="3446">
        <f>H40</f>
        <v>270.52</v>
      </c>
      <c r="J40" s="3446">
        <v>0</v>
      </c>
      <c r="K40" s="3446"/>
      <c r="L40" s="3580"/>
      <c r="M40" s="3381">
        <v>3</v>
      </c>
      <c r="N40" s="3381" t="s">
        <v>3569</v>
      </c>
      <c r="O40" s="3430"/>
    </row>
    <row r="41" spans="1:15" s="3468" customFormat="1">
      <c r="A41" s="3467"/>
      <c r="B41" s="3587"/>
      <c r="C41" s="3602" t="s">
        <v>3865</v>
      </c>
      <c r="D41" s="3604" t="s">
        <v>3906</v>
      </c>
      <c r="E41" s="3345"/>
      <c r="F41" s="3393"/>
      <c r="G41" s="3469" t="s">
        <v>3841</v>
      </c>
      <c r="H41" s="3470">
        <v>702.53</v>
      </c>
      <c r="I41" s="3470">
        <v>577.4</v>
      </c>
      <c r="J41" s="3470">
        <v>125.13</v>
      </c>
      <c r="K41" s="3470"/>
      <c r="L41" s="3464"/>
      <c r="M41" s="3392">
        <v>2</v>
      </c>
      <c r="N41" s="3392">
        <v>1</v>
      </c>
      <c r="O41" s="3395"/>
    </row>
    <row r="42" spans="1:15" s="3468" customFormat="1">
      <c r="A42" s="3467"/>
      <c r="B42" s="3587"/>
      <c r="C42" s="3602"/>
      <c r="D42" s="3602"/>
      <c r="E42" s="3345"/>
      <c r="F42" s="3393"/>
      <c r="G42" s="3469" t="s">
        <v>3842</v>
      </c>
      <c r="H42" s="3470">
        <v>568.79</v>
      </c>
      <c r="I42" s="3470">
        <v>568.79</v>
      </c>
      <c r="J42" s="3470"/>
      <c r="K42" s="3470"/>
      <c r="L42" s="3464"/>
      <c r="M42" s="3392">
        <v>2</v>
      </c>
      <c r="N42" s="3392"/>
      <c r="O42" s="3395"/>
    </row>
    <row r="43" spans="1:15" s="3468" customFormat="1">
      <c r="A43" s="3467"/>
      <c r="B43" s="3587"/>
      <c r="C43" s="3602"/>
      <c r="D43" s="3602"/>
      <c r="E43" s="3345"/>
      <c r="F43" s="3393"/>
      <c r="G43" s="3469" t="s">
        <v>3843</v>
      </c>
      <c r="H43" s="3470">
        <v>638.04</v>
      </c>
      <c r="I43" s="3470">
        <v>638.04</v>
      </c>
      <c r="J43" s="3470"/>
      <c r="K43" s="3470"/>
      <c r="L43" s="3464"/>
      <c r="M43" s="3392">
        <v>3</v>
      </c>
      <c r="N43" s="3392"/>
      <c r="O43" s="3395"/>
    </row>
    <row r="44" spans="1:15" s="3468" customFormat="1">
      <c r="A44" s="3467"/>
      <c r="B44" s="3587"/>
      <c r="C44" s="3602"/>
      <c r="D44" s="3602"/>
      <c r="E44" s="3345"/>
      <c r="F44" s="3393"/>
      <c r="G44" s="3469" t="s">
        <v>3844</v>
      </c>
      <c r="H44" s="3470">
        <v>456.97</v>
      </c>
      <c r="I44" s="3470">
        <v>456.97</v>
      </c>
      <c r="J44" s="3470"/>
      <c r="K44" s="3470"/>
      <c r="L44" s="3464"/>
      <c r="M44" s="3392">
        <v>2</v>
      </c>
      <c r="N44" s="3392"/>
      <c r="O44" s="3395"/>
    </row>
    <row r="45" spans="1:15" s="3468" customFormat="1">
      <c r="A45" s="3467"/>
      <c r="B45" s="3587"/>
      <c r="C45" s="3602"/>
      <c r="D45" s="3602"/>
      <c r="E45" s="3345"/>
      <c r="F45" s="3393"/>
      <c r="G45" s="3469" t="s">
        <v>3845</v>
      </c>
      <c r="H45" s="3470">
        <v>189.79</v>
      </c>
      <c r="I45" s="3470">
        <v>189.79</v>
      </c>
      <c r="J45" s="3470"/>
      <c r="K45" s="3470"/>
      <c r="L45" s="3464"/>
      <c r="M45" s="3392">
        <v>2</v>
      </c>
      <c r="N45" s="3392"/>
      <c r="O45" s="3395"/>
    </row>
    <row r="46" spans="1:15" s="3468" customFormat="1">
      <c r="A46" s="3467"/>
      <c r="B46" s="3587"/>
      <c r="C46" s="3602"/>
      <c r="D46" s="3602"/>
      <c r="E46" s="3345"/>
      <c r="F46" s="3393"/>
      <c r="G46" s="3469" t="s">
        <v>3846</v>
      </c>
      <c r="H46" s="3470">
        <v>363.06</v>
      </c>
      <c r="I46" s="3470">
        <v>363.06</v>
      </c>
      <c r="J46" s="3470"/>
      <c r="K46" s="3470"/>
      <c r="L46" s="3464"/>
      <c r="M46" s="3392">
        <v>2</v>
      </c>
      <c r="N46" s="3392"/>
      <c r="O46" s="3395"/>
    </row>
    <row r="47" spans="1:15" s="3468" customFormat="1">
      <c r="A47" s="3467"/>
      <c r="B47" s="3587"/>
      <c r="C47" s="3602"/>
      <c r="D47" s="3602"/>
      <c r="E47" s="3345"/>
      <c r="F47" s="3393"/>
      <c r="G47" s="3469" t="s">
        <v>3847</v>
      </c>
      <c r="H47" s="3470">
        <v>130.68</v>
      </c>
      <c r="I47" s="3470">
        <v>130.68</v>
      </c>
      <c r="J47" s="3470"/>
      <c r="K47" s="3470"/>
      <c r="L47" s="3464"/>
      <c r="M47" s="3392">
        <v>2</v>
      </c>
      <c r="N47" s="3392"/>
      <c r="O47" s="3395"/>
    </row>
    <row r="48" spans="1:15" s="3468" customFormat="1">
      <c r="A48" s="3467"/>
      <c r="B48" s="3587"/>
      <c r="C48" s="3602"/>
      <c r="D48" s="3602"/>
      <c r="E48" s="3449"/>
      <c r="F48" s="3450"/>
      <c r="G48" s="3451" t="s">
        <v>3858</v>
      </c>
      <c r="H48" s="3452">
        <v>18.72</v>
      </c>
      <c r="I48" s="3452">
        <v>18.72</v>
      </c>
      <c r="J48" s="3374"/>
      <c r="K48" s="3374"/>
      <c r="L48" s="3464"/>
      <c r="M48" s="3392">
        <v>1</v>
      </c>
      <c r="N48" s="3392"/>
      <c r="O48" s="3395"/>
    </row>
    <row r="49" spans="1:15" s="3468" customFormat="1">
      <c r="A49" s="3467"/>
      <c r="B49" s="3587"/>
      <c r="C49" s="3602"/>
      <c r="D49" s="3602"/>
      <c r="E49" s="3345"/>
      <c r="F49" s="3393"/>
      <c r="G49" s="3469" t="s">
        <v>3848</v>
      </c>
      <c r="H49" s="3470">
        <v>99.31</v>
      </c>
      <c r="I49" s="3470">
        <v>99.31</v>
      </c>
      <c r="J49" s="3470"/>
      <c r="K49" s="3470"/>
      <c r="L49" s="3464"/>
      <c r="M49" s="3392">
        <v>1</v>
      </c>
      <c r="N49" s="3392"/>
      <c r="O49" s="3395"/>
    </row>
    <row r="50" spans="1:15" s="3468" customFormat="1">
      <c r="A50" s="3467"/>
      <c r="B50" s="3587"/>
      <c r="C50" s="3602"/>
      <c r="D50" s="3602"/>
      <c r="E50" s="3345"/>
      <c r="F50" s="3393"/>
      <c r="G50" s="3469" t="s">
        <v>3849</v>
      </c>
      <c r="H50" s="3470">
        <v>1271.5999999999999</v>
      </c>
      <c r="I50" s="3470">
        <v>1091.68</v>
      </c>
      <c r="J50" s="3470">
        <v>179.92</v>
      </c>
      <c r="K50" s="3470"/>
      <c r="L50" s="3464"/>
      <c r="M50" s="3392">
        <v>2</v>
      </c>
      <c r="N50" s="3392">
        <v>1</v>
      </c>
      <c r="O50" s="3395"/>
    </row>
    <row r="51" spans="1:15" s="3468" customFormat="1">
      <c r="A51" s="3467"/>
      <c r="B51" s="3587"/>
      <c r="C51" s="3602"/>
      <c r="D51" s="3602"/>
      <c r="E51" s="3345"/>
      <c r="F51" s="3393"/>
      <c r="G51" s="3469" t="s">
        <v>3850</v>
      </c>
      <c r="H51" s="3470">
        <v>711.04</v>
      </c>
      <c r="I51" s="3470">
        <v>711.04</v>
      </c>
      <c r="J51" s="3470"/>
      <c r="K51" s="3470"/>
      <c r="L51" s="3464"/>
      <c r="M51" s="3392">
        <v>2</v>
      </c>
      <c r="N51" s="3392"/>
      <c r="O51" s="3395"/>
    </row>
    <row r="52" spans="1:15" s="3468" customFormat="1">
      <c r="A52" s="3467"/>
      <c r="B52" s="3587"/>
      <c r="C52" s="3602"/>
      <c r="D52" s="3602"/>
      <c r="E52" s="3345"/>
      <c r="F52" s="3393"/>
      <c r="G52" s="3469" t="s">
        <v>3851</v>
      </c>
      <c r="H52" s="3470">
        <v>331.8</v>
      </c>
      <c r="I52" s="3470">
        <v>331.8</v>
      </c>
      <c r="J52" s="3470"/>
      <c r="K52" s="3470"/>
      <c r="L52" s="3464"/>
      <c r="M52" s="3392">
        <v>2</v>
      </c>
      <c r="N52" s="3392"/>
      <c r="O52" s="3395"/>
    </row>
    <row r="53" spans="1:15" s="3468" customFormat="1" ht="24">
      <c r="A53" s="3467"/>
      <c r="B53" s="3587"/>
      <c r="C53" s="3602"/>
      <c r="D53" s="3602"/>
      <c r="E53" s="3345"/>
      <c r="F53" s="3393"/>
      <c r="G53" s="3469" t="s">
        <v>3861</v>
      </c>
      <c r="H53" s="3470">
        <v>3317.62</v>
      </c>
      <c r="I53" s="3470">
        <v>3236.5</v>
      </c>
      <c r="J53" s="3383">
        <v>81.12</v>
      </c>
      <c r="K53" s="3470"/>
      <c r="L53" s="3464"/>
      <c r="M53" s="3392">
        <v>2</v>
      </c>
      <c r="N53" s="3392">
        <v>1</v>
      </c>
      <c r="O53" s="3395"/>
    </row>
    <row r="54" spans="1:15" s="3468" customFormat="1">
      <c r="A54" s="3467"/>
      <c r="B54" s="3587"/>
      <c r="C54" s="3602"/>
      <c r="D54" s="3602"/>
      <c r="E54" s="3345"/>
      <c r="F54" s="3393"/>
      <c r="G54" s="3469" t="s">
        <v>3852</v>
      </c>
      <c r="H54" s="3470">
        <v>8921.83</v>
      </c>
      <c r="I54" s="3470">
        <v>8921.83</v>
      </c>
      <c r="J54" s="3470"/>
      <c r="K54" s="3470"/>
      <c r="L54" s="3464"/>
      <c r="M54" s="3392">
        <v>4</v>
      </c>
      <c r="N54" s="3392"/>
      <c r="O54" s="3395"/>
    </row>
    <row r="55" spans="1:15" s="3468" customFormat="1">
      <c r="A55" s="3467"/>
      <c r="B55" s="3587"/>
      <c r="C55" s="3602"/>
      <c r="D55" s="3602"/>
      <c r="E55" s="3345"/>
      <c r="F55" s="3393"/>
      <c r="G55" s="3469" t="s">
        <v>3853</v>
      </c>
      <c r="H55" s="3470">
        <v>70.819999999999993</v>
      </c>
      <c r="I55" s="3470">
        <v>70.819999999999993</v>
      </c>
      <c r="J55" s="3470"/>
      <c r="K55" s="3470"/>
      <c r="L55" s="3464"/>
      <c r="M55" s="3392">
        <v>2</v>
      </c>
      <c r="N55" s="3392"/>
      <c r="O55" s="3395"/>
    </row>
    <row r="56" spans="1:15" s="3468" customFormat="1">
      <c r="A56" s="3467"/>
      <c r="B56" s="3587"/>
      <c r="C56" s="3602"/>
      <c r="D56" s="3602"/>
      <c r="E56" s="3345"/>
      <c r="F56" s="3393"/>
      <c r="G56" s="3469" t="s">
        <v>3854</v>
      </c>
      <c r="H56" s="3470">
        <v>1886.1</v>
      </c>
      <c r="I56" s="3470">
        <v>1886.1</v>
      </c>
      <c r="J56" s="3470"/>
      <c r="K56" s="3470"/>
      <c r="L56" s="3464"/>
      <c r="M56" s="3392">
        <v>1</v>
      </c>
      <c r="N56" s="3392"/>
      <c r="O56" s="3395"/>
    </row>
    <row r="57" spans="1:15" s="3468" customFormat="1">
      <c r="A57" s="3467"/>
      <c r="B57" s="3587"/>
      <c r="C57" s="3602"/>
      <c r="D57" s="3602"/>
      <c r="E57" s="3449"/>
      <c r="F57" s="3450"/>
      <c r="G57" s="3451" t="s">
        <v>3859</v>
      </c>
      <c r="H57" s="3452">
        <v>108.07</v>
      </c>
      <c r="I57" s="3452">
        <v>108.07</v>
      </c>
      <c r="J57" s="3374"/>
      <c r="K57" s="3374"/>
      <c r="L57" s="3464"/>
      <c r="M57" s="3392">
        <v>1</v>
      </c>
      <c r="N57" s="3392"/>
      <c r="O57" s="3395"/>
    </row>
    <row r="58" spans="1:15" s="3468" customFormat="1" ht="24">
      <c r="A58" s="3467"/>
      <c r="B58" s="3587"/>
      <c r="C58" s="3602"/>
      <c r="D58" s="3602"/>
      <c r="E58" s="3345"/>
      <c r="F58" s="3393"/>
      <c r="G58" s="3469" t="s">
        <v>3855</v>
      </c>
      <c r="H58" s="3470">
        <v>26.11</v>
      </c>
      <c r="I58" s="3470">
        <v>26.11</v>
      </c>
      <c r="J58" s="3470"/>
      <c r="K58" s="3470"/>
      <c r="L58" s="3464"/>
      <c r="M58" s="3392">
        <v>1</v>
      </c>
      <c r="N58" s="3392"/>
      <c r="O58" s="3395"/>
    </row>
    <row r="59" spans="1:15" s="3468" customFormat="1">
      <c r="A59" s="3467"/>
      <c r="B59" s="3588"/>
      <c r="C59" s="3603"/>
      <c r="D59" s="3602"/>
      <c r="E59" s="3345"/>
      <c r="F59" s="3393"/>
      <c r="G59" s="3469" t="s">
        <v>3856</v>
      </c>
      <c r="H59" s="3470">
        <v>70.680000000000007</v>
      </c>
      <c r="I59" s="3470">
        <v>70.680000000000007</v>
      </c>
      <c r="J59" s="3470"/>
      <c r="K59" s="3470"/>
      <c r="L59" s="3464"/>
      <c r="M59" s="3392">
        <v>1</v>
      </c>
      <c r="N59" s="3392"/>
      <c r="O59" s="3395"/>
    </row>
    <row r="60" spans="1:15" ht="24" customHeight="1">
      <c r="A60" s="3576">
        <v>3</v>
      </c>
      <c r="B60" s="3575" t="s">
        <v>3609</v>
      </c>
      <c r="C60" s="3590" t="s">
        <v>3610</v>
      </c>
      <c r="D60" s="3586" t="s">
        <v>3877</v>
      </c>
      <c r="E60" s="3351" t="s">
        <v>3611</v>
      </c>
      <c r="F60" s="3431" t="s">
        <v>3612</v>
      </c>
      <c r="G60" s="3447" t="s">
        <v>3613</v>
      </c>
      <c r="H60" s="3359">
        <v>1068.23</v>
      </c>
      <c r="I60" s="3431">
        <f>H60</f>
        <v>1068.23</v>
      </c>
      <c r="J60" s="3359">
        <v>0</v>
      </c>
      <c r="K60" s="3359"/>
      <c r="L60" s="3579">
        <v>9222.06</v>
      </c>
      <c r="M60" s="3359">
        <v>1</v>
      </c>
      <c r="N60" s="3359" t="s">
        <v>3614</v>
      </c>
      <c r="O60" s="3431" t="s">
        <v>3615</v>
      </c>
    </row>
    <row r="61" spans="1:15">
      <c r="A61" s="3576"/>
      <c r="B61" s="3575"/>
      <c r="C61" s="3590"/>
      <c r="D61" s="3587"/>
      <c r="E61" s="3351" t="s">
        <v>3616</v>
      </c>
      <c r="F61" s="3431" t="s">
        <v>3617</v>
      </c>
      <c r="G61" s="3447" t="s">
        <v>3618</v>
      </c>
      <c r="H61" s="3359">
        <v>6490.2</v>
      </c>
      <c r="I61" s="3448">
        <v>6427.96</v>
      </c>
      <c r="J61" s="3363">
        <v>0</v>
      </c>
      <c r="K61" s="3374">
        <v>62.24</v>
      </c>
      <c r="L61" s="3582"/>
      <c r="M61" s="3359">
        <v>2</v>
      </c>
      <c r="N61" s="3359" t="s">
        <v>3569</v>
      </c>
      <c r="O61" s="3431" t="s">
        <v>3594</v>
      </c>
    </row>
    <row r="62" spans="1:15">
      <c r="A62" s="3576"/>
      <c r="B62" s="3575"/>
      <c r="C62" s="3590"/>
      <c r="D62" s="3587"/>
      <c r="E62" s="3351" t="s">
        <v>3619</v>
      </c>
      <c r="F62" s="3431" t="s">
        <v>3620</v>
      </c>
      <c r="G62" s="3447" t="s">
        <v>3621</v>
      </c>
      <c r="H62" s="3359">
        <v>1545.47</v>
      </c>
      <c r="I62" s="3359">
        <f>H62</f>
        <v>1545.47</v>
      </c>
      <c r="J62" s="3359">
        <v>0</v>
      </c>
      <c r="K62" s="3359"/>
      <c r="L62" s="3582"/>
      <c r="M62" s="3359">
        <v>1</v>
      </c>
      <c r="N62" s="3359" t="s">
        <v>3569</v>
      </c>
      <c r="O62" s="3431" t="s">
        <v>3594</v>
      </c>
    </row>
    <row r="63" spans="1:15">
      <c r="A63" s="3576"/>
      <c r="B63" s="3575"/>
      <c r="C63" s="3590"/>
      <c r="D63" s="3588"/>
      <c r="E63" s="3449" t="s">
        <v>3619</v>
      </c>
      <c r="F63" s="3450" t="s">
        <v>3622</v>
      </c>
      <c r="G63" s="3451" t="s">
        <v>3623</v>
      </c>
      <c r="H63" s="3452">
        <v>631.99</v>
      </c>
      <c r="I63" s="3452">
        <v>415.68</v>
      </c>
      <c r="J63" s="3374">
        <v>0</v>
      </c>
      <c r="K63" s="3374">
        <v>216.31</v>
      </c>
      <c r="L63" s="3580"/>
      <c r="M63" s="3359">
        <v>1</v>
      </c>
      <c r="N63" s="3359" t="s">
        <v>3569</v>
      </c>
      <c r="O63" s="3431" t="s">
        <v>3594</v>
      </c>
    </row>
    <row r="64" spans="1:15" ht="24" customHeight="1">
      <c r="A64" s="3576"/>
      <c r="B64" s="3575" t="s">
        <v>3624</v>
      </c>
      <c r="C64" s="3590" t="s">
        <v>3625</v>
      </c>
      <c r="D64" s="3590" t="s">
        <v>3883</v>
      </c>
      <c r="E64" s="3345" t="s">
        <v>3619</v>
      </c>
      <c r="F64" s="3393" t="s">
        <v>3626</v>
      </c>
      <c r="G64" s="3453" t="s">
        <v>3627</v>
      </c>
      <c r="H64" s="3444">
        <v>3806.68</v>
      </c>
      <c r="I64" s="3380">
        <v>2366.5500000000002</v>
      </c>
      <c r="J64" s="3380">
        <v>1440.13</v>
      </c>
      <c r="K64" s="3381"/>
      <c r="L64" s="3579">
        <v>11268.82</v>
      </c>
      <c r="M64" s="3359">
        <v>2</v>
      </c>
      <c r="N64" s="3359">
        <v>1</v>
      </c>
      <c r="O64" s="3431" t="s">
        <v>3594</v>
      </c>
    </row>
    <row r="65" spans="1:15">
      <c r="A65" s="3576"/>
      <c r="B65" s="3575"/>
      <c r="C65" s="3590"/>
      <c r="D65" s="3590"/>
      <c r="E65" s="3345" t="s">
        <v>3619</v>
      </c>
      <c r="F65" s="3393" t="s">
        <v>3628</v>
      </c>
      <c r="G65" s="3453" t="s">
        <v>3629</v>
      </c>
      <c r="H65" s="3444">
        <v>3918.53</v>
      </c>
      <c r="I65" s="3382">
        <v>3169.46</v>
      </c>
      <c r="J65" s="3382">
        <v>678.91</v>
      </c>
      <c r="K65" s="3383">
        <v>70.16</v>
      </c>
      <c r="L65" s="3582"/>
      <c r="M65" s="3359">
        <v>2</v>
      </c>
      <c r="N65" s="3359">
        <v>1</v>
      </c>
      <c r="O65" s="3431" t="s">
        <v>3594</v>
      </c>
    </row>
    <row r="66" spans="1:15">
      <c r="A66" s="3576"/>
      <c r="B66" s="3575"/>
      <c r="C66" s="3590"/>
      <c r="D66" s="3590"/>
      <c r="E66" s="3345" t="s">
        <v>3619</v>
      </c>
      <c r="F66" s="3393" t="s">
        <v>3572</v>
      </c>
      <c r="G66" s="3453" t="s">
        <v>3630</v>
      </c>
      <c r="H66" s="3444">
        <v>3127.69</v>
      </c>
      <c r="I66" s="3382">
        <v>2009.55</v>
      </c>
      <c r="J66" s="3382">
        <v>981.75</v>
      </c>
      <c r="K66" s="3383">
        <v>136.38999999999999</v>
      </c>
      <c r="L66" s="3580"/>
      <c r="M66" s="3359">
        <v>2</v>
      </c>
      <c r="N66" s="3359">
        <v>1</v>
      </c>
      <c r="O66" s="3431" t="s">
        <v>3594</v>
      </c>
    </row>
    <row r="67" spans="1:15" ht="45.75" customHeight="1">
      <c r="A67" s="3591">
        <v>4</v>
      </c>
      <c r="B67" s="3591" t="s">
        <v>3631</v>
      </c>
      <c r="C67" s="3586" t="s">
        <v>3180</v>
      </c>
      <c r="D67" s="3586" t="s">
        <v>3876</v>
      </c>
      <c r="E67" s="3454" t="s">
        <v>3633</v>
      </c>
      <c r="F67" s="3454" t="s">
        <v>3634</v>
      </c>
      <c r="G67" s="3454" t="s">
        <v>3635</v>
      </c>
      <c r="H67" s="3454">
        <v>710.55</v>
      </c>
      <c r="I67" s="3454">
        <f t="shared" ref="I67:I76" si="1">H67</f>
        <v>710.55</v>
      </c>
      <c r="J67" s="3359">
        <v>0</v>
      </c>
      <c r="K67" s="3359"/>
      <c r="L67" s="3579">
        <v>14777.01</v>
      </c>
      <c r="M67" s="3359">
        <v>3</v>
      </c>
      <c r="N67" s="3359"/>
      <c r="O67" s="3431" t="s">
        <v>3570</v>
      </c>
    </row>
    <row r="68" spans="1:15">
      <c r="A68" s="3592"/>
      <c r="B68" s="3592"/>
      <c r="C68" s="3587"/>
      <c r="D68" s="3587"/>
      <c r="E68" s="3454" t="s">
        <v>3633</v>
      </c>
      <c r="F68" s="3454" t="s">
        <v>3184</v>
      </c>
      <c r="G68" s="3454" t="s">
        <v>3635</v>
      </c>
      <c r="H68" s="3454">
        <v>650.35</v>
      </c>
      <c r="I68" s="3364">
        <v>477.31</v>
      </c>
      <c r="J68" s="3363">
        <v>0</v>
      </c>
      <c r="K68" s="3374">
        <v>173.04</v>
      </c>
      <c r="L68" s="3582"/>
      <c r="M68" s="3359">
        <v>2</v>
      </c>
      <c r="N68" s="3359"/>
      <c r="O68" s="3431" t="s">
        <v>3570</v>
      </c>
    </row>
    <row r="69" spans="1:15">
      <c r="A69" s="3592"/>
      <c r="B69" s="3592"/>
      <c r="C69" s="3587"/>
      <c r="D69" s="3587"/>
      <c r="E69" s="3454" t="s">
        <v>3633</v>
      </c>
      <c r="F69" s="3454" t="s">
        <v>3185</v>
      </c>
      <c r="G69" s="3454" t="s">
        <v>3589</v>
      </c>
      <c r="H69" s="3454">
        <v>222.81</v>
      </c>
      <c r="I69" s="3454">
        <f t="shared" si="1"/>
        <v>222.81</v>
      </c>
      <c r="J69" s="3359">
        <v>0</v>
      </c>
      <c r="K69" s="3359"/>
      <c r="L69" s="3582"/>
      <c r="M69" s="3359">
        <v>1</v>
      </c>
      <c r="N69" s="3359" t="s">
        <v>3569</v>
      </c>
      <c r="O69" s="3431" t="s">
        <v>3570</v>
      </c>
    </row>
    <row r="70" spans="1:15">
      <c r="A70" s="3592"/>
      <c r="B70" s="3592"/>
      <c r="C70" s="3587"/>
      <c r="D70" s="3587"/>
      <c r="E70" s="3454" t="s">
        <v>3633</v>
      </c>
      <c r="F70" s="3454" t="s">
        <v>3622</v>
      </c>
      <c r="G70" s="3454" t="s">
        <v>3636</v>
      </c>
      <c r="H70" s="3454">
        <v>943.19</v>
      </c>
      <c r="I70" s="3454">
        <f t="shared" si="1"/>
        <v>943.19</v>
      </c>
      <c r="J70" s="3359">
        <v>0</v>
      </c>
      <c r="K70" s="3359"/>
      <c r="L70" s="3582"/>
      <c r="M70" s="3359">
        <v>2</v>
      </c>
      <c r="N70" s="3359" t="s">
        <v>3569</v>
      </c>
      <c r="O70" s="3431" t="s">
        <v>3570</v>
      </c>
    </row>
    <row r="71" spans="1:15" ht="24">
      <c r="A71" s="3592"/>
      <c r="B71" s="3592"/>
      <c r="C71" s="3587"/>
      <c r="D71" s="3587"/>
      <c r="E71" s="3454" t="s">
        <v>3633</v>
      </c>
      <c r="F71" s="3454" t="s">
        <v>3626</v>
      </c>
      <c r="G71" s="3450" t="s">
        <v>3637</v>
      </c>
      <c r="H71" s="3450">
        <v>701.57</v>
      </c>
      <c r="I71" s="3450">
        <f t="shared" si="1"/>
        <v>701.57</v>
      </c>
      <c r="J71" s="3374">
        <v>0</v>
      </c>
      <c r="K71" s="3374"/>
      <c r="L71" s="3582"/>
      <c r="M71" s="3359">
        <v>2</v>
      </c>
      <c r="N71" s="3359" t="s">
        <v>3569</v>
      </c>
      <c r="O71" s="3431" t="s">
        <v>3570</v>
      </c>
    </row>
    <row r="72" spans="1:15">
      <c r="A72" s="3592"/>
      <c r="B72" s="3592"/>
      <c r="C72" s="3587"/>
      <c r="D72" s="3587"/>
      <c r="E72" s="3454" t="s">
        <v>3633</v>
      </c>
      <c r="F72" s="3454" t="s">
        <v>3628</v>
      </c>
      <c r="G72" s="3454" t="s">
        <v>3638</v>
      </c>
      <c r="H72" s="3454">
        <v>902.8</v>
      </c>
      <c r="I72" s="3454">
        <f t="shared" si="1"/>
        <v>902.8</v>
      </c>
      <c r="J72" s="3359">
        <v>0</v>
      </c>
      <c r="K72" s="3359"/>
      <c r="L72" s="3582"/>
      <c r="M72" s="3359">
        <v>2</v>
      </c>
      <c r="N72" s="3359" t="s">
        <v>3569</v>
      </c>
      <c r="O72" s="3431" t="s">
        <v>3570</v>
      </c>
    </row>
    <row r="73" spans="1:15">
      <c r="A73" s="3592"/>
      <c r="B73" s="3592"/>
      <c r="C73" s="3587"/>
      <c r="D73" s="3587"/>
      <c r="E73" s="3454" t="s">
        <v>3633</v>
      </c>
      <c r="F73" s="3454" t="s">
        <v>3572</v>
      </c>
      <c r="G73" s="3454" t="s">
        <v>3639</v>
      </c>
      <c r="H73" s="3454">
        <v>460.64</v>
      </c>
      <c r="I73" s="3454">
        <f t="shared" si="1"/>
        <v>460.64</v>
      </c>
      <c r="J73" s="3359">
        <v>0</v>
      </c>
      <c r="K73" s="3359"/>
      <c r="L73" s="3582"/>
      <c r="M73" s="3359">
        <v>3</v>
      </c>
      <c r="N73" s="3359" t="s">
        <v>3569</v>
      </c>
      <c r="O73" s="3431" t="s">
        <v>3570</v>
      </c>
    </row>
    <row r="74" spans="1:15">
      <c r="A74" s="3592"/>
      <c r="B74" s="3592"/>
      <c r="C74" s="3587"/>
      <c r="D74" s="3587"/>
      <c r="E74" s="3454" t="s">
        <v>3633</v>
      </c>
      <c r="F74" s="3454" t="s">
        <v>3640</v>
      </c>
      <c r="G74" s="3454" t="s">
        <v>3589</v>
      </c>
      <c r="H74" s="3454">
        <v>117.73</v>
      </c>
      <c r="I74" s="3454">
        <f t="shared" si="1"/>
        <v>117.73</v>
      </c>
      <c r="J74" s="3359">
        <v>0</v>
      </c>
      <c r="K74" s="3359"/>
      <c r="L74" s="3582"/>
      <c r="M74" s="3359">
        <v>2</v>
      </c>
      <c r="N74" s="3359" t="s">
        <v>3569</v>
      </c>
      <c r="O74" s="3431" t="s">
        <v>3570</v>
      </c>
    </row>
    <row r="75" spans="1:15" ht="24">
      <c r="A75" s="3592"/>
      <c r="B75" s="3592"/>
      <c r="C75" s="3587"/>
      <c r="D75" s="3587"/>
      <c r="E75" s="3454" t="s">
        <v>3633</v>
      </c>
      <c r="F75" s="3454" t="s">
        <v>3641</v>
      </c>
      <c r="G75" s="3450" t="s">
        <v>3642</v>
      </c>
      <c r="H75" s="3450">
        <v>629.61</v>
      </c>
      <c r="I75" s="3450">
        <f t="shared" si="1"/>
        <v>629.61</v>
      </c>
      <c r="J75" s="3374">
        <v>0</v>
      </c>
      <c r="K75" s="3374"/>
      <c r="L75" s="3582"/>
      <c r="M75" s="3359">
        <v>2</v>
      </c>
      <c r="N75" s="3359" t="s">
        <v>3569</v>
      </c>
      <c r="O75" s="3431" t="s">
        <v>3570</v>
      </c>
    </row>
    <row r="76" spans="1:15">
      <c r="A76" s="3592"/>
      <c r="B76" s="3592"/>
      <c r="C76" s="3587"/>
      <c r="D76" s="3587"/>
      <c r="E76" s="3454" t="s">
        <v>3633</v>
      </c>
      <c r="F76" s="3454" t="s">
        <v>3576</v>
      </c>
      <c r="G76" s="3450" t="s">
        <v>3643</v>
      </c>
      <c r="H76" s="3450">
        <v>57.59</v>
      </c>
      <c r="I76" s="3450">
        <f t="shared" si="1"/>
        <v>57.59</v>
      </c>
      <c r="J76" s="3374">
        <v>0</v>
      </c>
      <c r="K76" s="3374"/>
      <c r="L76" s="3582"/>
      <c r="M76" s="3359">
        <v>1</v>
      </c>
      <c r="N76" s="3359" t="s">
        <v>3569</v>
      </c>
      <c r="O76" s="3431" t="s">
        <v>3570</v>
      </c>
    </row>
    <row r="77" spans="1:15">
      <c r="A77" s="3592"/>
      <c r="B77" s="3592"/>
      <c r="C77" s="3587"/>
      <c r="D77" s="3587"/>
      <c r="E77" s="3454" t="s">
        <v>3633</v>
      </c>
      <c r="F77" s="3454" t="s">
        <v>3644</v>
      </c>
      <c r="G77" s="3454" t="s">
        <v>3589</v>
      </c>
      <c r="H77" s="3454">
        <v>103.98</v>
      </c>
      <c r="I77" s="3454">
        <f>H77</f>
        <v>103.98</v>
      </c>
      <c r="J77" s="3359">
        <v>0</v>
      </c>
      <c r="K77" s="3359"/>
      <c r="L77" s="3582"/>
      <c r="M77" s="3359">
        <v>1</v>
      </c>
      <c r="N77" s="3359" t="s">
        <v>3569</v>
      </c>
      <c r="O77" s="3431" t="s">
        <v>3570</v>
      </c>
    </row>
    <row r="78" spans="1:15" ht="24">
      <c r="A78" s="3592"/>
      <c r="B78" s="3592"/>
      <c r="C78" s="3587"/>
      <c r="D78" s="3587"/>
      <c r="E78" s="3454" t="s">
        <v>3633</v>
      </c>
      <c r="F78" s="3454" t="s">
        <v>3645</v>
      </c>
      <c r="G78" s="3450" t="s">
        <v>3646</v>
      </c>
      <c r="H78" s="3450">
        <v>282.62</v>
      </c>
      <c r="I78" s="3450">
        <f t="shared" ref="I78:I101" si="2">H78</f>
        <v>282.62</v>
      </c>
      <c r="J78" s="3374">
        <v>0</v>
      </c>
      <c r="K78" s="3374"/>
      <c r="L78" s="3582"/>
      <c r="M78" s="3359">
        <v>2</v>
      </c>
      <c r="N78" s="3359" t="s">
        <v>3569</v>
      </c>
      <c r="O78" s="3431" t="s">
        <v>3570</v>
      </c>
    </row>
    <row r="79" spans="1:15" s="3455" customFormat="1">
      <c r="A79" s="3592"/>
      <c r="B79" s="3592"/>
      <c r="C79" s="3587"/>
      <c r="D79" s="3587"/>
      <c r="E79" s="3384" t="s">
        <v>3633</v>
      </c>
      <c r="F79" s="3384" t="s">
        <v>3647</v>
      </c>
      <c r="G79" s="3384" t="s">
        <v>3589</v>
      </c>
      <c r="H79" s="3384">
        <v>159.41</v>
      </c>
      <c r="I79" s="3384">
        <f t="shared" si="2"/>
        <v>159.41</v>
      </c>
      <c r="J79" s="3372">
        <v>0</v>
      </c>
      <c r="K79" s="3372"/>
      <c r="L79" s="3582"/>
      <c r="M79" s="3372">
        <v>2</v>
      </c>
      <c r="N79" s="3372" t="s">
        <v>3569</v>
      </c>
      <c r="O79" s="3370" t="s">
        <v>3570</v>
      </c>
    </row>
    <row r="80" spans="1:15">
      <c r="A80" s="3592"/>
      <c r="B80" s="3592"/>
      <c r="C80" s="3587"/>
      <c r="D80" s="3587"/>
      <c r="E80" s="3454" t="s">
        <v>3633</v>
      </c>
      <c r="F80" s="3454" t="s">
        <v>3579</v>
      </c>
      <c r="G80" s="3454" t="s">
        <v>3648</v>
      </c>
      <c r="H80" s="3454">
        <v>927.76</v>
      </c>
      <c r="I80" s="3454">
        <f t="shared" si="2"/>
        <v>927.76</v>
      </c>
      <c r="J80" s="3359">
        <v>0</v>
      </c>
      <c r="K80" s="3359"/>
      <c r="L80" s="3582"/>
      <c r="M80" s="3359">
        <v>2</v>
      </c>
      <c r="N80" s="3359" t="s">
        <v>3569</v>
      </c>
      <c r="O80" s="3431" t="s">
        <v>3570</v>
      </c>
    </row>
    <row r="81" spans="1:15">
      <c r="A81" s="3592"/>
      <c r="B81" s="3592"/>
      <c r="C81" s="3587"/>
      <c r="D81" s="3587"/>
      <c r="E81" s="3454" t="s">
        <v>3633</v>
      </c>
      <c r="F81" s="3454" t="s">
        <v>3649</v>
      </c>
      <c r="G81" s="3454" t="s">
        <v>3589</v>
      </c>
      <c r="H81" s="3454">
        <v>578.5</v>
      </c>
      <c r="I81" s="3454">
        <f t="shared" si="2"/>
        <v>578.5</v>
      </c>
      <c r="J81" s="3359">
        <v>0</v>
      </c>
      <c r="K81" s="3359"/>
      <c r="L81" s="3582"/>
      <c r="M81" s="3359">
        <v>2</v>
      </c>
      <c r="N81" s="3359" t="s">
        <v>3569</v>
      </c>
      <c r="O81" s="3431" t="s">
        <v>3570</v>
      </c>
    </row>
    <row r="82" spans="1:15">
      <c r="A82" s="3592"/>
      <c r="B82" s="3592"/>
      <c r="C82" s="3587"/>
      <c r="D82" s="3587"/>
      <c r="E82" s="3454" t="s">
        <v>3633</v>
      </c>
      <c r="F82" s="3454" t="s">
        <v>3581</v>
      </c>
      <c r="G82" s="3450" t="s">
        <v>3650</v>
      </c>
      <c r="H82" s="3450">
        <v>511.23</v>
      </c>
      <c r="I82" s="3450">
        <f t="shared" si="2"/>
        <v>511.23</v>
      </c>
      <c r="J82" s="3374">
        <v>0</v>
      </c>
      <c r="K82" s="3374"/>
      <c r="L82" s="3582"/>
      <c r="M82" s="3359">
        <v>3</v>
      </c>
      <c r="N82" s="3359"/>
      <c r="O82" s="3431" t="s">
        <v>3570</v>
      </c>
    </row>
    <row r="83" spans="1:15">
      <c r="A83" s="3592"/>
      <c r="B83" s="3592"/>
      <c r="C83" s="3587"/>
      <c r="D83" s="3587"/>
      <c r="E83" s="3454" t="s">
        <v>3633</v>
      </c>
      <c r="F83" s="3454" t="s">
        <v>3651</v>
      </c>
      <c r="G83" s="3454" t="s">
        <v>3652</v>
      </c>
      <c r="H83" s="3454">
        <v>1737.72</v>
      </c>
      <c r="I83" s="3454">
        <f t="shared" si="2"/>
        <v>1737.72</v>
      </c>
      <c r="J83" s="3359">
        <v>0</v>
      </c>
      <c r="K83" s="3359"/>
      <c r="L83" s="3582"/>
      <c r="M83" s="3359">
        <v>3</v>
      </c>
      <c r="N83" s="3359"/>
      <c r="O83" s="3431" t="s">
        <v>3570</v>
      </c>
    </row>
    <row r="84" spans="1:15">
      <c r="A84" s="3592"/>
      <c r="B84" s="3592"/>
      <c r="C84" s="3587"/>
      <c r="D84" s="3587"/>
      <c r="E84" s="3454" t="s">
        <v>3633</v>
      </c>
      <c r="F84" s="3454" t="s">
        <v>3653</v>
      </c>
      <c r="G84" s="3450" t="s">
        <v>3654</v>
      </c>
      <c r="H84" s="3450">
        <v>285.33999999999997</v>
      </c>
      <c r="I84" s="3450">
        <f t="shared" si="2"/>
        <v>285.33999999999997</v>
      </c>
      <c r="J84" s="3374">
        <v>0</v>
      </c>
      <c r="K84" s="3374"/>
      <c r="L84" s="3582"/>
      <c r="M84" s="3359">
        <v>2</v>
      </c>
      <c r="N84" s="3359" t="s">
        <v>3569</v>
      </c>
      <c r="O84" s="3431" t="s">
        <v>3570</v>
      </c>
    </row>
    <row r="85" spans="1:15">
      <c r="A85" s="3592"/>
      <c r="B85" s="3592"/>
      <c r="C85" s="3587"/>
      <c r="D85" s="3587"/>
      <c r="E85" s="3454" t="s">
        <v>3633</v>
      </c>
      <c r="F85" s="3454" t="s">
        <v>3655</v>
      </c>
      <c r="G85" s="3454" t="s">
        <v>3589</v>
      </c>
      <c r="H85" s="3454">
        <v>97.47</v>
      </c>
      <c r="I85" s="3454">
        <f t="shared" si="2"/>
        <v>97.47</v>
      </c>
      <c r="J85" s="3359">
        <v>0</v>
      </c>
      <c r="K85" s="3359"/>
      <c r="L85" s="3582"/>
      <c r="M85" s="3359">
        <v>1</v>
      </c>
      <c r="N85" s="3359" t="s">
        <v>3569</v>
      </c>
      <c r="O85" s="3431" t="s">
        <v>3570</v>
      </c>
    </row>
    <row r="86" spans="1:15">
      <c r="A86" s="3592"/>
      <c r="B86" s="3592"/>
      <c r="C86" s="3587"/>
      <c r="D86" s="3587"/>
      <c r="E86" s="3454" t="s">
        <v>3633</v>
      </c>
      <c r="F86" s="3454" t="s">
        <v>3656</v>
      </c>
      <c r="G86" s="3454" t="s">
        <v>3589</v>
      </c>
      <c r="H86" s="3454">
        <v>182.32</v>
      </c>
      <c r="I86" s="3454">
        <f t="shared" si="2"/>
        <v>182.32</v>
      </c>
      <c r="J86" s="3359">
        <v>0</v>
      </c>
      <c r="K86" s="3359"/>
      <c r="L86" s="3582"/>
      <c r="M86" s="3359">
        <v>2</v>
      </c>
      <c r="N86" s="3359" t="s">
        <v>3569</v>
      </c>
      <c r="O86" s="3431" t="s">
        <v>3570</v>
      </c>
    </row>
    <row r="87" spans="1:15">
      <c r="A87" s="3592"/>
      <c r="B87" s="3592"/>
      <c r="C87" s="3587"/>
      <c r="D87" s="3587"/>
      <c r="E87" s="3454" t="s">
        <v>3633</v>
      </c>
      <c r="F87" s="3454" t="s">
        <v>3657</v>
      </c>
      <c r="G87" s="3454" t="s">
        <v>3589</v>
      </c>
      <c r="H87" s="3454">
        <v>462.08</v>
      </c>
      <c r="I87" s="3454">
        <f t="shared" si="2"/>
        <v>462.08</v>
      </c>
      <c r="J87" s="3359">
        <v>0</v>
      </c>
      <c r="K87" s="3359"/>
      <c r="L87" s="3582"/>
      <c r="M87" s="3359">
        <v>2</v>
      </c>
      <c r="N87" s="3359" t="s">
        <v>3569</v>
      </c>
      <c r="O87" s="3431" t="s">
        <v>3570</v>
      </c>
    </row>
    <row r="88" spans="1:15">
      <c r="A88" s="3592"/>
      <c r="B88" s="3592"/>
      <c r="C88" s="3587"/>
      <c r="D88" s="3587"/>
      <c r="E88" s="3454" t="s">
        <v>3633</v>
      </c>
      <c r="F88" s="3454" t="s">
        <v>3583</v>
      </c>
      <c r="G88" s="3454" t="s">
        <v>3589</v>
      </c>
      <c r="H88" s="3454">
        <v>169.07</v>
      </c>
      <c r="I88" s="3454">
        <f t="shared" si="2"/>
        <v>169.07</v>
      </c>
      <c r="J88" s="3359">
        <v>0</v>
      </c>
      <c r="K88" s="3359"/>
      <c r="L88" s="3582"/>
      <c r="M88" s="3359">
        <v>2</v>
      </c>
      <c r="N88" s="3359"/>
      <c r="O88" s="3431" t="s">
        <v>3570</v>
      </c>
    </row>
    <row r="89" spans="1:15">
      <c r="A89" s="3592"/>
      <c r="B89" s="3592"/>
      <c r="C89" s="3587"/>
      <c r="D89" s="3587"/>
      <c r="E89" s="3454" t="s">
        <v>3633</v>
      </c>
      <c r="F89" s="3454" t="s">
        <v>3584</v>
      </c>
      <c r="G89" s="3454" t="s">
        <v>3658</v>
      </c>
      <c r="H89" s="3454">
        <v>417.56</v>
      </c>
      <c r="I89" s="3454">
        <f t="shared" si="2"/>
        <v>417.56</v>
      </c>
      <c r="J89" s="3359">
        <v>0</v>
      </c>
      <c r="K89" s="3359"/>
      <c r="L89" s="3582"/>
      <c r="M89" s="3359">
        <v>3</v>
      </c>
      <c r="N89" s="3359" t="s">
        <v>3569</v>
      </c>
      <c r="O89" s="3431" t="s">
        <v>3570</v>
      </c>
    </row>
    <row r="90" spans="1:15">
      <c r="A90" s="3592"/>
      <c r="B90" s="3592"/>
      <c r="C90" s="3587"/>
      <c r="D90" s="3587"/>
      <c r="E90" s="3454" t="s">
        <v>3633</v>
      </c>
      <c r="F90" s="3454" t="s">
        <v>3585</v>
      </c>
      <c r="G90" s="3454" t="s">
        <v>3589</v>
      </c>
      <c r="H90" s="3454">
        <v>120.16</v>
      </c>
      <c r="I90" s="3454">
        <f t="shared" si="2"/>
        <v>120.16</v>
      </c>
      <c r="J90" s="3359">
        <v>0</v>
      </c>
      <c r="K90" s="3359"/>
      <c r="L90" s="3582"/>
      <c r="M90" s="3359">
        <v>2</v>
      </c>
      <c r="N90" s="3359" t="s">
        <v>3569</v>
      </c>
      <c r="O90" s="3431" t="s">
        <v>3570</v>
      </c>
    </row>
    <row r="91" spans="1:15">
      <c r="A91" s="3592"/>
      <c r="B91" s="3592"/>
      <c r="C91" s="3587"/>
      <c r="D91" s="3587"/>
      <c r="E91" s="3454" t="s">
        <v>3633</v>
      </c>
      <c r="F91" s="3454" t="s">
        <v>3586</v>
      </c>
      <c r="G91" s="3454" t="s">
        <v>3659</v>
      </c>
      <c r="H91" s="3454">
        <v>408.8</v>
      </c>
      <c r="I91" s="3454">
        <f t="shared" si="2"/>
        <v>408.8</v>
      </c>
      <c r="J91" s="3359">
        <v>0</v>
      </c>
      <c r="K91" s="3359"/>
      <c r="L91" s="3582"/>
      <c r="M91" s="3359">
        <v>2</v>
      </c>
      <c r="N91" s="3359" t="s">
        <v>3569</v>
      </c>
      <c r="O91" s="3431" t="s">
        <v>3570</v>
      </c>
    </row>
    <row r="92" spans="1:15">
      <c r="A92" s="3592"/>
      <c r="B92" s="3592"/>
      <c r="C92" s="3587"/>
      <c r="D92" s="3587"/>
      <c r="E92" s="3454" t="s">
        <v>3633</v>
      </c>
      <c r="F92" s="3454" t="s">
        <v>3660</v>
      </c>
      <c r="G92" s="3454" t="s">
        <v>3589</v>
      </c>
      <c r="H92" s="3454">
        <v>180.44</v>
      </c>
      <c r="I92" s="3454">
        <f t="shared" si="2"/>
        <v>180.44</v>
      </c>
      <c r="J92" s="3359">
        <v>0</v>
      </c>
      <c r="K92" s="3359"/>
      <c r="L92" s="3582"/>
      <c r="M92" s="3359">
        <v>2</v>
      </c>
      <c r="N92" s="3359" t="s">
        <v>3661</v>
      </c>
      <c r="O92" s="3431" t="s">
        <v>3570</v>
      </c>
    </row>
    <row r="93" spans="1:15">
      <c r="A93" s="3593"/>
      <c r="B93" s="3593"/>
      <c r="C93" s="3588"/>
      <c r="D93" s="3588"/>
      <c r="E93" s="3454" t="s">
        <v>3633</v>
      </c>
      <c r="F93" s="3454" t="s">
        <v>3662</v>
      </c>
      <c r="G93" s="3454" t="s">
        <v>3589</v>
      </c>
      <c r="H93" s="3454">
        <v>176.64</v>
      </c>
      <c r="I93" s="3454">
        <f t="shared" si="2"/>
        <v>176.64</v>
      </c>
      <c r="J93" s="3359">
        <v>0</v>
      </c>
      <c r="K93" s="3359"/>
      <c r="L93" s="3580"/>
      <c r="M93" s="3359">
        <v>2</v>
      </c>
      <c r="N93" s="3359" t="s">
        <v>3569</v>
      </c>
      <c r="O93" s="3431" t="s">
        <v>3570</v>
      </c>
    </row>
    <row r="94" spans="1:15" ht="33.75" customHeight="1">
      <c r="A94" s="3586">
        <v>5</v>
      </c>
      <c r="B94" s="3586" t="s">
        <v>3663</v>
      </c>
      <c r="C94" s="3586" t="s">
        <v>3664</v>
      </c>
      <c r="D94" s="3586" t="s">
        <v>3876</v>
      </c>
      <c r="E94" s="3454" t="s">
        <v>3665</v>
      </c>
      <c r="F94" s="3454" t="s">
        <v>3634</v>
      </c>
      <c r="G94" s="3454" t="s">
        <v>3589</v>
      </c>
      <c r="H94" s="3454">
        <v>46.47</v>
      </c>
      <c r="I94" s="3454">
        <f t="shared" si="2"/>
        <v>46.47</v>
      </c>
      <c r="J94" s="3359">
        <v>0</v>
      </c>
      <c r="K94" s="3359"/>
      <c r="L94" s="3579">
        <v>18256.3</v>
      </c>
      <c r="M94" s="3359">
        <v>1</v>
      </c>
      <c r="N94" s="3359" t="s">
        <v>3569</v>
      </c>
      <c r="O94" s="3431" t="s">
        <v>3570</v>
      </c>
    </row>
    <row r="95" spans="1:15">
      <c r="A95" s="3587"/>
      <c r="B95" s="3587"/>
      <c r="C95" s="3587"/>
      <c r="D95" s="3587"/>
      <c r="E95" s="3454" t="s">
        <v>3665</v>
      </c>
      <c r="F95" s="3435" t="s">
        <v>3617</v>
      </c>
      <c r="G95" s="3454" t="s">
        <v>3580</v>
      </c>
      <c r="H95" s="3435">
        <v>37.39</v>
      </c>
      <c r="I95" s="3435">
        <f t="shared" si="2"/>
        <v>37.39</v>
      </c>
      <c r="J95" s="3381">
        <v>0</v>
      </c>
      <c r="K95" s="3381"/>
      <c r="L95" s="3582"/>
      <c r="M95" s="3381">
        <v>1</v>
      </c>
      <c r="N95" s="3381" t="s">
        <v>3569</v>
      </c>
      <c r="O95" s="3431" t="s">
        <v>3570</v>
      </c>
    </row>
    <row r="96" spans="1:15">
      <c r="A96" s="3587"/>
      <c r="B96" s="3587"/>
      <c r="C96" s="3587"/>
      <c r="D96" s="3587"/>
      <c r="E96" s="3454" t="s">
        <v>3665</v>
      </c>
      <c r="F96" s="3435" t="s">
        <v>3620</v>
      </c>
      <c r="G96" s="3454" t="s">
        <v>3580</v>
      </c>
      <c r="H96" s="3435">
        <v>66.56</v>
      </c>
      <c r="I96" s="3435">
        <f t="shared" si="2"/>
        <v>66.56</v>
      </c>
      <c r="J96" s="3381">
        <v>0</v>
      </c>
      <c r="K96" s="3381"/>
      <c r="L96" s="3582"/>
      <c r="M96" s="3381">
        <v>1</v>
      </c>
      <c r="N96" s="3381" t="s">
        <v>3569</v>
      </c>
      <c r="O96" s="3431" t="s">
        <v>3570</v>
      </c>
    </row>
    <row r="97" spans="1:15">
      <c r="A97" s="3587"/>
      <c r="B97" s="3587"/>
      <c r="C97" s="3587"/>
      <c r="D97" s="3587"/>
      <c r="E97" s="3454" t="s">
        <v>3665</v>
      </c>
      <c r="F97" s="3454" t="s">
        <v>3622</v>
      </c>
      <c r="G97" s="3450" t="s">
        <v>3666</v>
      </c>
      <c r="H97" s="3450">
        <v>167.2</v>
      </c>
      <c r="I97" s="3450">
        <f t="shared" si="2"/>
        <v>167.2</v>
      </c>
      <c r="J97" s="3374">
        <v>0</v>
      </c>
      <c r="K97" s="3374"/>
      <c r="L97" s="3582"/>
      <c r="M97" s="3359">
        <v>1</v>
      </c>
      <c r="N97" s="3359" t="s">
        <v>3569</v>
      </c>
      <c r="O97" s="3431" t="s">
        <v>3570</v>
      </c>
    </row>
    <row r="98" spans="1:15">
      <c r="A98" s="3587"/>
      <c r="B98" s="3587"/>
      <c r="C98" s="3587"/>
      <c r="D98" s="3587"/>
      <c r="E98" s="3454" t="s">
        <v>3665</v>
      </c>
      <c r="F98" s="3454" t="s">
        <v>3626</v>
      </c>
      <c r="G98" s="3454" t="s">
        <v>3580</v>
      </c>
      <c r="H98" s="3454">
        <v>25.68</v>
      </c>
      <c r="I98" s="3454">
        <f t="shared" si="2"/>
        <v>25.68</v>
      </c>
      <c r="J98" s="3359">
        <v>0</v>
      </c>
      <c r="K98" s="3359"/>
      <c r="L98" s="3582"/>
      <c r="M98" s="3359">
        <v>1</v>
      </c>
      <c r="N98" s="3359" t="s">
        <v>3569</v>
      </c>
      <c r="O98" s="3431" t="s">
        <v>3570</v>
      </c>
    </row>
    <row r="99" spans="1:15">
      <c r="A99" s="3587"/>
      <c r="B99" s="3587"/>
      <c r="C99" s="3587"/>
      <c r="D99" s="3587"/>
      <c r="E99" s="3454" t="s">
        <v>3665</v>
      </c>
      <c r="F99" s="3435" t="s">
        <v>3628</v>
      </c>
      <c r="G99" s="3454" t="s">
        <v>3580</v>
      </c>
      <c r="H99" s="3435">
        <v>57.62</v>
      </c>
      <c r="I99" s="3435">
        <f t="shared" si="2"/>
        <v>57.62</v>
      </c>
      <c r="J99" s="3381">
        <v>0</v>
      </c>
      <c r="K99" s="3381"/>
      <c r="L99" s="3582"/>
      <c r="M99" s="3381">
        <v>2</v>
      </c>
      <c r="N99" s="3381" t="s">
        <v>3569</v>
      </c>
      <c r="O99" s="3431" t="s">
        <v>3570</v>
      </c>
    </row>
    <row r="100" spans="1:15">
      <c r="A100" s="3587"/>
      <c r="B100" s="3587"/>
      <c r="C100" s="3587"/>
      <c r="D100" s="3587"/>
      <c r="E100" s="3454" t="s">
        <v>3665</v>
      </c>
      <c r="F100" s="3435" t="s">
        <v>3572</v>
      </c>
      <c r="G100" s="3454" t="s">
        <v>3580</v>
      </c>
      <c r="H100" s="3435">
        <v>44.05</v>
      </c>
      <c r="I100" s="3435">
        <f t="shared" si="2"/>
        <v>44.05</v>
      </c>
      <c r="J100" s="3381">
        <v>0</v>
      </c>
      <c r="K100" s="3381"/>
      <c r="L100" s="3582"/>
      <c r="M100" s="3381">
        <v>1</v>
      </c>
      <c r="N100" s="3381" t="s">
        <v>3569</v>
      </c>
      <c r="O100" s="3431" t="s">
        <v>3570</v>
      </c>
    </row>
    <row r="101" spans="1:15">
      <c r="A101" s="3587"/>
      <c r="B101" s="3587"/>
      <c r="C101" s="3587"/>
      <c r="D101" s="3587"/>
      <c r="E101" s="3454" t="s">
        <v>3665</v>
      </c>
      <c r="F101" s="3454" t="s">
        <v>3640</v>
      </c>
      <c r="G101" s="3385" t="s">
        <v>3667</v>
      </c>
      <c r="H101" s="3385">
        <v>39.1</v>
      </c>
      <c r="I101" s="3385">
        <f t="shared" si="2"/>
        <v>39.1</v>
      </c>
      <c r="J101" s="3387">
        <v>0</v>
      </c>
      <c r="K101" s="3387"/>
      <c r="L101" s="3582"/>
      <c r="M101" s="3359">
        <v>1</v>
      </c>
      <c r="N101" s="3359" t="s">
        <v>3569</v>
      </c>
      <c r="O101" s="3431" t="s">
        <v>3570</v>
      </c>
    </row>
    <row r="102" spans="1:15">
      <c r="A102" s="3587"/>
      <c r="B102" s="3587"/>
      <c r="C102" s="3597"/>
      <c r="D102" s="3597"/>
      <c r="E102" s="3433" t="s">
        <v>3665</v>
      </c>
      <c r="F102" s="3433" t="s">
        <v>3641</v>
      </c>
      <c r="G102" s="3433" t="s">
        <v>3659</v>
      </c>
      <c r="H102" s="3433">
        <v>3319.32</v>
      </c>
      <c r="I102" s="3354">
        <v>2821.28</v>
      </c>
      <c r="J102" s="3354">
        <v>498.04</v>
      </c>
      <c r="K102" s="3388"/>
      <c r="L102" s="3582"/>
      <c r="M102" s="3381">
        <v>2</v>
      </c>
      <c r="N102" s="3381">
        <v>1</v>
      </c>
      <c r="O102" s="3431" t="s">
        <v>3570</v>
      </c>
    </row>
    <row r="103" spans="1:15">
      <c r="A103" s="3587"/>
      <c r="B103" s="3587"/>
      <c r="C103" s="3587"/>
      <c r="D103" s="3587"/>
      <c r="E103" s="3454" t="s">
        <v>3665</v>
      </c>
      <c r="F103" s="3454" t="s">
        <v>3576</v>
      </c>
      <c r="G103" s="3454" t="s">
        <v>3580</v>
      </c>
      <c r="H103" s="3454">
        <v>117.24</v>
      </c>
      <c r="I103" s="3454">
        <f t="shared" ref="I103:I109" si="3">H103</f>
        <v>117.24</v>
      </c>
      <c r="J103" s="3359">
        <v>0</v>
      </c>
      <c r="K103" s="3359"/>
      <c r="L103" s="3582"/>
      <c r="M103" s="3359">
        <v>2</v>
      </c>
      <c r="N103" s="3359" t="s">
        <v>3569</v>
      </c>
      <c r="O103" s="3431" t="s">
        <v>3570</v>
      </c>
    </row>
    <row r="104" spans="1:15">
      <c r="A104" s="3587"/>
      <c r="B104" s="3587"/>
      <c r="C104" s="3587"/>
      <c r="D104" s="3587"/>
      <c r="E104" s="3454" t="s">
        <v>3665</v>
      </c>
      <c r="F104" s="3454" t="s">
        <v>3644</v>
      </c>
      <c r="G104" s="3454" t="s">
        <v>3580</v>
      </c>
      <c r="H104" s="3454">
        <v>113.68</v>
      </c>
      <c r="I104" s="3454">
        <f t="shared" si="3"/>
        <v>113.68</v>
      </c>
      <c r="J104" s="3359">
        <v>0</v>
      </c>
      <c r="K104" s="3359"/>
      <c r="L104" s="3582"/>
      <c r="M104" s="3359">
        <v>2</v>
      </c>
      <c r="N104" s="3359" t="s">
        <v>3569</v>
      </c>
      <c r="O104" s="3431" t="s">
        <v>3570</v>
      </c>
    </row>
    <row r="105" spans="1:15">
      <c r="A105" s="3587"/>
      <c r="B105" s="3587"/>
      <c r="C105" s="3587"/>
      <c r="D105" s="3587"/>
      <c r="E105" s="3454" t="s">
        <v>3665</v>
      </c>
      <c r="F105" s="3454" t="s">
        <v>3645</v>
      </c>
      <c r="G105" s="3454" t="s">
        <v>3580</v>
      </c>
      <c r="H105" s="3454">
        <v>66.099999999999994</v>
      </c>
      <c r="I105" s="3454">
        <f t="shared" si="3"/>
        <v>66.099999999999994</v>
      </c>
      <c r="J105" s="3359">
        <v>0</v>
      </c>
      <c r="K105" s="3359"/>
      <c r="L105" s="3582"/>
      <c r="M105" s="3359">
        <v>1</v>
      </c>
      <c r="N105" s="3359" t="s">
        <v>3569</v>
      </c>
      <c r="O105" s="3431" t="s">
        <v>3570</v>
      </c>
    </row>
    <row r="106" spans="1:15">
      <c r="A106" s="3587"/>
      <c r="B106" s="3587"/>
      <c r="C106" s="3587"/>
      <c r="D106" s="3587"/>
      <c r="E106" s="3454" t="s">
        <v>3665</v>
      </c>
      <c r="F106" s="3454" t="s">
        <v>3647</v>
      </c>
      <c r="G106" s="3454" t="s">
        <v>3580</v>
      </c>
      <c r="H106" s="3454">
        <v>67.849999999999994</v>
      </c>
      <c r="I106" s="3454">
        <f t="shared" si="3"/>
        <v>67.849999999999994</v>
      </c>
      <c r="J106" s="3359">
        <v>0</v>
      </c>
      <c r="K106" s="3359"/>
      <c r="L106" s="3582"/>
      <c r="M106" s="3359">
        <v>1</v>
      </c>
      <c r="N106" s="3359" t="s">
        <v>3569</v>
      </c>
      <c r="O106" s="3431" t="s">
        <v>3570</v>
      </c>
    </row>
    <row r="107" spans="1:15">
      <c r="A107" s="3587"/>
      <c r="B107" s="3587"/>
      <c r="C107" s="3587"/>
      <c r="D107" s="3587"/>
      <c r="E107" s="3454" t="s">
        <v>3665</v>
      </c>
      <c r="F107" s="3454" t="s">
        <v>3579</v>
      </c>
      <c r="G107" s="3454" t="s">
        <v>3580</v>
      </c>
      <c r="H107" s="3435">
        <v>128.80000000000001</v>
      </c>
      <c r="I107" s="3435">
        <f t="shared" si="3"/>
        <v>128.80000000000001</v>
      </c>
      <c r="J107" s="3381">
        <v>0</v>
      </c>
      <c r="K107" s="3381"/>
      <c r="L107" s="3582"/>
      <c r="M107" s="3381">
        <v>1</v>
      </c>
      <c r="N107" s="3381" t="s">
        <v>3569</v>
      </c>
      <c r="O107" s="3431" t="s">
        <v>3570</v>
      </c>
    </row>
    <row r="108" spans="1:15">
      <c r="A108" s="3587"/>
      <c r="B108" s="3587"/>
      <c r="C108" s="3587"/>
      <c r="D108" s="3587"/>
      <c r="E108" s="3454" t="s">
        <v>3665</v>
      </c>
      <c r="F108" s="3454" t="s">
        <v>3649</v>
      </c>
      <c r="G108" s="3450" t="s">
        <v>3668</v>
      </c>
      <c r="H108" s="3396">
        <v>233.41</v>
      </c>
      <c r="I108" s="3396">
        <f t="shared" si="3"/>
        <v>233.41</v>
      </c>
      <c r="J108" s="3389">
        <v>0</v>
      </c>
      <c r="K108" s="3389"/>
      <c r="L108" s="3582"/>
      <c r="M108" s="3381">
        <v>2</v>
      </c>
      <c r="N108" s="3381" t="s">
        <v>3569</v>
      </c>
      <c r="O108" s="3431" t="s">
        <v>3570</v>
      </c>
    </row>
    <row r="109" spans="1:15">
      <c r="A109" s="3587"/>
      <c r="B109" s="3587"/>
      <c r="C109" s="3587"/>
      <c r="D109" s="3587"/>
      <c r="E109" s="3454" t="s">
        <v>3665</v>
      </c>
      <c r="F109" s="3454" t="s">
        <v>3581</v>
      </c>
      <c r="G109" s="3454" t="s">
        <v>3580</v>
      </c>
      <c r="H109" s="3435">
        <v>34.39</v>
      </c>
      <c r="I109" s="3435">
        <f t="shared" si="3"/>
        <v>34.39</v>
      </c>
      <c r="J109" s="3381">
        <v>0</v>
      </c>
      <c r="K109" s="3381"/>
      <c r="L109" s="3582"/>
      <c r="M109" s="3381">
        <v>1</v>
      </c>
      <c r="N109" s="3381" t="s">
        <v>3569</v>
      </c>
      <c r="O109" s="3431" t="s">
        <v>3570</v>
      </c>
    </row>
    <row r="110" spans="1:15">
      <c r="A110" s="3587"/>
      <c r="B110" s="3587"/>
      <c r="C110" s="3587"/>
      <c r="D110" s="3587"/>
      <c r="E110" s="3454" t="s">
        <v>3665</v>
      </c>
      <c r="F110" s="3454" t="s">
        <v>3651</v>
      </c>
      <c r="G110" s="3454" t="s">
        <v>3580</v>
      </c>
      <c r="H110" s="3435">
        <v>15.66</v>
      </c>
      <c r="I110" s="3435">
        <f>H110</f>
        <v>15.66</v>
      </c>
      <c r="J110" s="3381">
        <v>0</v>
      </c>
      <c r="K110" s="3381"/>
      <c r="L110" s="3582"/>
      <c r="M110" s="3381">
        <v>1</v>
      </c>
      <c r="N110" s="3381" t="s">
        <v>3569</v>
      </c>
      <c r="O110" s="3431" t="s">
        <v>3570</v>
      </c>
    </row>
    <row r="111" spans="1:15">
      <c r="A111" s="3587"/>
      <c r="B111" s="3587"/>
      <c r="C111" s="3587"/>
      <c r="D111" s="3587"/>
      <c r="E111" s="3454" t="s">
        <v>3665</v>
      </c>
      <c r="F111" s="3454" t="s">
        <v>3653</v>
      </c>
      <c r="G111" s="3349" t="s">
        <v>3669</v>
      </c>
      <c r="H111" s="3396">
        <v>54.4</v>
      </c>
      <c r="I111" s="3396">
        <f>H111</f>
        <v>54.4</v>
      </c>
      <c r="J111" s="3389">
        <v>0</v>
      </c>
      <c r="K111" s="3389"/>
      <c r="L111" s="3582"/>
      <c r="M111" s="3381">
        <v>1</v>
      </c>
      <c r="N111" s="3381" t="s">
        <v>3569</v>
      </c>
      <c r="O111" s="3431" t="s">
        <v>3570</v>
      </c>
    </row>
    <row r="112" spans="1:15">
      <c r="A112" s="3587"/>
      <c r="B112" s="3587"/>
      <c r="C112" s="3587"/>
      <c r="D112" s="3587"/>
      <c r="E112" s="3454" t="s">
        <v>3665</v>
      </c>
      <c r="F112" s="3454" t="s">
        <v>3655</v>
      </c>
      <c r="G112" s="3454" t="s">
        <v>3670</v>
      </c>
      <c r="H112" s="3454">
        <v>46.42</v>
      </c>
      <c r="I112" s="3454">
        <f t="shared" ref="I112:I125" si="4">H112</f>
        <v>46.42</v>
      </c>
      <c r="J112" s="3359">
        <v>0</v>
      </c>
      <c r="K112" s="3359"/>
      <c r="L112" s="3582"/>
      <c r="M112" s="3359">
        <v>1</v>
      </c>
      <c r="N112" s="3359" t="s">
        <v>3569</v>
      </c>
      <c r="O112" s="3431" t="s">
        <v>3570</v>
      </c>
    </row>
    <row r="113" spans="1:15">
      <c r="A113" s="3587"/>
      <c r="B113" s="3587"/>
      <c r="C113" s="3587"/>
      <c r="D113" s="3587"/>
      <c r="E113" s="3454" t="s">
        <v>3665</v>
      </c>
      <c r="F113" s="3435" t="s">
        <v>3656</v>
      </c>
      <c r="G113" s="3435" t="s">
        <v>3587</v>
      </c>
      <c r="H113" s="3435">
        <v>93.42</v>
      </c>
      <c r="I113" s="3435">
        <f t="shared" si="4"/>
        <v>93.42</v>
      </c>
      <c r="J113" s="3381">
        <v>0</v>
      </c>
      <c r="K113" s="3381"/>
      <c r="L113" s="3582"/>
      <c r="M113" s="3381">
        <v>1</v>
      </c>
      <c r="N113" s="3381" t="s">
        <v>3569</v>
      </c>
      <c r="O113" s="3431" t="s">
        <v>3570</v>
      </c>
    </row>
    <row r="114" spans="1:15">
      <c r="A114" s="3587"/>
      <c r="B114" s="3587"/>
      <c r="C114" s="3587"/>
      <c r="D114" s="3587"/>
      <c r="E114" s="3454" t="s">
        <v>3665</v>
      </c>
      <c r="F114" s="3435" t="s">
        <v>3657</v>
      </c>
      <c r="G114" s="3454" t="s">
        <v>3580</v>
      </c>
      <c r="H114" s="3435">
        <v>22.11</v>
      </c>
      <c r="I114" s="3435">
        <f t="shared" si="4"/>
        <v>22.11</v>
      </c>
      <c r="J114" s="3381">
        <v>0</v>
      </c>
      <c r="K114" s="3381"/>
      <c r="L114" s="3582"/>
      <c r="M114" s="3381">
        <v>1</v>
      </c>
      <c r="N114" s="3381" t="s">
        <v>3569</v>
      </c>
      <c r="O114" s="3431" t="s">
        <v>3570</v>
      </c>
    </row>
    <row r="115" spans="1:15">
      <c r="A115" s="3587"/>
      <c r="B115" s="3587"/>
      <c r="C115" s="3587"/>
      <c r="D115" s="3587"/>
      <c r="E115" s="3454" t="s">
        <v>3665</v>
      </c>
      <c r="F115" s="3435" t="s">
        <v>3583</v>
      </c>
      <c r="G115" s="3435" t="s">
        <v>3671</v>
      </c>
      <c r="H115" s="3435">
        <v>182.98</v>
      </c>
      <c r="I115" s="3435">
        <f t="shared" si="4"/>
        <v>182.98</v>
      </c>
      <c r="J115" s="3381">
        <v>0</v>
      </c>
      <c r="K115" s="3381"/>
      <c r="L115" s="3582"/>
      <c r="M115" s="3381">
        <v>2</v>
      </c>
      <c r="N115" s="3381" t="s">
        <v>3569</v>
      </c>
      <c r="O115" s="3431" t="s">
        <v>3570</v>
      </c>
    </row>
    <row r="116" spans="1:15">
      <c r="A116" s="3587"/>
      <c r="B116" s="3587"/>
      <c r="C116" s="3587"/>
      <c r="D116" s="3587"/>
      <c r="E116" s="3454" t="s">
        <v>3665</v>
      </c>
      <c r="F116" s="3435" t="s">
        <v>3584</v>
      </c>
      <c r="G116" s="3435" t="s">
        <v>3635</v>
      </c>
      <c r="H116" s="3435">
        <v>65.86</v>
      </c>
      <c r="I116" s="3435">
        <f t="shared" si="4"/>
        <v>65.86</v>
      </c>
      <c r="J116" s="3381">
        <v>0</v>
      </c>
      <c r="K116" s="3381"/>
      <c r="L116" s="3582"/>
      <c r="M116" s="3381">
        <v>2</v>
      </c>
      <c r="N116" s="3381" t="s">
        <v>3569</v>
      </c>
      <c r="O116" s="3431" t="s">
        <v>3570</v>
      </c>
    </row>
    <row r="117" spans="1:15">
      <c r="A117" s="3587"/>
      <c r="B117" s="3587"/>
      <c r="C117" s="3587"/>
      <c r="D117" s="3587"/>
      <c r="E117" s="3454" t="s">
        <v>3665</v>
      </c>
      <c r="F117" s="3435" t="s">
        <v>3585</v>
      </c>
      <c r="G117" s="3393" t="s">
        <v>3672</v>
      </c>
      <c r="H117" s="3393">
        <v>40.82</v>
      </c>
      <c r="I117" s="3393">
        <f t="shared" si="4"/>
        <v>40.82</v>
      </c>
      <c r="J117" s="3390">
        <v>0</v>
      </c>
      <c r="K117" s="3390"/>
      <c r="L117" s="3582"/>
      <c r="M117" s="3381">
        <v>1</v>
      </c>
      <c r="N117" s="3381" t="s">
        <v>3569</v>
      </c>
      <c r="O117" s="3431" t="s">
        <v>3570</v>
      </c>
    </row>
    <row r="118" spans="1:15">
      <c r="A118" s="3587"/>
      <c r="B118" s="3587"/>
      <c r="C118" s="3587"/>
      <c r="D118" s="3587"/>
      <c r="E118" s="3454" t="s">
        <v>3665</v>
      </c>
      <c r="F118" s="3435" t="s">
        <v>3586</v>
      </c>
      <c r="G118" s="3435" t="s">
        <v>3589</v>
      </c>
      <c r="H118" s="3435">
        <v>253.55</v>
      </c>
      <c r="I118" s="3435">
        <f t="shared" si="4"/>
        <v>253.55</v>
      </c>
      <c r="J118" s="3381">
        <v>0</v>
      </c>
      <c r="K118" s="3381"/>
      <c r="L118" s="3582"/>
      <c r="M118" s="3381">
        <v>2</v>
      </c>
      <c r="N118" s="3381" t="s">
        <v>3569</v>
      </c>
      <c r="O118" s="3431" t="s">
        <v>3570</v>
      </c>
    </row>
    <row r="119" spans="1:15">
      <c r="A119" s="3587"/>
      <c r="B119" s="3587"/>
      <c r="C119" s="3587"/>
      <c r="D119" s="3587"/>
      <c r="E119" s="3454" t="s">
        <v>3665</v>
      </c>
      <c r="F119" s="3435" t="s">
        <v>3660</v>
      </c>
      <c r="G119" s="3454" t="s">
        <v>3589</v>
      </c>
      <c r="H119" s="3435">
        <v>564.91</v>
      </c>
      <c r="I119" s="3393">
        <v>512.9</v>
      </c>
      <c r="J119" s="3390">
        <v>0</v>
      </c>
      <c r="K119" s="3389">
        <v>52.01</v>
      </c>
      <c r="L119" s="3582"/>
      <c r="M119" s="3381">
        <v>2</v>
      </c>
      <c r="N119" s="3381" t="s">
        <v>3569</v>
      </c>
      <c r="O119" s="3431" t="s">
        <v>3570</v>
      </c>
    </row>
    <row r="120" spans="1:15">
      <c r="A120" s="3587"/>
      <c r="B120" s="3587"/>
      <c r="C120" s="3587"/>
      <c r="D120" s="3587"/>
      <c r="E120" s="3454" t="s">
        <v>3665</v>
      </c>
      <c r="F120" s="3435" t="s">
        <v>3662</v>
      </c>
      <c r="G120" s="3454" t="s">
        <v>3589</v>
      </c>
      <c r="H120" s="3435">
        <v>211.09</v>
      </c>
      <c r="I120" s="3435">
        <f t="shared" si="4"/>
        <v>211.09</v>
      </c>
      <c r="J120" s="3381">
        <v>0</v>
      </c>
      <c r="K120" s="3381"/>
      <c r="L120" s="3582"/>
      <c r="M120" s="3381">
        <v>2</v>
      </c>
      <c r="N120" s="3381" t="s">
        <v>3569</v>
      </c>
      <c r="O120" s="3431" t="s">
        <v>3570</v>
      </c>
    </row>
    <row r="121" spans="1:15">
      <c r="A121" s="3587"/>
      <c r="B121" s="3587"/>
      <c r="C121" s="3587"/>
      <c r="D121" s="3587"/>
      <c r="E121" s="3454" t="s">
        <v>3665</v>
      </c>
      <c r="F121" s="3435" t="s">
        <v>3673</v>
      </c>
      <c r="G121" s="3435" t="s">
        <v>3671</v>
      </c>
      <c r="H121" s="3435">
        <v>119.64</v>
      </c>
      <c r="I121" s="3435">
        <f t="shared" si="4"/>
        <v>119.64</v>
      </c>
      <c r="J121" s="3381">
        <v>0</v>
      </c>
      <c r="K121" s="3381"/>
      <c r="L121" s="3582"/>
      <c r="M121" s="3381">
        <v>1</v>
      </c>
      <c r="N121" s="3381" t="s">
        <v>3569</v>
      </c>
      <c r="O121" s="3431" t="s">
        <v>3570</v>
      </c>
    </row>
    <row r="122" spans="1:15">
      <c r="A122" s="3587"/>
      <c r="B122" s="3587"/>
      <c r="C122" s="3587"/>
      <c r="D122" s="3587"/>
      <c r="E122" s="3454" t="s">
        <v>3665</v>
      </c>
      <c r="F122" s="3435" t="s">
        <v>3674</v>
      </c>
      <c r="G122" s="3396" t="s">
        <v>3675</v>
      </c>
      <c r="H122" s="3396">
        <v>102.82</v>
      </c>
      <c r="I122" s="3396">
        <f t="shared" si="4"/>
        <v>102.82</v>
      </c>
      <c r="J122" s="3389">
        <v>0</v>
      </c>
      <c r="K122" s="3389"/>
      <c r="L122" s="3582"/>
      <c r="M122" s="3381">
        <v>2</v>
      </c>
      <c r="N122" s="3381" t="s">
        <v>3569</v>
      </c>
      <c r="O122" s="3431" t="s">
        <v>3570</v>
      </c>
    </row>
    <row r="123" spans="1:15">
      <c r="A123" s="3587"/>
      <c r="B123" s="3587"/>
      <c r="C123" s="3587"/>
      <c r="D123" s="3587"/>
      <c r="E123" s="3454" t="s">
        <v>3665</v>
      </c>
      <c r="F123" s="3435" t="s">
        <v>3588</v>
      </c>
      <c r="G123" s="3435" t="s">
        <v>3670</v>
      </c>
      <c r="H123" s="3435">
        <v>43.09</v>
      </c>
      <c r="I123" s="3435">
        <f t="shared" si="4"/>
        <v>43.09</v>
      </c>
      <c r="J123" s="3381">
        <v>0</v>
      </c>
      <c r="K123" s="3381"/>
      <c r="L123" s="3582"/>
      <c r="M123" s="3381">
        <v>1</v>
      </c>
      <c r="N123" s="3381" t="s">
        <v>3569</v>
      </c>
      <c r="O123" s="3431" t="s">
        <v>3570</v>
      </c>
    </row>
    <row r="124" spans="1:15">
      <c r="A124" s="3587"/>
      <c r="B124" s="3587"/>
      <c r="C124" s="3587"/>
      <c r="D124" s="3587"/>
      <c r="E124" s="3454" t="s">
        <v>3665</v>
      </c>
      <c r="F124" s="3454" t="s">
        <v>3676</v>
      </c>
      <c r="G124" s="3454" t="s">
        <v>3677</v>
      </c>
      <c r="H124" s="3435">
        <v>44.28</v>
      </c>
      <c r="I124" s="3435">
        <f t="shared" si="4"/>
        <v>44.28</v>
      </c>
      <c r="J124" s="3381">
        <v>0</v>
      </c>
      <c r="K124" s="3381"/>
      <c r="L124" s="3582"/>
      <c r="M124" s="3381">
        <v>1</v>
      </c>
      <c r="N124" s="3381" t="s">
        <v>3678</v>
      </c>
      <c r="O124" s="3431" t="s">
        <v>3679</v>
      </c>
    </row>
    <row r="125" spans="1:15">
      <c r="A125" s="3587"/>
      <c r="B125" s="3587"/>
      <c r="C125" s="3587"/>
      <c r="D125" s="3587"/>
      <c r="E125" s="3454" t="s">
        <v>3680</v>
      </c>
      <c r="F125" s="3435" t="s">
        <v>3681</v>
      </c>
      <c r="G125" s="3454" t="s">
        <v>3670</v>
      </c>
      <c r="H125" s="3435">
        <v>96.46</v>
      </c>
      <c r="I125" s="3435">
        <f t="shared" si="4"/>
        <v>96.46</v>
      </c>
      <c r="J125" s="3381">
        <v>0</v>
      </c>
      <c r="K125" s="3381"/>
      <c r="L125" s="3582"/>
      <c r="M125" s="3381">
        <v>2</v>
      </c>
      <c r="N125" s="3381" t="s">
        <v>3569</v>
      </c>
      <c r="O125" s="3431" t="s">
        <v>3570</v>
      </c>
    </row>
    <row r="126" spans="1:15">
      <c r="A126" s="3587"/>
      <c r="B126" s="3587"/>
      <c r="C126" s="3587"/>
      <c r="D126" s="3587"/>
      <c r="E126" s="3454" t="s">
        <v>3665</v>
      </c>
      <c r="F126" s="3454" t="s">
        <v>3682</v>
      </c>
      <c r="G126" s="3450" t="s">
        <v>3672</v>
      </c>
      <c r="H126" s="3450">
        <v>30.09</v>
      </c>
      <c r="I126" s="3450">
        <f>H126</f>
        <v>30.09</v>
      </c>
      <c r="J126" s="3374">
        <v>0</v>
      </c>
      <c r="K126" s="3374"/>
      <c r="L126" s="3582"/>
      <c r="M126" s="3359">
        <v>1</v>
      </c>
      <c r="N126" s="3359" t="s">
        <v>3678</v>
      </c>
      <c r="O126" s="3431" t="s">
        <v>3679</v>
      </c>
    </row>
    <row r="127" spans="1:15">
      <c r="A127" s="3587"/>
      <c r="B127" s="3587"/>
      <c r="C127" s="3587"/>
      <c r="D127" s="3587"/>
      <c r="E127" s="3454" t="s">
        <v>3680</v>
      </c>
      <c r="F127" s="3454" t="s">
        <v>3683</v>
      </c>
      <c r="G127" s="3454" t="s">
        <v>3670</v>
      </c>
      <c r="H127" s="3454">
        <v>53.4</v>
      </c>
      <c r="I127" s="3454">
        <f>H127</f>
        <v>53.4</v>
      </c>
      <c r="J127" s="3359">
        <v>0</v>
      </c>
      <c r="K127" s="3359"/>
      <c r="L127" s="3582"/>
      <c r="M127" s="3359">
        <v>1</v>
      </c>
      <c r="N127" s="3359" t="s">
        <v>3678</v>
      </c>
      <c r="O127" s="3431" t="s">
        <v>3679</v>
      </c>
    </row>
    <row r="128" spans="1:15">
      <c r="A128" s="3587"/>
      <c r="B128" s="3587"/>
      <c r="C128" s="3587"/>
      <c r="D128" s="3587"/>
      <c r="E128" s="3454" t="s">
        <v>3680</v>
      </c>
      <c r="F128" s="3454" t="s">
        <v>3684</v>
      </c>
      <c r="G128" s="3454" t="s">
        <v>3677</v>
      </c>
      <c r="H128" s="3454">
        <v>25.3</v>
      </c>
      <c r="I128" s="3454">
        <f>H128</f>
        <v>25.3</v>
      </c>
      <c r="J128" s="3359">
        <v>0</v>
      </c>
      <c r="K128" s="3359"/>
      <c r="L128" s="3582"/>
      <c r="M128" s="3359">
        <v>1</v>
      </c>
      <c r="N128" s="3359" t="s">
        <v>3569</v>
      </c>
      <c r="O128" s="3431" t="s">
        <v>3570</v>
      </c>
    </row>
    <row r="129" spans="1:15" s="3456" customFormat="1">
      <c r="A129" s="3587"/>
      <c r="B129" s="3587"/>
      <c r="C129" s="3597"/>
      <c r="D129" s="3597"/>
      <c r="E129" s="3433" t="s">
        <v>3665</v>
      </c>
      <c r="F129" s="3433" t="s">
        <v>3591</v>
      </c>
      <c r="G129" s="3433" t="s">
        <v>3685</v>
      </c>
      <c r="H129" s="3433">
        <v>184.15</v>
      </c>
      <c r="I129" s="3354">
        <v>106.12</v>
      </c>
      <c r="J129" s="3354">
        <v>78.03</v>
      </c>
      <c r="K129" s="3387"/>
      <c r="L129" s="3582"/>
      <c r="M129" s="3372">
        <v>1</v>
      </c>
      <c r="N129" s="3372">
        <v>1</v>
      </c>
      <c r="O129" s="3370" t="s">
        <v>3570</v>
      </c>
    </row>
    <row r="130" spans="1:15">
      <c r="A130" s="3587"/>
      <c r="B130" s="3587"/>
      <c r="C130" s="3587"/>
      <c r="D130" s="3587"/>
      <c r="E130" s="3454" t="s">
        <v>3665</v>
      </c>
      <c r="F130" s="3454" t="s">
        <v>3592</v>
      </c>
      <c r="G130" s="3454" t="s">
        <v>3686</v>
      </c>
      <c r="H130" s="3454">
        <v>108.81</v>
      </c>
      <c r="I130" s="3454">
        <f t="shared" ref="I130:I147" si="5">H130</f>
        <v>108.81</v>
      </c>
      <c r="J130" s="3359">
        <v>0</v>
      </c>
      <c r="K130" s="3359"/>
      <c r="L130" s="3582"/>
      <c r="M130" s="3359">
        <v>1</v>
      </c>
      <c r="N130" s="3359" t="s">
        <v>3569</v>
      </c>
      <c r="O130" s="3431" t="s">
        <v>3570</v>
      </c>
    </row>
    <row r="131" spans="1:15">
      <c r="A131" s="3587"/>
      <c r="B131" s="3587"/>
      <c r="C131" s="3587"/>
      <c r="D131" s="3587"/>
      <c r="E131" s="3454" t="s">
        <v>3665</v>
      </c>
      <c r="F131" s="3435" t="s">
        <v>3687</v>
      </c>
      <c r="G131" s="3396" t="s">
        <v>3688</v>
      </c>
      <c r="H131" s="3396">
        <v>51.21</v>
      </c>
      <c r="I131" s="3396">
        <f t="shared" si="5"/>
        <v>51.21</v>
      </c>
      <c r="J131" s="3389">
        <v>0</v>
      </c>
      <c r="K131" s="3389"/>
      <c r="L131" s="3582"/>
      <c r="M131" s="3381">
        <v>1</v>
      </c>
      <c r="N131" s="3381" t="s">
        <v>3569</v>
      </c>
      <c r="O131" s="3431" t="s">
        <v>3570</v>
      </c>
    </row>
    <row r="132" spans="1:15">
      <c r="A132" s="3587"/>
      <c r="B132" s="3587"/>
      <c r="C132" s="3587"/>
      <c r="D132" s="3587"/>
      <c r="E132" s="3454" t="s">
        <v>3665</v>
      </c>
      <c r="F132" s="3435" t="s">
        <v>3595</v>
      </c>
      <c r="G132" s="3435" t="s">
        <v>3689</v>
      </c>
      <c r="H132" s="3435">
        <v>45.6</v>
      </c>
      <c r="I132" s="3435">
        <f t="shared" si="5"/>
        <v>45.6</v>
      </c>
      <c r="J132" s="3381">
        <v>0</v>
      </c>
      <c r="K132" s="3381"/>
      <c r="L132" s="3582"/>
      <c r="M132" s="3381">
        <v>1</v>
      </c>
      <c r="N132" s="3381" t="s">
        <v>3569</v>
      </c>
      <c r="O132" s="3431" t="s">
        <v>3570</v>
      </c>
    </row>
    <row r="133" spans="1:15">
      <c r="A133" s="3587"/>
      <c r="B133" s="3587"/>
      <c r="C133" s="3587"/>
      <c r="D133" s="3587"/>
      <c r="E133" s="3454" t="s">
        <v>3665</v>
      </c>
      <c r="F133" s="3454" t="s">
        <v>3596</v>
      </c>
      <c r="G133" s="3454" t="s">
        <v>3670</v>
      </c>
      <c r="H133" s="3435">
        <v>50.14</v>
      </c>
      <c r="I133" s="3435">
        <f t="shared" si="5"/>
        <v>50.14</v>
      </c>
      <c r="J133" s="3381">
        <v>0</v>
      </c>
      <c r="K133" s="3381"/>
      <c r="L133" s="3582"/>
      <c r="M133" s="3381">
        <v>1</v>
      </c>
      <c r="N133" s="3381" t="s">
        <v>3569</v>
      </c>
      <c r="O133" s="3431" t="s">
        <v>3570</v>
      </c>
    </row>
    <row r="134" spans="1:15">
      <c r="A134" s="3587"/>
      <c r="B134" s="3587"/>
      <c r="C134" s="3587"/>
      <c r="D134" s="3587"/>
      <c r="E134" s="3454" t="s">
        <v>3665</v>
      </c>
      <c r="F134" s="3454" t="s">
        <v>3690</v>
      </c>
      <c r="G134" s="3454" t="s">
        <v>3659</v>
      </c>
      <c r="H134" s="3454">
        <v>853.5</v>
      </c>
      <c r="I134" s="3454">
        <f t="shared" si="5"/>
        <v>853.5</v>
      </c>
      <c r="J134" s="3359">
        <v>0</v>
      </c>
      <c r="K134" s="3359"/>
      <c r="L134" s="3582"/>
      <c r="M134" s="3359">
        <v>1</v>
      </c>
      <c r="N134" s="3359" t="s">
        <v>3569</v>
      </c>
      <c r="O134" s="3431" t="s">
        <v>3570</v>
      </c>
    </row>
    <row r="135" spans="1:15">
      <c r="A135" s="3587"/>
      <c r="B135" s="3587"/>
      <c r="C135" s="3587"/>
      <c r="D135" s="3587"/>
      <c r="E135" s="3454" t="s">
        <v>3665</v>
      </c>
      <c r="F135" s="3454" t="s">
        <v>3255</v>
      </c>
      <c r="G135" s="3454" t="s">
        <v>3639</v>
      </c>
      <c r="H135" s="3454">
        <v>100.26</v>
      </c>
      <c r="I135" s="3454">
        <f t="shared" si="5"/>
        <v>100.26</v>
      </c>
      <c r="J135" s="3359">
        <v>0</v>
      </c>
      <c r="K135" s="3359"/>
      <c r="L135" s="3582"/>
      <c r="M135" s="3359">
        <v>2</v>
      </c>
      <c r="N135" s="3359" t="s">
        <v>3569</v>
      </c>
      <c r="O135" s="3431" t="s">
        <v>3570</v>
      </c>
    </row>
    <row r="136" spans="1:15">
      <c r="A136" s="3587"/>
      <c r="B136" s="3587"/>
      <c r="C136" s="3587"/>
      <c r="D136" s="3587"/>
      <c r="E136" s="3454" t="s">
        <v>3665</v>
      </c>
      <c r="F136" s="3454" t="s">
        <v>3598</v>
      </c>
      <c r="G136" s="3454" t="s">
        <v>3691</v>
      </c>
      <c r="H136" s="3454">
        <v>131.41</v>
      </c>
      <c r="I136" s="3454">
        <f t="shared" si="5"/>
        <v>131.41</v>
      </c>
      <c r="J136" s="3359">
        <v>0</v>
      </c>
      <c r="K136" s="3359"/>
      <c r="L136" s="3582"/>
      <c r="M136" s="3359">
        <v>1</v>
      </c>
      <c r="N136" s="3359" t="s">
        <v>3569</v>
      </c>
      <c r="O136" s="3431" t="s">
        <v>3570</v>
      </c>
    </row>
    <row r="137" spans="1:15">
      <c r="A137" s="3587"/>
      <c r="B137" s="3587"/>
      <c r="C137" s="3587"/>
      <c r="D137" s="3587"/>
      <c r="E137" s="3454" t="s">
        <v>3665</v>
      </c>
      <c r="F137" s="3454" t="s">
        <v>3259</v>
      </c>
      <c r="G137" s="3454" t="s">
        <v>3692</v>
      </c>
      <c r="H137" s="3454">
        <v>54.83</v>
      </c>
      <c r="I137" s="3454">
        <f t="shared" si="5"/>
        <v>54.83</v>
      </c>
      <c r="J137" s="3359">
        <v>0</v>
      </c>
      <c r="K137" s="3359"/>
      <c r="L137" s="3582"/>
      <c r="M137" s="3359">
        <v>1</v>
      </c>
      <c r="N137" s="3359" t="s">
        <v>3569</v>
      </c>
      <c r="O137" s="3431" t="s">
        <v>3570</v>
      </c>
    </row>
    <row r="138" spans="1:15">
      <c r="A138" s="3587"/>
      <c r="B138" s="3587"/>
      <c r="C138" s="3587"/>
      <c r="D138" s="3587"/>
      <c r="E138" s="3454" t="s">
        <v>3665</v>
      </c>
      <c r="F138" s="3454" t="s">
        <v>3600</v>
      </c>
      <c r="G138" s="3454" t="s">
        <v>3693</v>
      </c>
      <c r="H138" s="3454">
        <v>54.84</v>
      </c>
      <c r="I138" s="3454">
        <f t="shared" si="5"/>
        <v>54.84</v>
      </c>
      <c r="J138" s="3359">
        <v>0</v>
      </c>
      <c r="K138" s="3359"/>
      <c r="L138" s="3582"/>
      <c r="M138" s="3359">
        <v>1</v>
      </c>
      <c r="N138" s="3359" t="s">
        <v>3569</v>
      </c>
      <c r="O138" s="3431" t="s">
        <v>3570</v>
      </c>
    </row>
    <row r="139" spans="1:15">
      <c r="A139" s="3587"/>
      <c r="B139" s="3587"/>
      <c r="C139" s="3587"/>
      <c r="D139" s="3587"/>
      <c r="E139" s="3454" t="s">
        <v>3665</v>
      </c>
      <c r="F139" s="3454" t="s">
        <v>3601</v>
      </c>
      <c r="G139" s="3454" t="s">
        <v>3587</v>
      </c>
      <c r="H139" s="3454">
        <v>227.13</v>
      </c>
      <c r="I139" s="3454">
        <f t="shared" si="5"/>
        <v>227.13</v>
      </c>
      <c r="J139" s="3359">
        <v>0</v>
      </c>
      <c r="K139" s="3359"/>
      <c r="L139" s="3582"/>
      <c r="M139" s="3359">
        <v>2</v>
      </c>
      <c r="N139" s="3359" t="s">
        <v>3569</v>
      </c>
      <c r="O139" s="3431" t="s">
        <v>3570</v>
      </c>
    </row>
    <row r="140" spans="1:15" ht="24">
      <c r="A140" s="3587"/>
      <c r="B140" s="3587"/>
      <c r="C140" s="3587"/>
      <c r="D140" s="3587"/>
      <c r="E140" s="3454" t="s">
        <v>3665</v>
      </c>
      <c r="F140" s="3454" t="s">
        <v>3602</v>
      </c>
      <c r="G140" s="3454" t="s">
        <v>3694</v>
      </c>
      <c r="H140" s="3454">
        <v>201.36</v>
      </c>
      <c r="I140" s="3454">
        <f t="shared" si="5"/>
        <v>201.36</v>
      </c>
      <c r="J140" s="3359">
        <v>0</v>
      </c>
      <c r="K140" s="3359"/>
      <c r="L140" s="3582"/>
      <c r="M140" s="3359">
        <v>1</v>
      </c>
      <c r="N140" s="3359" t="s">
        <v>3569</v>
      </c>
      <c r="O140" s="3364" t="s">
        <v>3570</v>
      </c>
    </row>
    <row r="141" spans="1:15">
      <c r="A141" s="3587"/>
      <c r="B141" s="3587"/>
      <c r="C141" s="3587"/>
      <c r="D141" s="3587"/>
      <c r="E141" s="3454" t="s">
        <v>3665</v>
      </c>
      <c r="F141" s="3454" t="s">
        <v>3603</v>
      </c>
      <c r="G141" s="3454" t="s">
        <v>3695</v>
      </c>
      <c r="H141" s="3454">
        <v>199.2</v>
      </c>
      <c r="I141" s="3454">
        <f t="shared" si="5"/>
        <v>199.2</v>
      </c>
      <c r="J141" s="3359">
        <v>0</v>
      </c>
      <c r="K141" s="3359"/>
      <c r="L141" s="3582"/>
      <c r="M141" s="3359">
        <v>1</v>
      </c>
      <c r="N141" s="3359" t="s">
        <v>3569</v>
      </c>
      <c r="O141" s="3364" t="s">
        <v>3570</v>
      </c>
    </row>
    <row r="142" spans="1:15">
      <c r="A142" s="3587"/>
      <c r="B142" s="3587"/>
      <c r="C142" s="3587"/>
      <c r="D142" s="3587"/>
      <c r="E142" s="3454" t="s">
        <v>3665</v>
      </c>
      <c r="F142" s="3454" t="s">
        <v>3604</v>
      </c>
      <c r="G142" s="3454" t="s">
        <v>3696</v>
      </c>
      <c r="H142" s="3454">
        <v>140.13999999999999</v>
      </c>
      <c r="I142" s="3454">
        <f t="shared" si="5"/>
        <v>140.13999999999999</v>
      </c>
      <c r="J142" s="3359">
        <v>0</v>
      </c>
      <c r="K142" s="3359"/>
      <c r="L142" s="3582"/>
      <c r="M142" s="3359">
        <v>1</v>
      </c>
      <c r="N142" s="3359" t="s">
        <v>3569</v>
      </c>
      <c r="O142" s="3364" t="s">
        <v>3570</v>
      </c>
    </row>
    <row r="143" spans="1:15">
      <c r="A143" s="3587"/>
      <c r="B143" s="3587"/>
      <c r="C143" s="3587"/>
      <c r="D143" s="3587"/>
      <c r="E143" s="3454" t="s">
        <v>3665</v>
      </c>
      <c r="F143" s="3454" t="s">
        <v>3697</v>
      </c>
      <c r="G143" s="3454" t="s">
        <v>3698</v>
      </c>
      <c r="H143" s="3454">
        <v>35.79</v>
      </c>
      <c r="I143" s="3454">
        <f t="shared" si="5"/>
        <v>35.79</v>
      </c>
      <c r="J143" s="3359">
        <v>0</v>
      </c>
      <c r="K143" s="3359"/>
      <c r="L143" s="3582"/>
      <c r="M143" s="3359">
        <v>1</v>
      </c>
      <c r="N143" s="3359" t="s">
        <v>3569</v>
      </c>
      <c r="O143" s="3431" t="s">
        <v>3570</v>
      </c>
    </row>
    <row r="144" spans="1:15">
      <c r="A144" s="3587"/>
      <c r="B144" s="3587"/>
      <c r="C144" s="3587"/>
      <c r="D144" s="3587"/>
      <c r="E144" s="3454" t="s">
        <v>3665</v>
      </c>
      <c r="F144" s="3454" t="s">
        <v>3269</v>
      </c>
      <c r="G144" s="3454" t="s">
        <v>3692</v>
      </c>
      <c r="H144" s="3454">
        <v>79.849999999999994</v>
      </c>
      <c r="I144" s="3454">
        <f t="shared" si="5"/>
        <v>79.849999999999994</v>
      </c>
      <c r="J144" s="3359">
        <v>0</v>
      </c>
      <c r="K144" s="3359"/>
      <c r="L144" s="3582"/>
      <c r="M144" s="3359">
        <v>1</v>
      </c>
      <c r="N144" s="3359" t="s">
        <v>3569</v>
      </c>
      <c r="O144" s="3431" t="s">
        <v>3570</v>
      </c>
    </row>
    <row r="145" spans="1:15">
      <c r="A145" s="3587"/>
      <c r="B145" s="3587"/>
      <c r="C145" s="3587"/>
      <c r="D145" s="3587"/>
      <c r="E145" s="3454" t="s">
        <v>3665</v>
      </c>
      <c r="F145" s="3454" t="s">
        <v>3699</v>
      </c>
      <c r="G145" s="3454" t="s">
        <v>3700</v>
      </c>
      <c r="H145" s="3454">
        <v>188.79</v>
      </c>
      <c r="I145" s="3454">
        <f t="shared" si="5"/>
        <v>188.79</v>
      </c>
      <c r="J145" s="3359">
        <v>0</v>
      </c>
      <c r="K145" s="3359"/>
      <c r="L145" s="3582"/>
      <c r="M145" s="3359">
        <v>1</v>
      </c>
      <c r="N145" s="3359" t="s">
        <v>3569</v>
      </c>
      <c r="O145" s="3364" t="s">
        <v>3570</v>
      </c>
    </row>
    <row r="146" spans="1:15">
      <c r="A146" s="3587"/>
      <c r="B146" s="3587"/>
      <c r="C146" s="3587"/>
      <c r="D146" s="3587"/>
      <c r="E146" s="3454" t="s">
        <v>3665</v>
      </c>
      <c r="F146" s="3364" t="s">
        <v>3701</v>
      </c>
      <c r="G146" s="3364" t="s">
        <v>3702</v>
      </c>
      <c r="H146" s="3364">
        <v>169.29</v>
      </c>
      <c r="I146" s="3364">
        <f t="shared" si="5"/>
        <v>169.29</v>
      </c>
      <c r="J146" s="3363">
        <v>0</v>
      </c>
      <c r="K146" s="3363"/>
      <c r="L146" s="3582"/>
      <c r="M146" s="3363">
        <v>1</v>
      </c>
      <c r="N146" s="3363" t="s">
        <v>3569</v>
      </c>
      <c r="O146" s="3364" t="s">
        <v>3570</v>
      </c>
    </row>
    <row r="147" spans="1:15">
      <c r="A147" s="3587"/>
      <c r="B147" s="3587"/>
      <c r="C147" s="3587"/>
      <c r="D147" s="3587"/>
      <c r="E147" s="3454" t="s">
        <v>3665</v>
      </c>
      <c r="F147" s="3454" t="s">
        <v>3703</v>
      </c>
      <c r="G147" s="3454" t="s">
        <v>3704</v>
      </c>
      <c r="H147" s="3454">
        <v>197.22</v>
      </c>
      <c r="I147" s="3454">
        <f t="shared" si="5"/>
        <v>197.22</v>
      </c>
      <c r="J147" s="3359">
        <v>0</v>
      </c>
      <c r="K147" s="3359"/>
      <c r="L147" s="3582"/>
      <c r="M147" s="3359">
        <v>1</v>
      </c>
      <c r="N147" s="3359" t="s">
        <v>3569</v>
      </c>
      <c r="O147" s="3431" t="s">
        <v>3570</v>
      </c>
    </row>
    <row r="148" spans="1:15" ht="24">
      <c r="A148" s="3587"/>
      <c r="B148" s="3587"/>
      <c r="C148" s="3587"/>
      <c r="D148" s="3587"/>
      <c r="E148" s="3454" t="s">
        <v>3665</v>
      </c>
      <c r="F148" s="3454" t="s">
        <v>3705</v>
      </c>
      <c r="G148" s="3454" t="s">
        <v>3706</v>
      </c>
      <c r="H148" s="3454">
        <v>170.41</v>
      </c>
      <c r="I148" s="3454">
        <f>H148</f>
        <v>170.41</v>
      </c>
      <c r="J148" s="3359">
        <v>0</v>
      </c>
      <c r="K148" s="3359"/>
      <c r="L148" s="3582"/>
      <c r="M148" s="3359">
        <v>1</v>
      </c>
      <c r="N148" s="3359" t="s">
        <v>3569</v>
      </c>
      <c r="O148" s="3431" t="s">
        <v>3570</v>
      </c>
    </row>
    <row r="149" spans="1:15">
      <c r="A149" s="3587"/>
      <c r="B149" s="3587"/>
      <c r="C149" s="3587"/>
      <c r="D149" s="3587"/>
      <c r="E149" s="3454" t="s">
        <v>3665</v>
      </c>
      <c r="F149" s="3454" t="s">
        <v>3707</v>
      </c>
      <c r="G149" s="3454" t="s">
        <v>3708</v>
      </c>
      <c r="H149" s="3454">
        <v>87.28</v>
      </c>
      <c r="I149" s="3454">
        <f>H149</f>
        <v>87.28</v>
      </c>
      <c r="J149" s="3359">
        <v>0</v>
      </c>
      <c r="K149" s="3359"/>
      <c r="L149" s="3582"/>
      <c r="M149" s="3359">
        <v>1</v>
      </c>
      <c r="N149" s="3359" t="s">
        <v>3569</v>
      </c>
      <c r="O149" s="3431" t="s">
        <v>3570</v>
      </c>
    </row>
    <row r="150" spans="1:15">
      <c r="A150" s="3587"/>
      <c r="B150" s="3587"/>
      <c r="C150" s="3587"/>
      <c r="D150" s="3587"/>
      <c r="E150" s="3454" t="s">
        <v>3665</v>
      </c>
      <c r="F150" s="3454" t="s">
        <v>3709</v>
      </c>
      <c r="G150" s="3454" t="s">
        <v>3580</v>
      </c>
      <c r="H150" s="3454">
        <v>68.52</v>
      </c>
      <c r="I150" s="3454">
        <f>H150</f>
        <v>68.52</v>
      </c>
      <c r="J150" s="3359">
        <v>0</v>
      </c>
      <c r="K150" s="3359"/>
      <c r="L150" s="3582"/>
      <c r="M150" s="3359">
        <v>1</v>
      </c>
      <c r="N150" s="3359" t="s">
        <v>3569</v>
      </c>
      <c r="O150" s="3431" t="s">
        <v>3570</v>
      </c>
    </row>
    <row r="151" spans="1:15" ht="24">
      <c r="A151" s="3587"/>
      <c r="B151" s="3587"/>
      <c r="C151" s="3587"/>
      <c r="D151" s="3587"/>
      <c r="E151" s="3454" t="s">
        <v>3665</v>
      </c>
      <c r="F151" s="3454" t="s">
        <v>3710</v>
      </c>
      <c r="G151" s="3450" t="s">
        <v>3711</v>
      </c>
      <c r="H151" s="3450">
        <v>53.03</v>
      </c>
      <c r="I151" s="3450">
        <f t="shared" ref="I151:I165" si="6">H151</f>
        <v>53.03</v>
      </c>
      <c r="J151" s="3374">
        <v>0</v>
      </c>
      <c r="K151" s="3374"/>
      <c r="L151" s="3582"/>
      <c r="M151" s="3359">
        <v>1</v>
      </c>
      <c r="N151" s="3359" t="s">
        <v>3569</v>
      </c>
      <c r="O151" s="3431" t="s">
        <v>3570</v>
      </c>
    </row>
    <row r="152" spans="1:15">
      <c r="A152" s="3587"/>
      <c r="B152" s="3587"/>
      <c r="C152" s="3587"/>
      <c r="D152" s="3587"/>
      <c r="E152" s="3454" t="s">
        <v>3665</v>
      </c>
      <c r="F152" s="3454" t="s">
        <v>3712</v>
      </c>
      <c r="G152" s="3454" t="s">
        <v>3693</v>
      </c>
      <c r="H152" s="3454">
        <v>75.34</v>
      </c>
      <c r="I152" s="3454">
        <f t="shared" si="6"/>
        <v>75.34</v>
      </c>
      <c r="J152" s="3359">
        <v>0</v>
      </c>
      <c r="K152" s="3359"/>
      <c r="L152" s="3582"/>
      <c r="M152" s="3359">
        <v>1</v>
      </c>
      <c r="N152" s="3359" t="s">
        <v>3569</v>
      </c>
      <c r="O152" s="3431" t="s">
        <v>3570</v>
      </c>
    </row>
    <row r="153" spans="1:15">
      <c r="A153" s="3587"/>
      <c r="B153" s="3587"/>
      <c r="C153" s="3587"/>
      <c r="D153" s="3587"/>
      <c r="E153" s="3454" t="s">
        <v>3665</v>
      </c>
      <c r="F153" s="3435" t="s">
        <v>3713</v>
      </c>
      <c r="G153" s="3396" t="s">
        <v>3688</v>
      </c>
      <c r="H153" s="3396">
        <v>216.77</v>
      </c>
      <c r="I153" s="3396">
        <f t="shared" si="6"/>
        <v>216.77</v>
      </c>
      <c r="J153" s="3389">
        <v>0</v>
      </c>
      <c r="K153" s="3389"/>
      <c r="L153" s="3582"/>
      <c r="M153" s="3381">
        <v>1</v>
      </c>
      <c r="N153" s="3381" t="s">
        <v>3569</v>
      </c>
      <c r="O153" s="3431" t="s">
        <v>3570</v>
      </c>
    </row>
    <row r="154" spans="1:15">
      <c r="A154" s="3587"/>
      <c r="B154" s="3587"/>
      <c r="C154" s="3587"/>
      <c r="D154" s="3587"/>
      <c r="E154" s="3454" t="s">
        <v>3665</v>
      </c>
      <c r="F154" s="3435" t="s">
        <v>3714</v>
      </c>
      <c r="G154" s="3435" t="s">
        <v>3715</v>
      </c>
      <c r="H154" s="3435">
        <v>103.71</v>
      </c>
      <c r="I154" s="3435">
        <f t="shared" si="6"/>
        <v>103.71</v>
      </c>
      <c r="J154" s="3381">
        <v>0</v>
      </c>
      <c r="K154" s="3381"/>
      <c r="L154" s="3582"/>
      <c r="M154" s="3381">
        <v>1</v>
      </c>
      <c r="N154" s="3381" t="s">
        <v>3569</v>
      </c>
      <c r="O154" s="3431" t="s">
        <v>3570</v>
      </c>
    </row>
    <row r="155" spans="1:15">
      <c r="A155" s="3587"/>
      <c r="B155" s="3587"/>
      <c r="C155" s="3587"/>
      <c r="D155" s="3587"/>
      <c r="E155" s="3454" t="s">
        <v>3665</v>
      </c>
      <c r="F155" s="3435" t="s">
        <v>3716</v>
      </c>
      <c r="G155" s="3435" t="s">
        <v>3717</v>
      </c>
      <c r="H155" s="3435">
        <v>26.23</v>
      </c>
      <c r="I155" s="3435">
        <f t="shared" si="6"/>
        <v>26.23</v>
      </c>
      <c r="J155" s="3381">
        <v>0</v>
      </c>
      <c r="K155" s="3381"/>
      <c r="L155" s="3582"/>
      <c r="M155" s="3381">
        <v>1</v>
      </c>
      <c r="N155" s="3381" t="s">
        <v>3569</v>
      </c>
      <c r="O155" s="3431" t="s">
        <v>3570</v>
      </c>
    </row>
    <row r="156" spans="1:15">
      <c r="A156" s="3587"/>
      <c r="B156" s="3587"/>
      <c r="C156" s="3587"/>
      <c r="D156" s="3587"/>
      <c r="E156" s="3454" t="s">
        <v>3665</v>
      </c>
      <c r="F156" s="3435" t="s">
        <v>3718</v>
      </c>
      <c r="G156" s="3435" t="s">
        <v>3717</v>
      </c>
      <c r="H156" s="3435">
        <v>79.010000000000005</v>
      </c>
      <c r="I156" s="3435">
        <f t="shared" si="6"/>
        <v>79.010000000000005</v>
      </c>
      <c r="J156" s="3381">
        <v>0</v>
      </c>
      <c r="K156" s="3381"/>
      <c r="L156" s="3582"/>
      <c r="M156" s="3381">
        <v>1</v>
      </c>
      <c r="N156" s="3381" t="s">
        <v>3569</v>
      </c>
      <c r="O156" s="3431" t="s">
        <v>3570</v>
      </c>
    </row>
    <row r="157" spans="1:15">
      <c r="A157" s="3587"/>
      <c r="B157" s="3587"/>
      <c r="C157" s="3587"/>
      <c r="D157" s="3587"/>
      <c r="E157" s="3454" t="s">
        <v>3665</v>
      </c>
      <c r="F157" s="3435" t="s">
        <v>3719</v>
      </c>
      <c r="G157" s="3435" t="s">
        <v>3717</v>
      </c>
      <c r="H157" s="3435">
        <v>35.130000000000003</v>
      </c>
      <c r="I157" s="3435">
        <f t="shared" si="6"/>
        <v>35.130000000000003</v>
      </c>
      <c r="J157" s="3381">
        <v>0</v>
      </c>
      <c r="K157" s="3381"/>
      <c r="L157" s="3582"/>
      <c r="M157" s="3381">
        <v>1</v>
      </c>
      <c r="N157" s="3381" t="s">
        <v>3569</v>
      </c>
      <c r="O157" s="3431" t="s">
        <v>3570</v>
      </c>
    </row>
    <row r="158" spans="1:15">
      <c r="A158" s="3587"/>
      <c r="B158" s="3587"/>
      <c r="C158" s="3587"/>
      <c r="D158" s="3587"/>
      <c r="E158" s="3454" t="s">
        <v>3665</v>
      </c>
      <c r="F158" s="3435" t="s">
        <v>3720</v>
      </c>
      <c r="G158" s="3396" t="s">
        <v>3654</v>
      </c>
      <c r="H158" s="3396">
        <v>80.36</v>
      </c>
      <c r="I158" s="3396">
        <f t="shared" si="6"/>
        <v>80.36</v>
      </c>
      <c r="J158" s="3389">
        <v>0</v>
      </c>
      <c r="K158" s="3389"/>
      <c r="L158" s="3582"/>
      <c r="M158" s="3381">
        <v>1</v>
      </c>
      <c r="N158" s="3381" t="s">
        <v>3569</v>
      </c>
      <c r="O158" s="3431" t="s">
        <v>3570</v>
      </c>
    </row>
    <row r="159" spans="1:15">
      <c r="A159" s="3587"/>
      <c r="B159" s="3587"/>
      <c r="C159" s="3587"/>
      <c r="D159" s="3587"/>
      <c r="E159" s="3454" t="s">
        <v>3665</v>
      </c>
      <c r="F159" s="3435" t="s">
        <v>3721</v>
      </c>
      <c r="G159" s="3396" t="s">
        <v>3722</v>
      </c>
      <c r="H159" s="3396">
        <v>128.96</v>
      </c>
      <c r="I159" s="3396">
        <f t="shared" si="6"/>
        <v>128.96</v>
      </c>
      <c r="J159" s="3389">
        <v>0</v>
      </c>
      <c r="K159" s="3389"/>
      <c r="L159" s="3582"/>
      <c r="M159" s="3381">
        <v>1</v>
      </c>
      <c r="N159" s="3381" t="s">
        <v>3569</v>
      </c>
      <c r="O159" s="3431" t="s">
        <v>3570</v>
      </c>
    </row>
    <row r="160" spans="1:15">
      <c r="A160" s="3587"/>
      <c r="B160" s="3587"/>
      <c r="C160" s="3587"/>
      <c r="D160" s="3587"/>
      <c r="E160" s="3454" t="s">
        <v>3665</v>
      </c>
      <c r="F160" s="3435" t="s">
        <v>3723</v>
      </c>
      <c r="G160" s="3435" t="s">
        <v>3589</v>
      </c>
      <c r="H160" s="3435">
        <v>169.05</v>
      </c>
      <c r="I160" s="3435">
        <f t="shared" si="6"/>
        <v>169.05</v>
      </c>
      <c r="J160" s="3381">
        <v>0</v>
      </c>
      <c r="K160" s="3381"/>
      <c r="L160" s="3582"/>
      <c r="M160" s="3381">
        <v>2</v>
      </c>
      <c r="N160" s="3381" t="s">
        <v>3569</v>
      </c>
      <c r="O160" s="3431" t="s">
        <v>3570</v>
      </c>
    </row>
    <row r="161" spans="1:15">
      <c r="A161" s="3587"/>
      <c r="B161" s="3587"/>
      <c r="C161" s="3587"/>
      <c r="D161" s="3587"/>
      <c r="E161" s="3454" t="s">
        <v>3665</v>
      </c>
      <c r="F161" s="3435" t="s">
        <v>3724</v>
      </c>
      <c r="G161" s="3435" t="s">
        <v>3589</v>
      </c>
      <c r="H161" s="3435">
        <v>185.43</v>
      </c>
      <c r="I161" s="3435">
        <f t="shared" si="6"/>
        <v>185.43</v>
      </c>
      <c r="J161" s="3381">
        <v>0</v>
      </c>
      <c r="K161" s="3381"/>
      <c r="L161" s="3582"/>
      <c r="M161" s="3381">
        <v>1</v>
      </c>
      <c r="N161" s="3381" t="s">
        <v>3569</v>
      </c>
      <c r="O161" s="3431" t="s">
        <v>3570</v>
      </c>
    </row>
    <row r="162" spans="1:15">
      <c r="A162" s="3587"/>
      <c r="B162" s="3587"/>
      <c r="C162" s="3587"/>
      <c r="D162" s="3587"/>
      <c r="E162" s="3454" t="s">
        <v>3665</v>
      </c>
      <c r="F162" s="3435" t="s">
        <v>3725</v>
      </c>
      <c r="G162" s="3435" t="s">
        <v>3589</v>
      </c>
      <c r="H162" s="3435">
        <v>25.62</v>
      </c>
      <c r="I162" s="3435">
        <f t="shared" si="6"/>
        <v>25.62</v>
      </c>
      <c r="J162" s="3381">
        <v>0</v>
      </c>
      <c r="K162" s="3381"/>
      <c r="L162" s="3582"/>
      <c r="M162" s="3381">
        <v>1</v>
      </c>
      <c r="N162" s="3381" t="s">
        <v>3569</v>
      </c>
      <c r="O162" s="3431" t="s">
        <v>3570</v>
      </c>
    </row>
    <row r="163" spans="1:15">
      <c r="A163" s="3588"/>
      <c r="B163" s="3588"/>
      <c r="C163" s="3588"/>
      <c r="D163" s="3588"/>
      <c r="E163" s="3454" t="s">
        <v>3665</v>
      </c>
      <c r="F163" s="3435" t="s">
        <v>3726</v>
      </c>
      <c r="G163" s="3393" t="s">
        <v>3589</v>
      </c>
      <c r="H163" s="3393">
        <v>226.68</v>
      </c>
      <c r="I163" s="3393">
        <f t="shared" si="6"/>
        <v>226.68</v>
      </c>
      <c r="J163" s="3390">
        <v>0</v>
      </c>
      <c r="K163" s="3390"/>
      <c r="L163" s="3580"/>
      <c r="M163" s="3390">
        <v>3</v>
      </c>
      <c r="N163" s="3390" t="s">
        <v>3569</v>
      </c>
      <c r="O163" s="3431" t="s">
        <v>3570</v>
      </c>
    </row>
    <row r="164" spans="1:15" ht="30.75" customHeight="1">
      <c r="A164" s="3586">
        <v>6</v>
      </c>
      <c r="B164" s="3586" t="s">
        <v>3727</v>
      </c>
      <c r="C164" s="3586" t="s">
        <v>3867</v>
      </c>
      <c r="D164" s="3586" t="s">
        <v>3891</v>
      </c>
      <c r="E164" s="3393" t="s">
        <v>3729</v>
      </c>
      <c r="F164" s="3393" t="s">
        <v>3634</v>
      </c>
      <c r="G164" s="3393" t="s">
        <v>3730</v>
      </c>
      <c r="H164" s="3390">
        <v>591.37</v>
      </c>
      <c r="I164" s="3390">
        <f t="shared" si="6"/>
        <v>591.37</v>
      </c>
      <c r="J164" s="3390"/>
      <c r="K164" s="3390"/>
      <c r="L164" s="3579">
        <v>10891.3</v>
      </c>
      <c r="M164" s="3381">
        <v>3</v>
      </c>
      <c r="N164" s="3381"/>
      <c r="O164" s="3430" t="s">
        <v>3594</v>
      </c>
    </row>
    <row r="165" spans="1:15">
      <c r="A165" s="3587"/>
      <c r="B165" s="3587"/>
      <c r="C165" s="3587"/>
      <c r="D165" s="3587"/>
      <c r="E165" s="3393" t="s">
        <v>3729</v>
      </c>
      <c r="F165" s="3393" t="s">
        <v>3617</v>
      </c>
      <c r="G165" s="3393" t="s">
        <v>3731</v>
      </c>
      <c r="H165" s="3390">
        <v>807.83</v>
      </c>
      <c r="I165" s="3390">
        <f t="shared" si="6"/>
        <v>807.83</v>
      </c>
      <c r="J165" s="3390"/>
      <c r="K165" s="3390"/>
      <c r="L165" s="3582"/>
      <c r="M165" s="3381">
        <v>4</v>
      </c>
      <c r="N165" s="3381"/>
      <c r="O165" s="3430" t="s">
        <v>3594</v>
      </c>
    </row>
    <row r="166" spans="1:15">
      <c r="A166" s="3587"/>
      <c r="B166" s="3587"/>
      <c r="C166" s="3597"/>
      <c r="D166" s="3597"/>
      <c r="E166" s="3433" t="s">
        <v>3729</v>
      </c>
      <c r="F166" s="3433" t="s">
        <v>3620</v>
      </c>
      <c r="G166" s="3433" t="s">
        <v>3730</v>
      </c>
      <c r="H166" s="3391">
        <v>1294.05</v>
      </c>
      <c r="I166" s="3354">
        <v>995.65</v>
      </c>
      <c r="J166" s="3354">
        <v>298.39999999999998</v>
      </c>
      <c r="K166" s="3392"/>
      <c r="L166" s="3582"/>
      <c r="M166" s="3381">
        <v>4</v>
      </c>
      <c r="N166" s="3381">
        <v>1</v>
      </c>
      <c r="O166" s="3430" t="s">
        <v>3594</v>
      </c>
    </row>
    <row r="167" spans="1:15">
      <c r="A167" s="3587"/>
      <c r="B167" s="3587"/>
      <c r="C167" s="3587"/>
      <c r="D167" s="3587"/>
      <c r="E167" s="3393" t="s">
        <v>3729</v>
      </c>
      <c r="F167" s="3393" t="s">
        <v>3622</v>
      </c>
      <c r="G167" s="3393" t="s">
        <v>3730</v>
      </c>
      <c r="H167" s="3390">
        <v>160.74</v>
      </c>
      <c r="I167" s="3390">
        <f>H167</f>
        <v>160.74</v>
      </c>
      <c r="J167" s="3390"/>
      <c r="K167" s="3390"/>
      <c r="L167" s="3582"/>
      <c r="M167" s="3381">
        <v>1</v>
      </c>
      <c r="N167" s="3381" t="s">
        <v>3569</v>
      </c>
      <c r="O167" s="3430" t="s">
        <v>3594</v>
      </c>
    </row>
    <row r="168" spans="1:15">
      <c r="A168" s="3587"/>
      <c r="B168" s="3587"/>
      <c r="C168" s="3587"/>
      <c r="D168" s="3587"/>
      <c r="E168" s="3393" t="s">
        <v>3729</v>
      </c>
      <c r="F168" s="3393" t="s">
        <v>3626</v>
      </c>
      <c r="G168" s="3393" t="s">
        <v>3730</v>
      </c>
      <c r="H168" s="3390">
        <v>117.15</v>
      </c>
      <c r="I168" s="3390">
        <f>H168</f>
        <v>117.15</v>
      </c>
      <c r="J168" s="3390"/>
      <c r="K168" s="3390"/>
      <c r="L168" s="3582"/>
      <c r="M168" s="3381">
        <v>1</v>
      </c>
      <c r="N168" s="3381" t="s">
        <v>3569</v>
      </c>
      <c r="O168" s="3430" t="s">
        <v>3594</v>
      </c>
    </row>
    <row r="169" spans="1:15">
      <c r="A169" s="3587"/>
      <c r="B169" s="3587"/>
      <c r="C169" s="3587"/>
      <c r="D169" s="3588"/>
      <c r="E169" s="3393" t="s">
        <v>3729</v>
      </c>
      <c r="F169" s="3393" t="s">
        <v>3628</v>
      </c>
      <c r="G169" s="3393" t="s">
        <v>3732</v>
      </c>
      <c r="H169" s="3390">
        <v>431.01</v>
      </c>
      <c r="I169" s="3390">
        <f>H169</f>
        <v>431.01</v>
      </c>
      <c r="J169" s="3390"/>
      <c r="K169" s="3390"/>
      <c r="L169" s="3582"/>
      <c r="M169" s="3381">
        <v>1</v>
      </c>
      <c r="N169" s="3381" t="s">
        <v>3569</v>
      </c>
      <c r="O169" s="3430" t="s">
        <v>3594</v>
      </c>
    </row>
    <row r="170" spans="1:15" ht="36">
      <c r="A170" s="3588"/>
      <c r="B170" s="3588"/>
      <c r="C170" s="3598"/>
      <c r="D170" s="3386" t="s">
        <v>3879</v>
      </c>
      <c r="E170" s="3433" t="s">
        <v>3729</v>
      </c>
      <c r="F170" s="3433" t="s">
        <v>3572</v>
      </c>
      <c r="G170" s="3433" t="s">
        <v>3733</v>
      </c>
      <c r="H170" s="3433">
        <v>12577.94</v>
      </c>
      <c r="I170" s="3354">
        <v>10776.73</v>
      </c>
      <c r="J170" s="3354">
        <v>1655.97</v>
      </c>
      <c r="K170" s="3383">
        <v>145.24</v>
      </c>
      <c r="L170" s="3580"/>
      <c r="M170" s="3381">
        <v>3</v>
      </c>
      <c r="N170" s="3381">
        <v>1</v>
      </c>
      <c r="O170" s="3430" t="s">
        <v>3594</v>
      </c>
    </row>
    <row r="171" spans="1:15" ht="45" customHeight="1">
      <c r="A171" s="3590">
        <v>7</v>
      </c>
      <c r="B171" s="3590" t="s">
        <v>3734</v>
      </c>
      <c r="C171" s="3590" t="s">
        <v>3735</v>
      </c>
      <c r="D171" s="3590" t="s">
        <v>3889</v>
      </c>
      <c r="E171" s="3435" t="s">
        <v>3736</v>
      </c>
      <c r="F171" s="3435" t="s">
        <v>3622</v>
      </c>
      <c r="G171" s="3435" t="s">
        <v>3671</v>
      </c>
      <c r="H171" s="3435">
        <v>859.19</v>
      </c>
      <c r="I171" s="3393">
        <v>822.59</v>
      </c>
      <c r="J171" s="3390">
        <v>0</v>
      </c>
      <c r="K171" s="3389">
        <v>36.6</v>
      </c>
      <c r="L171" s="3579">
        <v>31373.17</v>
      </c>
      <c r="M171" s="3381">
        <v>3</v>
      </c>
      <c r="N171" s="3381" t="s">
        <v>3569</v>
      </c>
      <c r="O171" s="3430" t="s">
        <v>3594</v>
      </c>
    </row>
    <row r="172" spans="1:15">
      <c r="A172" s="3590"/>
      <c r="B172" s="3590"/>
      <c r="C172" s="3590"/>
      <c r="D172" s="3590"/>
      <c r="E172" s="3435" t="s">
        <v>3736</v>
      </c>
      <c r="F172" s="3435" t="s">
        <v>3626</v>
      </c>
      <c r="G172" s="3435" t="s">
        <v>3671</v>
      </c>
      <c r="H172" s="3435">
        <v>859.19</v>
      </c>
      <c r="I172" s="3393">
        <v>822.59</v>
      </c>
      <c r="J172" s="3390">
        <v>0</v>
      </c>
      <c r="K172" s="3389">
        <v>36.6</v>
      </c>
      <c r="L172" s="3582"/>
      <c r="M172" s="3381">
        <v>3</v>
      </c>
      <c r="N172" s="3381" t="s">
        <v>3569</v>
      </c>
      <c r="O172" s="3430" t="s">
        <v>3594</v>
      </c>
    </row>
    <row r="173" spans="1:15">
      <c r="A173" s="3590"/>
      <c r="B173" s="3590"/>
      <c r="C173" s="3590"/>
      <c r="D173" s="3590"/>
      <c r="E173" s="3435" t="s">
        <v>3736</v>
      </c>
      <c r="F173" s="3435" t="s">
        <v>3628</v>
      </c>
      <c r="G173" s="3435" t="s">
        <v>3671</v>
      </c>
      <c r="H173" s="3435">
        <v>859.19</v>
      </c>
      <c r="I173" s="3393">
        <v>822.59</v>
      </c>
      <c r="J173" s="3390">
        <v>0</v>
      </c>
      <c r="K173" s="3389">
        <v>36.6</v>
      </c>
      <c r="L173" s="3582"/>
      <c r="M173" s="3381">
        <v>3</v>
      </c>
      <c r="N173" s="3381" t="s">
        <v>3569</v>
      </c>
      <c r="O173" s="3430" t="s">
        <v>3594</v>
      </c>
    </row>
    <row r="174" spans="1:15">
      <c r="A174" s="3590"/>
      <c r="B174" s="3590"/>
      <c r="C174" s="3590"/>
      <c r="D174" s="3590"/>
      <c r="E174" s="3435" t="s">
        <v>3736</v>
      </c>
      <c r="F174" s="3435" t="s">
        <v>3317</v>
      </c>
      <c r="G174" s="3435" t="s">
        <v>3671</v>
      </c>
      <c r="H174" s="3435">
        <v>859.19</v>
      </c>
      <c r="I174" s="3393">
        <v>822.59</v>
      </c>
      <c r="J174" s="3390">
        <v>0</v>
      </c>
      <c r="K174" s="3389">
        <v>36.6</v>
      </c>
      <c r="L174" s="3582"/>
      <c r="M174" s="3381">
        <v>3</v>
      </c>
      <c r="N174" s="3381" t="s">
        <v>3569</v>
      </c>
      <c r="O174" s="3430" t="s">
        <v>3594</v>
      </c>
    </row>
    <row r="175" spans="1:15">
      <c r="A175" s="3590"/>
      <c r="B175" s="3590"/>
      <c r="C175" s="3590"/>
      <c r="D175" s="3590"/>
      <c r="E175" s="3435" t="s">
        <v>3736</v>
      </c>
      <c r="F175" s="3435" t="s">
        <v>3318</v>
      </c>
      <c r="G175" s="3435" t="s">
        <v>3671</v>
      </c>
      <c r="H175" s="3435">
        <v>859.19</v>
      </c>
      <c r="I175" s="3393">
        <v>822.59</v>
      </c>
      <c r="J175" s="3390">
        <v>0</v>
      </c>
      <c r="K175" s="3389">
        <v>36.6</v>
      </c>
      <c r="L175" s="3582"/>
      <c r="M175" s="3381">
        <v>3</v>
      </c>
      <c r="N175" s="3381" t="s">
        <v>3569</v>
      </c>
      <c r="O175" s="3430" t="s">
        <v>3594</v>
      </c>
    </row>
    <row r="176" spans="1:15">
      <c r="A176" s="3590"/>
      <c r="B176" s="3590"/>
      <c r="C176" s="3590"/>
      <c r="D176" s="3590"/>
      <c r="E176" s="3435" t="s">
        <v>3736</v>
      </c>
      <c r="F176" s="3435" t="s">
        <v>3319</v>
      </c>
      <c r="G176" s="3435" t="s">
        <v>3671</v>
      </c>
      <c r="H176" s="3435">
        <v>859.19</v>
      </c>
      <c r="I176" s="3393">
        <v>822.59</v>
      </c>
      <c r="J176" s="3390">
        <v>0</v>
      </c>
      <c r="K176" s="3389">
        <v>36.6</v>
      </c>
      <c r="L176" s="3582"/>
      <c r="M176" s="3381">
        <v>3</v>
      </c>
      <c r="N176" s="3381" t="s">
        <v>3569</v>
      </c>
      <c r="O176" s="3430" t="s">
        <v>3594</v>
      </c>
    </row>
    <row r="177" spans="1:15">
      <c r="A177" s="3590"/>
      <c r="B177" s="3590"/>
      <c r="C177" s="3590"/>
      <c r="D177" s="3590"/>
      <c r="E177" s="3435" t="s">
        <v>3736</v>
      </c>
      <c r="F177" s="3435" t="s">
        <v>3320</v>
      </c>
      <c r="G177" s="3435" t="s">
        <v>3671</v>
      </c>
      <c r="H177" s="3435">
        <v>859.19</v>
      </c>
      <c r="I177" s="3393">
        <v>822.59</v>
      </c>
      <c r="J177" s="3390">
        <v>0</v>
      </c>
      <c r="K177" s="3389">
        <v>36.6</v>
      </c>
      <c r="L177" s="3582"/>
      <c r="M177" s="3381">
        <v>3</v>
      </c>
      <c r="N177" s="3381" t="s">
        <v>3569</v>
      </c>
      <c r="O177" s="3430" t="s">
        <v>3594</v>
      </c>
    </row>
    <row r="178" spans="1:15">
      <c r="A178" s="3590"/>
      <c r="B178" s="3590"/>
      <c r="C178" s="3590"/>
      <c r="D178" s="3590"/>
      <c r="E178" s="3435" t="s">
        <v>3736</v>
      </c>
      <c r="F178" s="3435" t="s">
        <v>3321</v>
      </c>
      <c r="G178" s="3435" t="s">
        <v>3671</v>
      </c>
      <c r="H178" s="3435">
        <v>859.19</v>
      </c>
      <c r="I178" s="3393">
        <v>822.59</v>
      </c>
      <c r="J178" s="3390">
        <v>0</v>
      </c>
      <c r="K178" s="3389">
        <v>36.6</v>
      </c>
      <c r="L178" s="3582"/>
      <c r="M178" s="3381">
        <v>3</v>
      </c>
      <c r="N178" s="3381" t="s">
        <v>3569</v>
      </c>
      <c r="O178" s="3430" t="s">
        <v>3594</v>
      </c>
    </row>
    <row r="179" spans="1:15">
      <c r="A179" s="3590"/>
      <c r="B179" s="3590"/>
      <c r="C179" s="3599"/>
      <c r="D179" s="3599"/>
      <c r="E179" s="3433" t="s">
        <v>3736</v>
      </c>
      <c r="F179" s="3433" t="s">
        <v>3645</v>
      </c>
      <c r="G179" s="3433" t="s">
        <v>3737</v>
      </c>
      <c r="H179" s="3433">
        <v>3833.1</v>
      </c>
      <c r="I179" s="3354">
        <v>2419.02</v>
      </c>
      <c r="J179" s="3354">
        <v>1414.08</v>
      </c>
      <c r="K179" s="3388"/>
      <c r="L179" s="3580"/>
      <c r="M179" s="3381">
        <v>3</v>
      </c>
      <c r="N179" s="3381">
        <v>1</v>
      </c>
      <c r="O179" s="3430" t="s">
        <v>3594</v>
      </c>
    </row>
    <row r="180" spans="1:15" ht="47.25" customHeight="1">
      <c r="A180" s="3586">
        <v>8</v>
      </c>
      <c r="B180" s="3586" t="s">
        <v>3738</v>
      </c>
      <c r="C180" s="3586" t="s">
        <v>3739</v>
      </c>
      <c r="D180" s="3586" t="s">
        <v>3880</v>
      </c>
      <c r="E180" s="3430" t="s">
        <v>3740</v>
      </c>
      <c r="F180" s="3430" t="s">
        <v>3634</v>
      </c>
      <c r="G180" s="3435" t="s">
        <v>3589</v>
      </c>
      <c r="H180" s="3435">
        <v>76.36</v>
      </c>
      <c r="I180" s="3435">
        <f>H180</f>
        <v>76.36</v>
      </c>
      <c r="J180" s="3381">
        <v>0</v>
      </c>
      <c r="K180" s="3381"/>
      <c r="L180" s="3579">
        <v>32052.400000000001</v>
      </c>
      <c r="M180" s="3381">
        <v>1</v>
      </c>
      <c r="N180" s="3381" t="s">
        <v>3569</v>
      </c>
      <c r="O180" s="3430" t="s">
        <v>3570</v>
      </c>
    </row>
    <row r="181" spans="1:15">
      <c r="A181" s="3587"/>
      <c r="B181" s="3587"/>
      <c r="C181" s="3587"/>
      <c r="D181" s="3587"/>
      <c r="E181" s="3430" t="s">
        <v>3740</v>
      </c>
      <c r="F181" s="3430" t="s">
        <v>3617</v>
      </c>
      <c r="G181" s="3435" t="s">
        <v>3589</v>
      </c>
      <c r="H181" s="3435">
        <v>104.78</v>
      </c>
      <c r="I181" s="3435">
        <f>H181</f>
        <v>104.78</v>
      </c>
      <c r="J181" s="3381">
        <v>0</v>
      </c>
      <c r="K181" s="3381"/>
      <c r="L181" s="3582"/>
      <c r="M181" s="3381">
        <v>2</v>
      </c>
      <c r="N181" s="3381" t="s">
        <v>3569</v>
      </c>
      <c r="O181" s="3430" t="s">
        <v>3570</v>
      </c>
    </row>
    <row r="182" spans="1:15">
      <c r="A182" s="3587"/>
      <c r="B182" s="3587"/>
      <c r="C182" s="3587"/>
      <c r="D182" s="3587"/>
      <c r="E182" s="3430" t="s">
        <v>3740</v>
      </c>
      <c r="F182" s="3430" t="s">
        <v>3620</v>
      </c>
      <c r="G182" s="3435" t="s">
        <v>3589</v>
      </c>
      <c r="H182" s="3435">
        <v>118.9</v>
      </c>
      <c r="I182" s="3435">
        <f>H182</f>
        <v>118.9</v>
      </c>
      <c r="J182" s="3381">
        <v>0</v>
      </c>
      <c r="K182" s="3381"/>
      <c r="L182" s="3582"/>
      <c r="M182" s="3381">
        <v>2</v>
      </c>
      <c r="N182" s="3381" t="s">
        <v>3569</v>
      </c>
      <c r="O182" s="3430" t="s">
        <v>3570</v>
      </c>
    </row>
    <row r="183" spans="1:15">
      <c r="A183" s="3587"/>
      <c r="B183" s="3587"/>
      <c r="C183" s="3587"/>
      <c r="D183" s="3587"/>
      <c r="E183" s="3430" t="s">
        <v>3740</v>
      </c>
      <c r="F183" s="3430" t="s">
        <v>3622</v>
      </c>
      <c r="G183" s="3435" t="s">
        <v>3589</v>
      </c>
      <c r="H183" s="3435">
        <v>114.24</v>
      </c>
      <c r="I183" s="3435">
        <f>H183</f>
        <v>114.24</v>
      </c>
      <c r="J183" s="3381">
        <v>0</v>
      </c>
      <c r="K183" s="3381"/>
      <c r="L183" s="3582"/>
      <c r="M183" s="3381">
        <v>2</v>
      </c>
      <c r="N183" s="3381" t="s">
        <v>3564</v>
      </c>
      <c r="O183" s="3430" t="s">
        <v>3741</v>
      </c>
    </row>
    <row r="184" spans="1:15">
      <c r="A184" s="3587"/>
      <c r="B184" s="3587"/>
      <c r="C184" s="3587"/>
      <c r="D184" s="3587"/>
      <c r="E184" s="3430" t="s">
        <v>3742</v>
      </c>
      <c r="F184" s="3430" t="s">
        <v>3743</v>
      </c>
      <c r="G184" s="3435" t="s">
        <v>3744</v>
      </c>
      <c r="H184" s="3435">
        <v>65.83</v>
      </c>
      <c r="I184" s="3435">
        <f>H184</f>
        <v>65.83</v>
      </c>
      <c r="J184" s="3381">
        <v>0</v>
      </c>
      <c r="K184" s="3381"/>
      <c r="L184" s="3582"/>
      <c r="M184" s="3381">
        <v>1</v>
      </c>
      <c r="N184" s="3381" t="s">
        <v>3564</v>
      </c>
      <c r="O184" s="3430" t="s">
        <v>3741</v>
      </c>
    </row>
    <row r="185" spans="1:15">
      <c r="A185" s="3587"/>
      <c r="B185" s="3587"/>
      <c r="C185" s="3597"/>
      <c r="D185" s="3597"/>
      <c r="E185" s="3433" t="s">
        <v>3742</v>
      </c>
      <c r="F185" s="3433" t="s">
        <v>3567</v>
      </c>
      <c r="G185" s="3433" t="s">
        <v>3744</v>
      </c>
      <c r="H185" s="3433">
        <v>894.12</v>
      </c>
      <c r="I185" s="3354">
        <v>652.66</v>
      </c>
      <c r="J185" s="3354">
        <v>241.46</v>
      </c>
      <c r="K185" s="3388"/>
      <c r="L185" s="3582"/>
      <c r="M185" s="3381">
        <v>4</v>
      </c>
      <c r="N185" s="3381">
        <v>1</v>
      </c>
      <c r="O185" s="3430" t="s">
        <v>3565</v>
      </c>
    </row>
    <row r="186" spans="1:15">
      <c r="A186" s="3587"/>
      <c r="B186" s="3587"/>
      <c r="C186" s="3587"/>
      <c r="D186" s="3587"/>
      <c r="E186" s="3430" t="s">
        <v>3742</v>
      </c>
      <c r="F186" s="3430" t="s">
        <v>3745</v>
      </c>
      <c r="G186" s="3435" t="s">
        <v>3744</v>
      </c>
      <c r="H186" s="3435">
        <v>65.5</v>
      </c>
      <c r="I186" s="3435">
        <f t="shared" ref="I186:I219" si="7">H186</f>
        <v>65.5</v>
      </c>
      <c r="J186" s="3381">
        <v>0</v>
      </c>
      <c r="K186" s="3381"/>
      <c r="L186" s="3582"/>
      <c r="M186" s="3381">
        <v>1</v>
      </c>
      <c r="N186" s="3381" t="s">
        <v>3569</v>
      </c>
      <c r="O186" s="3430" t="s">
        <v>3570</v>
      </c>
    </row>
    <row r="187" spans="1:15">
      <c r="A187" s="3587"/>
      <c r="B187" s="3587"/>
      <c r="C187" s="3587"/>
      <c r="D187" s="3587"/>
      <c r="E187" s="3430" t="s">
        <v>3740</v>
      </c>
      <c r="F187" s="3430" t="s">
        <v>3640</v>
      </c>
      <c r="G187" s="3435" t="s">
        <v>3589</v>
      </c>
      <c r="H187" s="3435">
        <v>34.56</v>
      </c>
      <c r="I187" s="3435">
        <f t="shared" si="7"/>
        <v>34.56</v>
      </c>
      <c r="J187" s="3381">
        <v>0</v>
      </c>
      <c r="K187" s="3381"/>
      <c r="L187" s="3582"/>
      <c r="M187" s="3381">
        <v>1</v>
      </c>
      <c r="N187" s="3381" t="s">
        <v>3569</v>
      </c>
      <c r="O187" s="3430" t="s">
        <v>3570</v>
      </c>
    </row>
    <row r="188" spans="1:15">
      <c r="A188" s="3587"/>
      <c r="B188" s="3587"/>
      <c r="C188" s="3587"/>
      <c r="D188" s="3587"/>
      <c r="E188" s="3430" t="s">
        <v>3740</v>
      </c>
      <c r="F188" s="3430" t="s">
        <v>3641</v>
      </c>
      <c r="G188" s="3435" t="s">
        <v>3589</v>
      </c>
      <c r="H188" s="3435">
        <v>22.62</v>
      </c>
      <c r="I188" s="3435">
        <f t="shared" si="7"/>
        <v>22.62</v>
      </c>
      <c r="J188" s="3381">
        <v>0</v>
      </c>
      <c r="K188" s="3381"/>
      <c r="L188" s="3582"/>
      <c r="M188" s="3381">
        <v>1</v>
      </c>
      <c r="N188" s="3381" t="s">
        <v>3569</v>
      </c>
      <c r="O188" s="3430" t="s">
        <v>3570</v>
      </c>
    </row>
    <row r="189" spans="1:15">
      <c r="A189" s="3587"/>
      <c r="B189" s="3587"/>
      <c r="C189" s="3587"/>
      <c r="D189" s="3587"/>
      <c r="E189" s="3430" t="s">
        <v>3740</v>
      </c>
      <c r="F189" s="3430" t="s">
        <v>3576</v>
      </c>
      <c r="G189" s="3435" t="s">
        <v>3589</v>
      </c>
      <c r="H189" s="3435">
        <v>73.14</v>
      </c>
      <c r="I189" s="3435">
        <f t="shared" si="7"/>
        <v>73.14</v>
      </c>
      <c r="J189" s="3381">
        <v>0</v>
      </c>
      <c r="K189" s="3381"/>
      <c r="L189" s="3582"/>
      <c r="M189" s="3381">
        <v>1</v>
      </c>
      <c r="N189" s="3381" t="s">
        <v>3569</v>
      </c>
      <c r="O189" s="3430" t="s">
        <v>3570</v>
      </c>
    </row>
    <row r="190" spans="1:15">
      <c r="A190" s="3587"/>
      <c r="B190" s="3587"/>
      <c r="C190" s="3587"/>
      <c r="D190" s="3587"/>
      <c r="E190" s="3430" t="s">
        <v>3740</v>
      </c>
      <c r="F190" s="3430" t="s">
        <v>3321</v>
      </c>
      <c r="G190" s="3435" t="s">
        <v>3589</v>
      </c>
      <c r="H190" s="3435">
        <v>43.97</v>
      </c>
      <c r="I190" s="3435">
        <f t="shared" si="7"/>
        <v>43.97</v>
      </c>
      <c r="J190" s="3381">
        <v>0</v>
      </c>
      <c r="K190" s="3381"/>
      <c r="L190" s="3582"/>
      <c r="M190" s="3381">
        <v>1</v>
      </c>
      <c r="N190" s="3381" t="s">
        <v>3569</v>
      </c>
      <c r="O190" s="3430" t="s">
        <v>3570</v>
      </c>
    </row>
    <row r="191" spans="1:15">
      <c r="A191" s="3587"/>
      <c r="B191" s="3587"/>
      <c r="C191" s="3587"/>
      <c r="D191" s="3587"/>
      <c r="E191" s="3430" t="s">
        <v>3740</v>
      </c>
      <c r="F191" s="3430" t="s">
        <v>3645</v>
      </c>
      <c r="G191" s="3435" t="s">
        <v>3589</v>
      </c>
      <c r="H191" s="3435">
        <v>152.09</v>
      </c>
      <c r="I191" s="3435">
        <f t="shared" si="7"/>
        <v>152.09</v>
      </c>
      <c r="J191" s="3381">
        <v>0</v>
      </c>
      <c r="K191" s="3381"/>
      <c r="L191" s="3582"/>
      <c r="M191" s="3381">
        <v>2</v>
      </c>
      <c r="N191" s="3381" t="s">
        <v>3569</v>
      </c>
      <c r="O191" s="3430" t="s">
        <v>3570</v>
      </c>
    </row>
    <row r="192" spans="1:15">
      <c r="A192" s="3587"/>
      <c r="B192" s="3587"/>
      <c r="C192" s="3587"/>
      <c r="D192" s="3587"/>
      <c r="E192" s="3430" t="s">
        <v>3740</v>
      </c>
      <c r="F192" s="3430" t="s">
        <v>3647</v>
      </c>
      <c r="G192" s="3435" t="s">
        <v>3685</v>
      </c>
      <c r="H192" s="3435">
        <v>168.06</v>
      </c>
      <c r="I192" s="3435">
        <f t="shared" si="7"/>
        <v>168.06</v>
      </c>
      <c r="J192" s="3381">
        <v>0</v>
      </c>
      <c r="K192" s="3381"/>
      <c r="L192" s="3582"/>
      <c r="M192" s="3381">
        <v>2</v>
      </c>
      <c r="N192" s="3381" t="s">
        <v>3569</v>
      </c>
      <c r="O192" s="3430" t="s">
        <v>3570</v>
      </c>
    </row>
    <row r="193" spans="1:15">
      <c r="A193" s="3587"/>
      <c r="B193" s="3587"/>
      <c r="C193" s="3587"/>
      <c r="D193" s="3588"/>
      <c r="E193" s="3430" t="s">
        <v>3740</v>
      </c>
      <c r="F193" s="3430" t="s">
        <v>3579</v>
      </c>
      <c r="G193" s="3435" t="s">
        <v>3685</v>
      </c>
      <c r="H193" s="3435">
        <v>3594.23</v>
      </c>
      <c r="I193" s="3435">
        <f t="shared" si="7"/>
        <v>3594.23</v>
      </c>
      <c r="J193" s="3381">
        <v>0</v>
      </c>
      <c r="K193" s="3381"/>
      <c r="L193" s="3582"/>
      <c r="M193" s="3381">
        <v>2</v>
      </c>
      <c r="N193" s="3381" t="s">
        <v>3569</v>
      </c>
      <c r="O193" s="3430" t="s">
        <v>3570</v>
      </c>
    </row>
    <row r="194" spans="1:15">
      <c r="A194" s="3587"/>
      <c r="B194" s="3587"/>
      <c r="C194" s="3587"/>
      <c r="D194" s="3586" t="s">
        <v>3886</v>
      </c>
      <c r="E194" s="3430" t="s">
        <v>3740</v>
      </c>
      <c r="F194" s="3430" t="s">
        <v>3649</v>
      </c>
      <c r="G194" s="3396" t="s">
        <v>3746</v>
      </c>
      <c r="H194" s="3396">
        <v>49.5</v>
      </c>
      <c r="I194" s="3396">
        <f t="shared" si="7"/>
        <v>49.5</v>
      </c>
      <c r="J194" s="3389">
        <v>0</v>
      </c>
      <c r="K194" s="3389"/>
      <c r="L194" s="3582"/>
      <c r="M194" s="3381">
        <v>1</v>
      </c>
      <c r="N194" s="3381" t="s">
        <v>3569</v>
      </c>
      <c r="O194" s="3430" t="s">
        <v>3570</v>
      </c>
    </row>
    <row r="195" spans="1:15">
      <c r="A195" s="3587"/>
      <c r="B195" s="3587"/>
      <c r="C195" s="3587"/>
      <c r="D195" s="3588"/>
      <c r="E195" s="3430" t="s">
        <v>3740</v>
      </c>
      <c r="F195" s="3430" t="s">
        <v>3581</v>
      </c>
      <c r="G195" s="3435" t="s">
        <v>3747</v>
      </c>
      <c r="H195" s="3435">
        <v>1061.51</v>
      </c>
      <c r="I195" s="3435">
        <f t="shared" si="7"/>
        <v>1061.51</v>
      </c>
      <c r="J195" s="3381">
        <v>0</v>
      </c>
      <c r="K195" s="3381"/>
      <c r="L195" s="3582"/>
      <c r="M195" s="3381">
        <v>2</v>
      </c>
      <c r="N195" s="3381" t="s">
        <v>3569</v>
      </c>
      <c r="O195" s="3430" t="s">
        <v>3594</v>
      </c>
    </row>
    <row r="196" spans="1:15" ht="36">
      <c r="A196" s="3587"/>
      <c r="B196" s="3587"/>
      <c r="C196" s="3587"/>
      <c r="D196" s="3458" t="s">
        <v>3887</v>
      </c>
      <c r="E196" s="3430" t="s">
        <v>3740</v>
      </c>
      <c r="F196" s="3430" t="s">
        <v>3651</v>
      </c>
      <c r="G196" s="3435" t="s">
        <v>3580</v>
      </c>
      <c r="H196" s="3435">
        <v>81.900000000000006</v>
      </c>
      <c r="I196" s="3435">
        <f t="shared" si="7"/>
        <v>81.900000000000006</v>
      </c>
      <c r="J196" s="3381">
        <v>0</v>
      </c>
      <c r="K196" s="3381"/>
      <c r="L196" s="3582"/>
      <c r="M196" s="3381">
        <v>1</v>
      </c>
      <c r="N196" s="3381" t="s">
        <v>3569</v>
      </c>
      <c r="O196" s="3430" t="s">
        <v>3570</v>
      </c>
    </row>
    <row r="197" spans="1:15">
      <c r="A197" s="3587"/>
      <c r="B197" s="3587"/>
      <c r="C197" s="3587"/>
      <c r="D197" s="3586" t="s">
        <v>3880</v>
      </c>
      <c r="E197" s="3430" t="s">
        <v>3740</v>
      </c>
      <c r="F197" s="3430" t="s">
        <v>3653</v>
      </c>
      <c r="G197" s="3435" t="s">
        <v>3589</v>
      </c>
      <c r="H197" s="3435">
        <v>110.45</v>
      </c>
      <c r="I197" s="3435">
        <f t="shared" si="7"/>
        <v>110.45</v>
      </c>
      <c r="J197" s="3381">
        <v>0</v>
      </c>
      <c r="K197" s="3381"/>
      <c r="L197" s="3582"/>
      <c r="M197" s="3381">
        <v>1</v>
      </c>
      <c r="N197" s="3381" t="s">
        <v>3569</v>
      </c>
      <c r="O197" s="3430" t="s">
        <v>3570</v>
      </c>
    </row>
    <row r="198" spans="1:15">
      <c r="A198" s="3587"/>
      <c r="B198" s="3587"/>
      <c r="C198" s="3587"/>
      <c r="D198" s="3587"/>
      <c r="E198" s="3430" t="s">
        <v>3740</v>
      </c>
      <c r="F198" s="3430" t="s">
        <v>3341</v>
      </c>
      <c r="G198" s="3435" t="s">
        <v>3589</v>
      </c>
      <c r="H198" s="3435">
        <v>58.88</v>
      </c>
      <c r="I198" s="3435">
        <f t="shared" si="7"/>
        <v>58.88</v>
      </c>
      <c r="J198" s="3381">
        <v>0</v>
      </c>
      <c r="K198" s="3381"/>
      <c r="L198" s="3582"/>
      <c r="M198" s="3381">
        <v>1</v>
      </c>
      <c r="N198" s="3381" t="s">
        <v>3569</v>
      </c>
      <c r="O198" s="3430" t="s">
        <v>3570</v>
      </c>
    </row>
    <row r="199" spans="1:15">
      <c r="A199" s="3587"/>
      <c r="B199" s="3587"/>
      <c r="C199" s="3587"/>
      <c r="D199" s="3587"/>
      <c r="E199" s="3430" t="s">
        <v>3740</v>
      </c>
      <c r="F199" s="3430" t="s">
        <v>3656</v>
      </c>
      <c r="G199" s="3435" t="s">
        <v>3589</v>
      </c>
      <c r="H199" s="3435">
        <v>14.82</v>
      </c>
      <c r="I199" s="3435">
        <f t="shared" si="7"/>
        <v>14.82</v>
      </c>
      <c r="J199" s="3381">
        <v>0</v>
      </c>
      <c r="K199" s="3381"/>
      <c r="L199" s="3582"/>
      <c r="M199" s="3381">
        <v>1</v>
      </c>
      <c r="N199" s="3381" t="s">
        <v>3569</v>
      </c>
      <c r="O199" s="3430" t="s">
        <v>3570</v>
      </c>
    </row>
    <row r="200" spans="1:15">
      <c r="A200" s="3587"/>
      <c r="B200" s="3587"/>
      <c r="C200" s="3587"/>
      <c r="D200" s="3587"/>
      <c r="E200" s="3430" t="s">
        <v>3740</v>
      </c>
      <c r="F200" s="3430" t="s">
        <v>3657</v>
      </c>
      <c r="G200" s="3435" t="s">
        <v>3589</v>
      </c>
      <c r="H200" s="3435">
        <v>40.75</v>
      </c>
      <c r="I200" s="3435">
        <f t="shared" si="7"/>
        <v>40.75</v>
      </c>
      <c r="J200" s="3381">
        <v>0</v>
      </c>
      <c r="K200" s="3381"/>
      <c r="L200" s="3582"/>
      <c r="M200" s="3381">
        <v>1</v>
      </c>
      <c r="N200" s="3381" t="s">
        <v>3569</v>
      </c>
      <c r="O200" s="3430" t="s">
        <v>3570</v>
      </c>
    </row>
    <row r="201" spans="1:15">
      <c r="A201" s="3587"/>
      <c r="B201" s="3587"/>
      <c r="C201" s="3587"/>
      <c r="D201" s="3587"/>
      <c r="E201" s="3430" t="s">
        <v>3740</v>
      </c>
      <c r="F201" s="3430" t="s">
        <v>3342</v>
      </c>
      <c r="G201" s="3435" t="s">
        <v>3589</v>
      </c>
      <c r="H201" s="3435">
        <v>34.71</v>
      </c>
      <c r="I201" s="3435">
        <f t="shared" si="7"/>
        <v>34.71</v>
      </c>
      <c r="J201" s="3381">
        <v>0</v>
      </c>
      <c r="K201" s="3381"/>
      <c r="L201" s="3582"/>
      <c r="M201" s="3381">
        <v>1</v>
      </c>
      <c r="N201" s="3381" t="s">
        <v>3569</v>
      </c>
      <c r="O201" s="3430" t="s">
        <v>3570</v>
      </c>
    </row>
    <row r="202" spans="1:15">
      <c r="A202" s="3587"/>
      <c r="B202" s="3587"/>
      <c r="C202" s="3587"/>
      <c r="D202" s="3587"/>
      <c r="E202" s="3430" t="s">
        <v>3740</v>
      </c>
      <c r="F202" s="3430" t="s">
        <v>3343</v>
      </c>
      <c r="G202" s="3435" t="s">
        <v>3589</v>
      </c>
      <c r="H202" s="3435">
        <v>43.5</v>
      </c>
      <c r="I202" s="3435">
        <f t="shared" si="7"/>
        <v>43.5</v>
      </c>
      <c r="J202" s="3381">
        <v>0</v>
      </c>
      <c r="K202" s="3381"/>
      <c r="L202" s="3582"/>
      <c r="M202" s="3381">
        <v>1</v>
      </c>
      <c r="N202" s="3381" t="s">
        <v>3569</v>
      </c>
      <c r="O202" s="3430" t="s">
        <v>3570</v>
      </c>
    </row>
    <row r="203" spans="1:15">
      <c r="A203" s="3587"/>
      <c r="B203" s="3587"/>
      <c r="C203" s="3587"/>
      <c r="D203" s="3587"/>
      <c r="E203" s="3430" t="s">
        <v>3740</v>
      </c>
      <c r="F203" s="3430" t="s">
        <v>3585</v>
      </c>
      <c r="G203" s="3435" t="s">
        <v>3589</v>
      </c>
      <c r="H203" s="3435">
        <v>33.200000000000003</v>
      </c>
      <c r="I203" s="3435">
        <f t="shared" si="7"/>
        <v>33.200000000000003</v>
      </c>
      <c r="J203" s="3381">
        <v>0</v>
      </c>
      <c r="K203" s="3381"/>
      <c r="L203" s="3582"/>
      <c r="M203" s="3381">
        <v>1</v>
      </c>
      <c r="N203" s="3381" t="s">
        <v>3569</v>
      </c>
      <c r="O203" s="3430" t="s">
        <v>3570</v>
      </c>
    </row>
    <row r="204" spans="1:15">
      <c r="A204" s="3587"/>
      <c r="B204" s="3587"/>
      <c r="C204" s="3587"/>
      <c r="D204" s="3587"/>
      <c r="E204" s="3430" t="s">
        <v>3740</v>
      </c>
      <c r="F204" s="3430" t="s">
        <v>3344</v>
      </c>
      <c r="G204" s="3435" t="s">
        <v>3589</v>
      </c>
      <c r="H204" s="3435">
        <v>27.6</v>
      </c>
      <c r="I204" s="3435">
        <f t="shared" si="7"/>
        <v>27.6</v>
      </c>
      <c r="J204" s="3381">
        <v>0</v>
      </c>
      <c r="K204" s="3381"/>
      <c r="L204" s="3582"/>
      <c r="M204" s="3381">
        <v>1</v>
      </c>
      <c r="N204" s="3381" t="s">
        <v>3569</v>
      </c>
      <c r="O204" s="3430" t="s">
        <v>3570</v>
      </c>
    </row>
    <row r="205" spans="1:15">
      <c r="A205" s="3587"/>
      <c r="B205" s="3587"/>
      <c r="C205" s="3587"/>
      <c r="D205" s="3587"/>
      <c r="E205" s="3430" t="s">
        <v>3740</v>
      </c>
      <c r="F205" s="3430" t="s">
        <v>3660</v>
      </c>
      <c r="G205" s="3435" t="s">
        <v>3589</v>
      </c>
      <c r="H205" s="3435">
        <v>92.66</v>
      </c>
      <c r="I205" s="3435">
        <f t="shared" si="7"/>
        <v>92.66</v>
      </c>
      <c r="J205" s="3381">
        <v>0</v>
      </c>
      <c r="K205" s="3381"/>
      <c r="L205" s="3582"/>
      <c r="M205" s="3381">
        <v>1</v>
      </c>
      <c r="N205" s="3381" t="s">
        <v>3569</v>
      </c>
      <c r="O205" s="3430" t="s">
        <v>3570</v>
      </c>
    </row>
    <row r="206" spans="1:15">
      <c r="A206" s="3587"/>
      <c r="B206" s="3587"/>
      <c r="C206" s="3587"/>
      <c r="D206" s="3587"/>
      <c r="E206" s="3430" t="s">
        <v>3740</v>
      </c>
      <c r="F206" s="3430" t="s">
        <v>3135</v>
      </c>
      <c r="G206" s="3435" t="s">
        <v>3589</v>
      </c>
      <c r="H206" s="3435">
        <v>62.06</v>
      </c>
      <c r="I206" s="3435">
        <f t="shared" si="7"/>
        <v>62.06</v>
      </c>
      <c r="J206" s="3381">
        <v>0</v>
      </c>
      <c r="K206" s="3381"/>
      <c r="L206" s="3582"/>
      <c r="M206" s="3381">
        <v>1</v>
      </c>
      <c r="N206" s="3381" t="s">
        <v>3569</v>
      </c>
      <c r="O206" s="3430" t="s">
        <v>3570</v>
      </c>
    </row>
    <row r="207" spans="1:15">
      <c r="A207" s="3587"/>
      <c r="B207" s="3587"/>
      <c r="C207" s="3587"/>
      <c r="D207" s="3587"/>
      <c r="E207" s="3430" t="s">
        <v>3740</v>
      </c>
      <c r="F207" s="3430" t="s">
        <v>3136</v>
      </c>
      <c r="G207" s="3435" t="s">
        <v>3589</v>
      </c>
      <c r="H207" s="3435">
        <v>81.900000000000006</v>
      </c>
      <c r="I207" s="3435">
        <f t="shared" si="7"/>
        <v>81.900000000000006</v>
      </c>
      <c r="J207" s="3381">
        <v>0</v>
      </c>
      <c r="K207" s="3381"/>
      <c r="L207" s="3582"/>
      <c r="M207" s="3381">
        <v>1</v>
      </c>
      <c r="N207" s="3381" t="s">
        <v>3569</v>
      </c>
      <c r="O207" s="3430" t="s">
        <v>3570</v>
      </c>
    </row>
    <row r="208" spans="1:15">
      <c r="A208" s="3587"/>
      <c r="B208" s="3587"/>
      <c r="C208" s="3587"/>
      <c r="D208" s="3587"/>
      <c r="E208" s="3430" t="s">
        <v>3740</v>
      </c>
      <c r="F208" s="3430" t="s">
        <v>3137</v>
      </c>
      <c r="G208" s="3435" t="s">
        <v>3589</v>
      </c>
      <c r="H208" s="3435">
        <v>15.92</v>
      </c>
      <c r="I208" s="3435">
        <f t="shared" si="7"/>
        <v>15.92</v>
      </c>
      <c r="J208" s="3381">
        <v>0</v>
      </c>
      <c r="K208" s="3381"/>
      <c r="L208" s="3582"/>
      <c r="M208" s="3381">
        <v>1</v>
      </c>
      <c r="N208" s="3381" t="s">
        <v>3569</v>
      </c>
      <c r="O208" s="3430" t="s">
        <v>3570</v>
      </c>
    </row>
    <row r="209" spans="1:15">
      <c r="A209" s="3587"/>
      <c r="B209" s="3587"/>
      <c r="C209" s="3587"/>
      <c r="D209" s="3587"/>
      <c r="E209" s="3430" t="s">
        <v>3740</v>
      </c>
      <c r="F209" s="3430" t="s">
        <v>3345</v>
      </c>
      <c r="G209" s="3435" t="s">
        <v>3589</v>
      </c>
      <c r="H209" s="3435">
        <v>30.41</v>
      </c>
      <c r="I209" s="3435">
        <f t="shared" si="7"/>
        <v>30.41</v>
      </c>
      <c r="J209" s="3381">
        <v>0</v>
      </c>
      <c r="K209" s="3381"/>
      <c r="L209" s="3582"/>
      <c r="M209" s="3381">
        <v>1</v>
      </c>
      <c r="N209" s="3381" t="s">
        <v>3569</v>
      </c>
      <c r="O209" s="3430" t="s">
        <v>3570</v>
      </c>
    </row>
    <row r="210" spans="1:15">
      <c r="A210" s="3587"/>
      <c r="B210" s="3587"/>
      <c r="C210" s="3587"/>
      <c r="D210" s="3587"/>
      <c r="E210" s="3430" t="s">
        <v>3740</v>
      </c>
      <c r="F210" s="3430" t="s">
        <v>3748</v>
      </c>
      <c r="G210" s="3435" t="s">
        <v>3589</v>
      </c>
      <c r="H210" s="3435">
        <v>50.4</v>
      </c>
      <c r="I210" s="3435">
        <f t="shared" si="7"/>
        <v>50.4</v>
      </c>
      <c r="J210" s="3381">
        <v>0</v>
      </c>
      <c r="K210" s="3381"/>
      <c r="L210" s="3582"/>
      <c r="M210" s="3381">
        <v>1</v>
      </c>
      <c r="N210" s="3381" t="s">
        <v>3569</v>
      </c>
      <c r="O210" s="3430" t="s">
        <v>3570</v>
      </c>
    </row>
    <row r="211" spans="1:15">
      <c r="A211" s="3587"/>
      <c r="B211" s="3587"/>
      <c r="C211" s="3587"/>
      <c r="D211" s="3587"/>
      <c r="E211" s="3430" t="s">
        <v>3740</v>
      </c>
      <c r="F211" s="3430" t="s">
        <v>3346</v>
      </c>
      <c r="G211" s="3435" t="s">
        <v>3589</v>
      </c>
      <c r="H211" s="3435">
        <v>65.03</v>
      </c>
      <c r="I211" s="3435">
        <f t="shared" si="7"/>
        <v>65.03</v>
      </c>
      <c r="J211" s="3381">
        <v>0</v>
      </c>
      <c r="K211" s="3381"/>
      <c r="L211" s="3582"/>
      <c r="M211" s="3381">
        <v>1</v>
      </c>
      <c r="N211" s="3381" t="s">
        <v>3569</v>
      </c>
      <c r="O211" s="3430" t="s">
        <v>3570</v>
      </c>
    </row>
    <row r="212" spans="1:15">
      <c r="A212" s="3587"/>
      <c r="B212" s="3587"/>
      <c r="C212" s="3587"/>
      <c r="D212" s="3587"/>
      <c r="E212" s="3430" t="s">
        <v>3740</v>
      </c>
      <c r="F212" s="3430" t="s">
        <v>3347</v>
      </c>
      <c r="G212" s="3435" t="s">
        <v>3589</v>
      </c>
      <c r="H212" s="3435">
        <v>57.72</v>
      </c>
      <c r="I212" s="3435">
        <f t="shared" si="7"/>
        <v>57.72</v>
      </c>
      <c r="J212" s="3381">
        <v>0</v>
      </c>
      <c r="K212" s="3381"/>
      <c r="L212" s="3582"/>
      <c r="M212" s="3381">
        <v>1</v>
      </c>
      <c r="N212" s="3381" t="s">
        <v>3569</v>
      </c>
      <c r="O212" s="3430" t="s">
        <v>3570</v>
      </c>
    </row>
    <row r="213" spans="1:15">
      <c r="A213" s="3587"/>
      <c r="B213" s="3587"/>
      <c r="C213" s="3587"/>
      <c r="D213" s="3587"/>
      <c r="E213" s="3430" t="s">
        <v>3740</v>
      </c>
      <c r="F213" s="3430" t="s">
        <v>3348</v>
      </c>
      <c r="G213" s="3435" t="s">
        <v>3589</v>
      </c>
      <c r="H213" s="3435">
        <v>31.5</v>
      </c>
      <c r="I213" s="3435">
        <f t="shared" si="7"/>
        <v>31.5</v>
      </c>
      <c r="J213" s="3381">
        <v>0</v>
      </c>
      <c r="K213" s="3381"/>
      <c r="L213" s="3582"/>
      <c r="M213" s="3381">
        <v>1</v>
      </c>
      <c r="N213" s="3381" t="s">
        <v>3569</v>
      </c>
      <c r="O213" s="3430" t="s">
        <v>3570</v>
      </c>
    </row>
    <row r="214" spans="1:15">
      <c r="A214" s="3587"/>
      <c r="B214" s="3587"/>
      <c r="C214" s="3587"/>
      <c r="D214" s="3587"/>
      <c r="E214" s="3430" t="s">
        <v>3740</v>
      </c>
      <c r="F214" s="3430" t="s">
        <v>3349</v>
      </c>
      <c r="G214" s="3435" t="s">
        <v>3589</v>
      </c>
      <c r="H214" s="3435">
        <v>79.22</v>
      </c>
      <c r="I214" s="3435">
        <f t="shared" si="7"/>
        <v>79.22</v>
      </c>
      <c r="J214" s="3381">
        <v>0</v>
      </c>
      <c r="K214" s="3381"/>
      <c r="L214" s="3582"/>
      <c r="M214" s="3381">
        <v>1</v>
      </c>
      <c r="N214" s="3381" t="s">
        <v>3569</v>
      </c>
      <c r="O214" s="3430" t="s">
        <v>3570</v>
      </c>
    </row>
    <row r="215" spans="1:15">
      <c r="A215" s="3587"/>
      <c r="B215" s="3587"/>
      <c r="C215" s="3587"/>
      <c r="D215" s="3587"/>
      <c r="E215" s="3430" t="s">
        <v>3740</v>
      </c>
      <c r="F215" s="3430" t="s">
        <v>3350</v>
      </c>
      <c r="G215" s="3435" t="s">
        <v>3589</v>
      </c>
      <c r="H215" s="3435">
        <v>53.58</v>
      </c>
      <c r="I215" s="3435">
        <f t="shared" si="7"/>
        <v>53.58</v>
      </c>
      <c r="J215" s="3381">
        <v>0</v>
      </c>
      <c r="K215" s="3381"/>
      <c r="L215" s="3582"/>
      <c r="M215" s="3381">
        <v>1</v>
      </c>
      <c r="N215" s="3381" t="s">
        <v>3569</v>
      </c>
      <c r="O215" s="3430" t="s">
        <v>3570</v>
      </c>
    </row>
    <row r="216" spans="1:15">
      <c r="A216" s="3587"/>
      <c r="B216" s="3587"/>
      <c r="C216" s="3587"/>
      <c r="D216" s="3587"/>
      <c r="E216" s="3430" t="s">
        <v>3740</v>
      </c>
      <c r="F216" s="3430" t="s">
        <v>3351</v>
      </c>
      <c r="G216" s="3435" t="s">
        <v>3589</v>
      </c>
      <c r="H216" s="3386">
        <v>31.5</v>
      </c>
      <c r="I216" s="3386">
        <f t="shared" si="7"/>
        <v>31.5</v>
      </c>
      <c r="J216" s="3381">
        <v>0</v>
      </c>
      <c r="K216" s="3381"/>
      <c r="L216" s="3582"/>
      <c r="M216" s="3381">
        <v>1</v>
      </c>
      <c r="N216" s="3381" t="s">
        <v>3569</v>
      </c>
      <c r="O216" s="3430" t="s">
        <v>3570</v>
      </c>
    </row>
    <row r="217" spans="1:15">
      <c r="A217" s="3587"/>
      <c r="B217" s="3587"/>
      <c r="C217" s="3587"/>
      <c r="D217" s="3588"/>
      <c r="E217" s="3430" t="s">
        <v>3740</v>
      </c>
      <c r="F217" s="3430" t="s">
        <v>3687</v>
      </c>
      <c r="G217" s="3435" t="s">
        <v>3589</v>
      </c>
      <c r="H217" s="3435">
        <v>86.56</v>
      </c>
      <c r="I217" s="3435">
        <f t="shared" si="7"/>
        <v>86.56</v>
      </c>
      <c r="J217" s="3381">
        <v>0</v>
      </c>
      <c r="K217" s="3381"/>
      <c r="L217" s="3582"/>
      <c r="M217" s="3381">
        <v>2</v>
      </c>
      <c r="N217" s="3381" t="s">
        <v>3569</v>
      </c>
      <c r="O217" s="3430" t="s">
        <v>3570</v>
      </c>
    </row>
    <row r="218" spans="1:15" ht="36">
      <c r="A218" s="3587"/>
      <c r="B218" s="3587"/>
      <c r="C218" s="3587"/>
      <c r="D218" s="3458" t="s">
        <v>3888</v>
      </c>
      <c r="E218" s="3430" t="s">
        <v>3740</v>
      </c>
      <c r="F218" s="3430" t="s">
        <v>3595</v>
      </c>
      <c r="G218" s="3435" t="s">
        <v>3685</v>
      </c>
      <c r="H218" s="3435">
        <v>134.15</v>
      </c>
      <c r="I218" s="3435">
        <f t="shared" si="7"/>
        <v>134.15</v>
      </c>
      <c r="J218" s="3381">
        <v>0</v>
      </c>
      <c r="K218" s="3381"/>
      <c r="L218" s="3582"/>
      <c r="M218" s="3381">
        <v>1</v>
      </c>
      <c r="N218" s="3381" t="s">
        <v>3569</v>
      </c>
      <c r="O218" s="3430" t="s">
        <v>3594</v>
      </c>
    </row>
    <row r="219" spans="1:15" ht="36">
      <c r="A219" s="3587"/>
      <c r="B219" s="3587"/>
      <c r="C219" s="3587"/>
      <c r="D219" s="3458" t="s">
        <v>3884</v>
      </c>
      <c r="E219" s="3430" t="s">
        <v>3740</v>
      </c>
      <c r="F219" s="3430" t="s">
        <v>3596</v>
      </c>
      <c r="G219" s="3435" t="s">
        <v>3685</v>
      </c>
      <c r="H219" s="3435">
        <v>433.08</v>
      </c>
      <c r="I219" s="3435">
        <f t="shared" si="7"/>
        <v>433.08</v>
      </c>
      <c r="J219" s="3381">
        <v>0</v>
      </c>
      <c r="K219" s="3381"/>
      <c r="L219" s="3582"/>
      <c r="M219" s="3381">
        <v>2</v>
      </c>
      <c r="N219" s="3381" t="s">
        <v>3569</v>
      </c>
      <c r="O219" s="3430" t="s">
        <v>3570</v>
      </c>
    </row>
    <row r="220" spans="1:15">
      <c r="A220" s="3587"/>
      <c r="B220" s="3587"/>
      <c r="C220" s="3587"/>
      <c r="D220" s="3586" t="s">
        <v>3888</v>
      </c>
      <c r="E220" s="3430" t="s">
        <v>3740</v>
      </c>
      <c r="F220" s="3430" t="s">
        <v>3690</v>
      </c>
      <c r="G220" s="3396" t="s">
        <v>3749</v>
      </c>
      <c r="H220" s="3396">
        <v>133.19</v>
      </c>
      <c r="I220" s="3396">
        <f>H220</f>
        <v>133.19</v>
      </c>
      <c r="J220" s="3389">
        <v>0</v>
      </c>
      <c r="K220" s="3389"/>
      <c r="L220" s="3582"/>
      <c r="M220" s="3381">
        <v>1</v>
      </c>
      <c r="N220" s="3381" t="s">
        <v>3569</v>
      </c>
      <c r="O220" s="3430" t="s">
        <v>3570</v>
      </c>
    </row>
    <row r="221" spans="1:15">
      <c r="A221" s="3587"/>
      <c r="B221" s="3587"/>
      <c r="C221" s="3587"/>
      <c r="D221" s="3587"/>
      <c r="E221" s="3430" t="s">
        <v>3740</v>
      </c>
      <c r="F221" s="3430" t="s">
        <v>3750</v>
      </c>
      <c r="G221" s="3435" t="s">
        <v>3685</v>
      </c>
      <c r="H221" s="3435">
        <v>65.84</v>
      </c>
      <c r="I221" s="3435">
        <f>H221</f>
        <v>65.84</v>
      </c>
      <c r="J221" s="3381">
        <v>0</v>
      </c>
      <c r="K221" s="3381"/>
      <c r="L221" s="3582"/>
      <c r="M221" s="3381">
        <v>1</v>
      </c>
      <c r="N221" s="3381" t="s">
        <v>3564</v>
      </c>
      <c r="O221" s="3430" t="s">
        <v>3741</v>
      </c>
    </row>
    <row r="222" spans="1:15">
      <c r="A222" s="3587"/>
      <c r="B222" s="3587"/>
      <c r="C222" s="3587"/>
      <c r="D222" s="3587"/>
      <c r="E222" s="3430" t="s">
        <v>3742</v>
      </c>
      <c r="F222" s="3430" t="s">
        <v>3751</v>
      </c>
      <c r="G222" s="3435" t="s">
        <v>3575</v>
      </c>
      <c r="H222" s="3435">
        <v>15.75</v>
      </c>
      <c r="I222" s="3435">
        <f t="shared" ref="I222:I230" si="8">H222</f>
        <v>15.75</v>
      </c>
      <c r="J222" s="3381">
        <v>0</v>
      </c>
      <c r="K222" s="3381"/>
      <c r="L222" s="3582"/>
      <c r="M222" s="3381">
        <v>1</v>
      </c>
      <c r="N222" s="3381" t="s">
        <v>3569</v>
      </c>
      <c r="O222" s="3430" t="s">
        <v>3570</v>
      </c>
    </row>
    <row r="223" spans="1:15">
      <c r="A223" s="3587"/>
      <c r="B223" s="3587"/>
      <c r="C223" s="3587"/>
      <c r="D223" s="3587"/>
      <c r="E223" s="3430" t="s">
        <v>3740</v>
      </c>
      <c r="F223" s="3430" t="s">
        <v>3599</v>
      </c>
      <c r="G223" s="3435" t="s">
        <v>3580</v>
      </c>
      <c r="H223" s="3435">
        <v>20.3</v>
      </c>
      <c r="I223" s="3435">
        <f t="shared" si="8"/>
        <v>20.3</v>
      </c>
      <c r="J223" s="3381">
        <v>0</v>
      </c>
      <c r="K223" s="3381"/>
      <c r="L223" s="3582"/>
      <c r="M223" s="3381">
        <v>1</v>
      </c>
      <c r="N223" s="3381" t="s">
        <v>3569</v>
      </c>
      <c r="O223" s="3430" t="s">
        <v>3570</v>
      </c>
    </row>
    <row r="224" spans="1:15">
      <c r="A224" s="3587"/>
      <c r="B224" s="3587"/>
      <c r="C224" s="3587"/>
      <c r="D224" s="3587"/>
      <c r="E224" s="3430" t="s">
        <v>3740</v>
      </c>
      <c r="F224" s="3430" t="s">
        <v>3600</v>
      </c>
      <c r="G224" s="3435" t="s">
        <v>3580</v>
      </c>
      <c r="H224" s="3435">
        <v>54.12</v>
      </c>
      <c r="I224" s="3435">
        <f t="shared" si="8"/>
        <v>54.12</v>
      </c>
      <c r="J224" s="3381">
        <v>0</v>
      </c>
      <c r="K224" s="3381"/>
      <c r="L224" s="3582"/>
      <c r="M224" s="3381">
        <v>1</v>
      </c>
      <c r="N224" s="3381" t="s">
        <v>3569</v>
      </c>
      <c r="O224" s="3430" t="s">
        <v>3570</v>
      </c>
    </row>
    <row r="225" spans="1:15">
      <c r="A225" s="3587"/>
      <c r="B225" s="3587"/>
      <c r="C225" s="3587"/>
      <c r="D225" s="3587"/>
      <c r="E225" s="3430" t="s">
        <v>3740</v>
      </c>
      <c r="F225" s="3430" t="s">
        <v>3601</v>
      </c>
      <c r="G225" s="3435" t="s">
        <v>3580</v>
      </c>
      <c r="H225" s="3435">
        <v>29.8</v>
      </c>
      <c r="I225" s="3435">
        <f t="shared" si="8"/>
        <v>29.8</v>
      </c>
      <c r="J225" s="3381">
        <v>0</v>
      </c>
      <c r="K225" s="3381"/>
      <c r="L225" s="3582"/>
      <c r="M225" s="3381">
        <v>1</v>
      </c>
      <c r="N225" s="3381" t="s">
        <v>3569</v>
      </c>
      <c r="O225" s="3430" t="s">
        <v>3570</v>
      </c>
    </row>
    <row r="226" spans="1:15">
      <c r="A226" s="3587"/>
      <c r="B226" s="3587"/>
      <c r="C226" s="3587"/>
      <c r="D226" s="3587"/>
      <c r="E226" s="3430" t="s">
        <v>3740</v>
      </c>
      <c r="F226" s="3430" t="s">
        <v>3354</v>
      </c>
      <c r="G226" s="3435" t="s">
        <v>3580</v>
      </c>
      <c r="H226" s="3435">
        <v>29.57</v>
      </c>
      <c r="I226" s="3435">
        <f t="shared" si="8"/>
        <v>29.57</v>
      </c>
      <c r="J226" s="3381">
        <v>0</v>
      </c>
      <c r="K226" s="3381"/>
      <c r="L226" s="3582"/>
      <c r="M226" s="3381">
        <v>1</v>
      </c>
      <c r="N226" s="3381" t="s">
        <v>3569</v>
      </c>
      <c r="O226" s="3430" t="s">
        <v>3570</v>
      </c>
    </row>
    <row r="227" spans="1:15">
      <c r="A227" s="3587"/>
      <c r="B227" s="3587"/>
      <c r="C227" s="3587"/>
      <c r="D227" s="3587"/>
      <c r="E227" s="3430" t="s">
        <v>3740</v>
      </c>
      <c r="F227" s="3430" t="s">
        <v>3355</v>
      </c>
      <c r="G227" s="3435" t="s">
        <v>3580</v>
      </c>
      <c r="H227" s="3435">
        <v>28.34</v>
      </c>
      <c r="I227" s="3435">
        <f t="shared" si="8"/>
        <v>28.34</v>
      </c>
      <c r="J227" s="3381">
        <v>0</v>
      </c>
      <c r="K227" s="3381"/>
      <c r="L227" s="3582"/>
      <c r="M227" s="3381">
        <v>1</v>
      </c>
      <c r="N227" s="3381" t="s">
        <v>3569</v>
      </c>
      <c r="O227" s="3430" t="s">
        <v>3570</v>
      </c>
    </row>
    <row r="228" spans="1:15">
      <c r="A228" s="3587"/>
      <c r="B228" s="3587"/>
      <c r="C228" s="3587"/>
      <c r="D228" s="3587"/>
      <c r="E228" s="3430" t="s">
        <v>3740</v>
      </c>
      <c r="F228" s="3430" t="s">
        <v>3356</v>
      </c>
      <c r="G228" s="3435" t="s">
        <v>3580</v>
      </c>
      <c r="H228" s="3435">
        <v>43.12</v>
      </c>
      <c r="I228" s="3435">
        <f t="shared" si="8"/>
        <v>43.12</v>
      </c>
      <c r="J228" s="3381">
        <v>0</v>
      </c>
      <c r="K228" s="3381"/>
      <c r="L228" s="3582"/>
      <c r="M228" s="3381">
        <v>1</v>
      </c>
      <c r="N228" s="3381" t="s">
        <v>3569</v>
      </c>
      <c r="O228" s="3430" t="s">
        <v>3570</v>
      </c>
    </row>
    <row r="229" spans="1:15">
      <c r="A229" s="3587"/>
      <c r="B229" s="3587"/>
      <c r="C229" s="3587"/>
      <c r="D229" s="3587"/>
      <c r="E229" s="3430" t="s">
        <v>3740</v>
      </c>
      <c r="F229" s="3430" t="s">
        <v>3697</v>
      </c>
      <c r="G229" s="3435" t="s">
        <v>3580</v>
      </c>
      <c r="H229" s="3435">
        <v>8.06</v>
      </c>
      <c r="I229" s="3435">
        <f t="shared" si="8"/>
        <v>8.06</v>
      </c>
      <c r="J229" s="3381">
        <v>0</v>
      </c>
      <c r="K229" s="3381"/>
      <c r="L229" s="3582"/>
      <c r="M229" s="3381">
        <v>1</v>
      </c>
      <c r="N229" s="3381" t="s">
        <v>3569</v>
      </c>
      <c r="O229" s="3430" t="s">
        <v>3570</v>
      </c>
    </row>
    <row r="230" spans="1:15">
      <c r="A230" s="3587"/>
      <c r="B230" s="3587"/>
      <c r="C230" s="3587"/>
      <c r="D230" s="3588"/>
      <c r="E230" s="3430" t="s">
        <v>3740</v>
      </c>
      <c r="F230" s="3430" t="s">
        <v>3605</v>
      </c>
      <c r="G230" s="3435" t="s">
        <v>3580</v>
      </c>
      <c r="H230" s="3435">
        <v>149.32</v>
      </c>
      <c r="I230" s="3435">
        <f t="shared" si="8"/>
        <v>149.32</v>
      </c>
      <c r="J230" s="3381">
        <v>0</v>
      </c>
      <c r="K230" s="3381"/>
      <c r="L230" s="3582"/>
      <c r="M230" s="3381">
        <v>2</v>
      </c>
      <c r="N230" s="3381" t="s">
        <v>3569</v>
      </c>
      <c r="O230" s="3430" t="s">
        <v>3570</v>
      </c>
    </row>
    <row r="231" spans="1:15" ht="36">
      <c r="A231" s="3587"/>
      <c r="B231" s="3587"/>
      <c r="C231" s="3597"/>
      <c r="D231" s="3386" t="s">
        <v>3884</v>
      </c>
      <c r="E231" s="3433" t="s">
        <v>3740</v>
      </c>
      <c r="F231" s="3433" t="s">
        <v>3699</v>
      </c>
      <c r="G231" s="3433" t="s">
        <v>3752</v>
      </c>
      <c r="H231" s="3433">
        <v>328.6</v>
      </c>
      <c r="I231" s="3354">
        <v>292.69</v>
      </c>
      <c r="J231" s="3354">
        <v>35.909999999999997</v>
      </c>
      <c r="K231" s="3388"/>
      <c r="L231" s="3582"/>
      <c r="M231" s="3381">
        <v>1</v>
      </c>
      <c r="N231" s="3381" t="s">
        <v>3569</v>
      </c>
      <c r="O231" s="3430" t="s">
        <v>3594</v>
      </c>
    </row>
    <row r="232" spans="1:15">
      <c r="A232" s="3587"/>
      <c r="B232" s="3587"/>
      <c r="C232" s="3587"/>
      <c r="D232" s="3586" t="s">
        <v>3887</v>
      </c>
      <c r="E232" s="3430" t="s">
        <v>3740</v>
      </c>
      <c r="F232" s="3430" t="s">
        <v>3701</v>
      </c>
      <c r="G232" s="3435" t="s">
        <v>3580</v>
      </c>
      <c r="H232" s="3435">
        <v>425.09</v>
      </c>
      <c r="I232" s="3435">
        <f t="shared" ref="I232:I254" si="9">H232</f>
        <v>425.09</v>
      </c>
      <c r="J232" s="3381">
        <v>0</v>
      </c>
      <c r="K232" s="3381"/>
      <c r="L232" s="3582"/>
      <c r="M232" s="3381">
        <v>2</v>
      </c>
      <c r="N232" s="3381" t="s">
        <v>3569</v>
      </c>
      <c r="O232" s="3430" t="s">
        <v>3570</v>
      </c>
    </row>
    <row r="233" spans="1:15">
      <c r="A233" s="3587"/>
      <c r="B233" s="3587"/>
      <c r="C233" s="3587"/>
      <c r="D233" s="3588"/>
      <c r="E233" s="3430" t="s">
        <v>3740</v>
      </c>
      <c r="F233" s="3430" t="s">
        <v>3703</v>
      </c>
      <c r="G233" s="3435" t="s">
        <v>3580</v>
      </c>
      <c r="H233" s="3435">
        <v>166.82</v>
      </c>
      <c r="I233" s="3435">
        <f t="shared" si="9"/>
        <v>166.82</v>
      </c>
      <c r="J233" s="3381">
        <v>0</v>
      </c>
      <c r="K233" s="3381"/>
      <c r="L233" s="3582"/>
      <c r="M233" s="3381">
        <v>2</v>
      </c>
      <c r="N233" s="3381" t="s">
        <v>3569</v>
      </c>
      <c r="O233" s="3430" t="s">
        <v>3570</v>
      </c>
    </row>
    <row r="234" spans="1:15" ht="36">
      <c r="A234" s="3587"/>
      <c r="B234" s="3587"/>
      <c r="C234" s="3587"/>
      <c r="D234" s="3458" t="s">
        <v>3884</v>
      </c>
      <c r="E234" s="3430" t="s">
        <v>3740</v>
      </c>
      <c r="F234" s="3430" t="s">
        <v>3705</v>
      </c>
      <c r="G234" s="3435" t="s">
        <v>3587</v>
      </c>
      <c r="H234" s="3435">
        <v>956.75</v>
      </c>
      <c r="I234" s="3435">
        <f t="shared" si="9"/>
        <v>956.75</v>
      </c>
      <c r="J234" s="3381">
        <v>0</v>
      </c>
      <c r="K234" s="3381"/>
      <c r="L234" s="3582"/>
      <c r="M234" s="3381">
        <v>2</v>
      </c>
      <c r="N234" s="3381" t="s">
        <v>3569</v>
      </c>
      <c r="O234" s="3430" t="s">
        <v>3570</v>
      </c>
    </row>
    <row r="235" spans="1:15">
      <c r="A235" s="3587"/>
      <c r="B235" s="3587"/>
      <c r="C235" s="3587"/>
      <c r="D235" s="3586" t="s">
        <v>3887</v>
      </c>
      <c r="E235" s="3430" t="s">
        <v>3740</v>
      </c>
      <c r="F235" s="3430" t="s">
        <v>3707</v>
      </c>
      <c r="G235" s="3435" t="s">
        <v>3580</v>
      </c>
      <c r="H235" s="3435">
        <v>30.42</v>
      </c>
      <c r="I235" s="3435">
        <f t="shared" si="9"/>
        <v>30.42</v>
      </c>
      <c r="J235" s="3381">
        <v>0</v>
      </c>
      <c r="K235" s="3381"/>
      <c r="L235" s="3582"/>
      <c r="M235" s="3381">
        <v>1</v>
      </c>
      <c r="N235" s="3381" t="s">
        <v>3569</v>
      </c>
      <c r="O235" s="3430" t="s">
        <v>3570</v>
      </c>
    </row>
    <row r="236" spans="1:15">
      <c r="A236" s="3587"/>
      <c r="B236" s="3587"/>
      <c r="C236" s="3587"/>
      <c r="D236" s="3587"/>
      <c r="E236" s="3430" t="s">
        <v>3740</v>
      </c>
      <c r="F236" s="3430" t="s">
        <v>3709</v>
      </c>
      <c r="G236" s="3435" t="s">
        <v>3580</v>
      </c>
      <c r="H236" s="3435">
        <v>190.63</v>
      </c>
      <c r="I236" s="3435">
        <f t="shared" si="9"/>
        <v>190.63</v>
      </c>
      <c r="J236" s="3381">
        <v>0</v>
      </c>
      <c r="K236" s="3381"/>
      <c r="L236" s="3582"/>
      <c r="M236" s="3381">
        <v>1</v>
      </c>
      <c r="N236" s="3381" t="s">
        <v>3569</v>
      </c>
      <c r="O236" s="3430" t="s">
        <v>3570</v>
      </c>
    </row>
    <row r="237" spans="1:15">
      <c r="A237" s="3587"/>
      <c r="B237" s="3587"/>
      <c r="C237" s="3587"/>
      <c r="D237" s="3587"/>
      <c r="E237" s="3430" t="s">
        <v>3740</v>
      </c>
      <c r="F237" s="3430" t="s">
        <v>3710</v>
      </c>
      <c r="G237" s="3435" t="s">
        <v>3580</v>
      </c>
      <c r="H237" s="3435">
        <v>165.1</v>
      </c>
      <c r="I237" s="3435">
        <f t="shared" si="9"/>
        <v>165.1</v>
      </c>
      <c r="J237" s="3381">
        <v>0</v>
      </c>
      <c r="K237" s="3381"/>
      <c r="L237" s="3582"/>
      <c r="M237" s="3381">
        <v>2</v>
      </c>
      <c r="N237" s="3381" t="s">
        <v>3569</v>
      </c>
      <c r="O237" s="3430" t="s">
        <v>3570</v>
      </c>
    </row>
    <row r="238" spans="1:15">
      <c r="A238" s="3587"/>
      <c r="B238" s="3587"/>
      <c r="C238" s="3587"/>
      <c r="D238" s="3587"/>
      <c r="E238" s="3430" t="s">
        <v>3740</v>
      </c>
      <c r="F238" s="3430" t="s">
        <v>3712</v>
      </c>
      <c r="G238" s="3435" t="s">
        <v>3580</v>
      </c>
      <c r="H238" s="3435">
        <v>15.14</v>
      </c>
      <c r="I238" s="3435">
        <f t="shared" si="9"/>
        <v>15.14</v>
      </c>
      <c r="J238" s="3381">
        <v>0</v>
      </c>
      <c r="K238" s="3381"/>
      <c r="L238" s="3582"/>
      <c r="M238" s="3381">
        <v>1</v>
      </c>
      <c r="N238" s="3381" t="s">
        <v>3569</v>
      </c>
      <c r="O238" s="3430" t="s">
        <v>3570</v>
      </c>
    </row>
    <row r="239" spans="1:15">
      <c r="A239" s="3587"/>
      <c r="B239" s="3587"/>
      <c r="C239" s="3587"/>
      <c r="D239" s="3587"/>
      <c r="E239" s="3430" t="s">
        <v>3740</v>
      </c>
      <c r="F239" s="3430" t="s">
        <v>3365</v>
      </c>
      <c r="G239" s="3435" t="s">
        <v>3580</v>
      </c>
      <c r="H239" s="3435">
        <v>53.9</v>
      </c>
      <c r="I239" s="3435">
        <f t="shared" si="9"/>
        <v>53.9</v>
      </c>
      <c r="J239" s="3381">
        <v>0</v>
      </c>
      <c r="K239" s="3381"/>
      <c r="L239" s="3582"/>
      <c r="M239" s="3381">
        <v>1</v>
      </c>
      <c r="N239" s="3381" t="s">
        <v>3569</v>
      </c>
      <c r="O239" s="3430" t="s">
        <v>3570</v>
      </c>
    </row>
    <row r="240" spans="1:15">
      <c r="A240" s="3587"/>
      <c r="B240" s="3587"/>
      <c r="C240" s="3587"/>
      <c r="D240" s="3587"/>
      <c r="E240" s="3430" t="s">
        <v>3740</v>
      </c>
      <c r="F240" s="3430" t="s">
        <v>3366</v>
      </c>
      <c r="G240" s="3435" t="s">
        <v>3580</v>
      </c>
      <c r="H240" s="3435">
        <v>44.27</v>
      </c>
      <c r="I240" s="3435">
        <f t="shared" si="9"/>
        <v>44.27</v>
      </c>
      <c r="J240" s="3381">
        <v>0</v>
      </c>
      <c r="K240" s="3381"/>
      <c r="L240" s="3582"/>
      <c r="M240" s="3381">
        <v>1</v>
      </c>
      <c r="N240" s="3381" t="s">
        <v>3569</v>
      </c>
      <c r="O240" s="3430" t="s">
        <v>3570</v>
      </c>
    </row>
    <row r="241" spans="1:15">
      <c r="A241" s="3587"/>
      <c r="B241" s="3587"/>
      <c r="C241" s="3587"/>
      <c r="D241" s="3587"/>
      <c r="E241" s="3430" t="s">
        <v>3740</v>
      </c>
      <c r="F241" s="3430" t="s">
        <v>3367</v>
      </c>
      <c r="G241" s="3435" t="s">
        <v>3580</v>
      </c>
      <c r="H241" s="3435">
        <v>46.46</v>
      </c>
      <c r="I241" s="3435">
        <f t="shared" si="9"/>
        <v>46.46</v>
      </c>
      <c r="J241" s="3381">
        <v>0</v>
      </c>
      <c r="K241" s="3381"/>
      <c r="L241" s="3582"/>
      <c r="M241" s="3381">
        <v>1</v>
      </c>
      <c r="N241" s="3381" t="s">
        <v>3569</v>
      </c>
      <c r="O241" s="3430" t="s">
        <v>3570</v>
      </c>
    </row>
    <row r="242" spans="1:15">
      <c r="A242" s="3587"/>
      <c r="B242" s="3587"/>
      <c r="C242" s="3587"/>
      <c r="D242" s="3587"/>
      <c r="E242" s="3430" t="s">
        <v>3740</v>
      </c>
      <c r="F242" s="3430" t="s">
        <v>3368</v>
      </c>
      <c r="G242" s="3435" t="s">
        <v>3580</v>
      </c>
      <c r="H242" s="3435">
        <v>80.28</v>
      </c>
      <c r="I242" s="3435">
        <f t="shared" si="9"/>
        <v>80.28</v>
      </c>
      <c r="J242" s="3381">
        <v>0</v>
      </c>
      <c r="K242" s="3381"/>
      <c r="L242" s="3582"/>
      <c r="M242" s="3381">
        <v>1</v>
      </c>
      <c r="N242" s="3381" t="s">
        <v>3569</v>
      </c>
      <c r="O242" s="3430" t="s">
        <v>3570</v>
      </c>
    </row>
    <row r="243" spans="1:15">
      <c r="A243" s="3587"/>
      <c r="B243" s="3587"/>
      <c r="C243" s="3587"/>
      <c r="D243" s="3587"/>
      <c r="E243" s="3430" t="s">
        <v>3740</v>
      </c>
      <c r="F243" s="3430" t="s">
        <v>3369</v>
      </c>
      <c r="G243" s="3435" t="s">
        <v>3580</v>
      </c>
      <c r="H243" s="3435">
        <v>87.97</v>
      </c>
      <c r="I243" s="3435">
        <f t="shared" si="9"/>
        <v>87.97</v>
      </c>
      <c r="J243" s="3381">
        <v>0</v>
      </c>
      <c r="K243" s="3381"/>
      <c r="L243" s="3582"/>
      <c r="M243" s="3381">
        <v>1</v>
      </c>
      <c r="N243" s="3381" t="s">
        <v>3569</v>
      </c>
      <c r="O243" s="3430" t="s">
        <v>3570</v>
      </c>
    </row>
    <row r="244" spans="1:15">
      <c r="A244" s="3587"/>
      <c r="B244" s="3587"/>
      <c r="C244" s="3587"/>
      <c r="D244" s="3587"/>
      <c r="E244" s="3430" t="s">
        <v>3740</v>
      </c>
      <c r="F244" s="3430" t="s">
        <v>3720</v>
      </c>
      <c r="G244" s="3435" t="s">
        <v>3580</v>
      </c>
      <c r="H244" s="3435">
        <v>50.29</v>
      </c>
      <c r="I244" s="3435">
        <f t="shared" si="9"/>
        <v>50.29</v>
      </c>
      <c r="J244" s="3381">
        <v>0</v>
      </c>
      <c r="K244" s="3381"/>
      <c r="L244" s="3582"/>
      <c r="M244" s="3381">
        <v>1</v>
      </c>
      <c r="N244" s="3381" t="s">
        <v>3569</v>
      </c>
      <c r="O244" s="3430" t="s">
        <v>3570</v>
      </c>
    </row>
    <row r="245" spans="1:15">
      <c r="A245" s="3587"/>
      <c r="B245" s="3587"/>
      <c r="C245" s="3587"/>
      <c r="D245" s="3587"/>
      <c r="E245" s="3430" t="s">
        <v>3740</v>
      </c>
      <c r="F245" s="3430" t="s">
        <v>3370</v>
      </c>
      <c r="G245" s="3435" t="s">
        <v>3580</v>
      </c>
      <c r="H245" s="3435">
        <v>33.32</v>
      </c>
      <c r="I245" s="3435">
        <f t="shared" si="9"/>
        <v>33.32</v>
      </c>
      <c r="J245" s="3381">
        <v>0</v>
      </c>
      <c r="K245" s="3381"/>
      <c r="L245" s="3582"/>
      <c r="M245" s="3381">
        <v>1</v>
      </c>
      <c r="N245" s="3381" t="s">
        <v>3569</v>
      </c>
      <c r="O245" s="3430" t="s">
        <v>3570</v>
      </c>
    </row>
    <row r="246" spans="1:15">
      <c r="A246" s="3587"/>
      <c r="B246" s="3587"/>
      <c r="C246" s="3587"/>
      <c r="D246" s="3587"/>
      <c r="E246" s="3430" t="s">
        <v>3740</v>
      </c>
      <c r="F246" s="3430" t="s">
        <v>3371</v>
      </c>
      <c r="G246" s="3435" t="s">
        <v>3580</v>
      </c>
      <c r="H246" s="3435">
        <v>37.71</v>
      </c>
      <c r="I246" s="3435">
        <f t="shared" si="9"/>
        <v>37.71</v>
      </c>
      <c r="J246" s="3381">
        <v>0</v>
      </c>
      <c r="K246" s="3381"/>
      <c r="L246" s="3582"/>
      <c r="M246" s="3381">
        <v>1</v>
      </c>
      <c r="N246" s="3381" t="s">
        <v>3569</v>
      </c>
      <c r="O246" s="3430" t="s">
        <v>3570</v>
      </c>
    </row>
    <row r="247" spans="1:15">
      <c r="A247" s="3587"/>
      <c r="B247" s="3587"/>
      <c r="C247" s="3587"/>
      <c r="D247" s="3587"/>
      <c r="E247" s="3430" t="s">
        <v>3740</v>
      </c>
      <c r="F247" s="3430" t="s">
        <v>3724</v>
      </c>
      <c r="G247" s="3435" t="s">
        <v>3580</v>
      </c>
      <c r="H247" s="3435">
        <v>75.22</v>
      </c>
      <c r="I247" s="3435">
        <f t="shared" si="9"/>
        <v>75.22</v>
      </c>
      <c r="J247" s="3381">
        <v>0</v>
      </c>
      <c r="K247" s="3381"/>
      <c r="L247" s="3582"/>
      <c r="M247" s="3381">
        <v>2</v>
      </c>
      <c r="N247" s="3381" t="s">
        <v>3569</v>
      </c>
      <c r="O247" s="3430" t="s">
        <v>3570</v>
      </c>
    </row>
    <row r="248" spans="1:15">
      <c r="A248" s="3587"/>
      <c r="B248" s="3587"/>
      <c r="C248" s="3587"/>
      <c r="D248" s="3587"/>
      <c r="E248" s="3430" t="s">
        <v>3740</v>
      </c>
      <c r="F248" s="3430" t="s">
        <v>3372</v>
      </c>
      <c r="G248" s="3435" t="s">
        <v>3580</v>
      </c>
      <c r="H248" s="3435">
        <v>140.6</v>
      </c>
      <c r="I248" s="3435">
        <f t="shared" si="9"/>
        <v>140.6</v>
      </c>
      <c r="J248" s="3381">
        <v>0</v>
      </c>
      <c r="K248" s="3381"/>
      <c r="L248" s="3582"/>
      <c r="M248" s="3381">
        <v>2</v>
      </c>
      <c r="N248" s="3381" t="s">
        <v>3569</v>
      </c>
      <c r="O248" s="3430" t="s">
        <v>3570</v>
      </c>
    </row>
    <row r="249" spans="1:15">
      <c r="A249" s="3587"/>
      <c r="B249" s="3587"/>
      <c r="C249" s="3587"/>
      <c r="D249" s="3587"/>
      <c r="E249" s="3430" t="s">
        <v>3740</v>
      </c>
      <c r="F249" s="3430" t="s">
        <v>3726</v>
      </c>
      <c r="G249" s="3435" t="s">
        <v>3580</v>
      </c>
      <c r="H249" s="3435">
        <v>192</v>
      </c>
      <c r="I249" s="3435">
        <f t="shared" si="9"/>
        <v>192</v>
      </c>
      <c r="J249" s="3381">
        <v>0</v>
      </c>
      <c r="K249" s="3381"/>
      <c r="L249" s="3582"/>
      <c r="M249" s="3381">
        <v>2</v>
      </c>
      <c r="N249" s="3381" t="s">
        <v>3569</v>
      </c>
      <c r="O249" s="3430" t="s">
        <v>3594</v>
      </c>
    </row>
    <row r="250" spans="1:15">
      <c r="A250" s="3587"/>
      <c r="B250" s="3587"/>
      <c r="C250" s="3587"/>
      <c r="D250" s="3588"/>
      <c r="E250" s="3430" t="s">
        <v>3740</v>
      </c>
      <c r="F250" s="3430" t="s">
        <v>3753</v>
      </c>
      <c r="G250" s="3435" t="s">
        <v>3754</v>
      </c>
      <c r="H250" s="3435">
        <v>113.1</v>
      </c>
      <c r="I250" s="3435">
        <f t="shared" si="9"/>
        <v>113.1</v>
      </c>
      <c r="J250" s="3381">
        <v>0</v>
      </c>
      <c r="K250" s="3381"/>
      <c r="L250" s="3582"/>
      <c r="M250" s="3381">
        <v>2</v>
      </c>
      <c r="N250" s="3381" t="s">
        <v>3569</v>
      </c>
      <c r="O250" s="3430" t="s">
        <v>3594</v>
      </c>
    </row>
    <row r="251" spans="1:15">
      <c r="A251" s="3587"/>
      <c r="B251" s="3587"/>
      <c r="C251" s="3587"/>
      <c r="D251" s="3586" t="s">
        <v>3880</v>
      </c>
      <c r="E251" s="3430" t="s">
        <v>3740</v>
      </c>
      <c r="F251" s="3430" t="s">
        <v>3755</v>
      </c>
      <c r="G251" s="3435" t="s">
        <v>3589</v>
      </c>
      <c r="H251" s="3435">
        <v>96.3</v>
      </c>
      <c r="I251" s="3435">
        <f t="shared" si="9"/>
        <v>96.3</v>
      </c>
      <c r="J251" s="3381">
        <v>0</v>
      </c>
      <c r="K251" s="3381"/>
      <c r="L251" s="3582"/>
      <c r="M251" s="3381">
        <v>2</v>
      </c>
      <c r="N251" s="3381" t="s">
        <v>3569</v>
      </c>
      <c r="O251" s="3430" t="s">
        <v>3570</v>
      </c>
    </row>
    <row r="252" spans="1:15">
      <c r="A252" s="3587"/>
      <c r="B252" s="3587"/>
      <c r="C252" s="3587"/>
      <c r="D252" s="3587"/>
      <c r="E252" s="3430" t="s">
        <v>3740</v>
      </c>
      <c r="F252" s="3430" t="s">
        <v>3756</v>
      </c>
      <c r="G252" s="3435" t="s">
        <v>3635</v>
      </c>
      <c r="H252" s="3435">
        <v>858.89</v>
      </c>
      <c r="I252" s="3435">
        <f t="shared" si="9"/>
        <v>858.89</v>
      </c>
      <c r="J252" s="3381">
        <v>0</v>
      </c>
      <c r="K252" s="3381"/>
      <c r="L252" s="3582"/>
      <c r="M252" s="3381">
        <v>2</v>
      </c>
      <c r="N252" s="3381" t="s">
        <v>3569</v>
      </c>
      <c r="O252" s="3430" t="s">
        <v>3570</v>
      </c>
    </row>
    <row r="253" spans="1:15">
      <c r="A253" s="3587"/>
      <c r="B253" s="3587"/>
      <c r="C253" s="3587"/>
      <c r="D253" s="3587"/>
      <c r="E253" s="3430" t="s">
        <v>3740</v>
      </c>
      <c r="F253" s="3430" t="s">
        <v>3757</v>
      </c>
      <c r="G253" s="3435" t="s">
        <v>3589</v>
      </c>
      <c r="H253" s="3435">
        <v>130.4</v>
      </c>
      <c r="I253" s="3435">
        <f t="shared" si="9"/>
        <v>130.4</v>
      </c>
      <c r="J253" s="3381">
        <v>0</v>
      </c>
      <c r="K253" s="3381"/>
      <c r="L253" s="3582"/>
      <c r="M253" s="3381">
        <v>2</v>
      </c>
      <c r="N253" s="3381" t="s">
        <v>3569</v>
      </c>
      <c r="O253" s="3430" t="s">
        <v>3570</v>
      </c>
    </row>
    <row r="254" spans="1:15">
      <c r="A254" s="3587"/>
      <c r="B254" s="3587"/>
      <c r="C254" s="3587"/>
      <c r="D254" s="3587"/>
      <c r="E254" s="3430" t="s">
        <v>3740</v>
      </c>
      <c r="F254" s="3430" t="s">
        <v>3758</v>
      </c>
      <c r="G254" s="3435" t="s">
        <v>3589</v>
      </c>
      <c r="H254" s="3435">
        <v>186.88</v>
      </c>
      <c r="I254" s="3435">
        <f t="shared" si="9"/>
        <v>186.88</v>
      </c>
      <c r="J254" s="3381">
        <v>0</v>
      </c>
      <c r="K254" s="3381"/>
      <c r="L254" s="3582"/>
      <c r="M254" s="3381">
        <v>2</v>
      </c>
      <c r="N254" s="3381" t="s">
        <v>3569</v>
      </c>
      <c r="O254" s="3430" t="s">
        <v>3570</v>
      </c>
    </row>
    <row r="255" spans="1:15">
      <c r="A255" s="3587"/>
      <c r="B255" s="3587"/>
      <c r="C255" s="3597"/>
      <c r="D255" s="3597"/>
      <c r="E255" s="3433" t="s">
        <v>3740</v>
      </c>
      <c r="F255" s="3433" t="s">
        <v>3759</v>
      </c>
      <c r="G255" s="3433" t="s">
        <v>3685</v>
      </c>
      <c r="H255" s="3433">
        <v>2283.92</v>
      </c>
      <c r="I255" s="3354">
        <v>1388.32</v>
      </c>
      <c r="J255" s="3354">
        <v>884.86</v>
      </c>
      <c r="K255" s="3383">
        <v>10.74</v>
      </c>
      <c r="L255" s="3582"/>
      <c r="M255" s="3381">
        <v>2</v>
      </c>
      <c r="N255" s="3381">
        <v>1</v>
      </c>
      <c r="O255" s="3430" t="s">
        <v>3570</v>
      </c>
    </row>
    <row r="256" spans="1:15">
      <c r="A256" s="3587"/>
      <c r="B256" s="3587"/>
      <c r="C256" s="3587"/>
      <c r="D256" s="3587"/>
      <c r="E256" s="3430" t="s">
        <v>3740</v>
      </c>
      <c r="F256" s="3430" t="s">
        <v>3760</v>
      </c>
      <c r="G256" s="3435" t="s">
        <v>3685</v>
      </c>
      <c r="H256" s="3435">
        <v>560.38</v>
      </c>
      <c r="I256" s="3435">
        <f t="shared" ref="I256:I270" si="10">H256</f>
        <v>560.38</v>
      </c>
      <c r="J256" s="3381">
        <v>0</v>
      </c>
      <c r="K256" s="3381"/>
      <c r="L256" s="3582"/>
      <c r="M256" s="3381">
        <v>2</v>
      </c>
      <c r="N256" s="3381" t="s">
        <v>3569</v>
      </c>
      <c r="O256" s="3430" t="s">
        <v>3594</v>
      </c>
    </row>
    <row r="257" spans="1:15">
      <c r="A257" s="3587"/>
      <c r="B257" s="3587"/>
      <c r="C257" s="3587"/>
      <c r="D257" s="3587"/>
      <c r="E257" s="3430" t="s">
        <v>3740</v>
      </c>
      <c r="F257" s="3430" t="s">
        <v>3761</v>
      </c>
      <c r="G257" s="3435" t="s">
        <v>3589</v>
      </c>
      <c r="H257" s="3435">
        <v>183.88</v>
      </c>
      <c r="I257" s="3435">
        <f t="shared" si="10"/>
        <v>183.88</v>
      </c>
      <c r="J257" s="3381">
        <v>0</v>
      </c>
      <c r="K257" s="3381"/>
      <c r="L257" s="3582"/>
      <c r="M257" s="3381">
        <v>2</v>
      </c>
      <c r="N257" s="3381" t="s">
        <v>3569</v>
      </c>
      <c r="O257" s="3430" t="s">
        <v>3570</v>
      </c>
    </row>
    <row r="258" spans="1:15">
      <c r="A258" s="3587"/>
      <c r="B258" s="3587"/>
      <c r="C258" s="3587"/>
      <c r="D258" s="3587"/>
      <c r="E258" s="3430" t="s">
        <v>3740</v>
      </c>
      <c r="F258" s="3430" t="s">
        <v>3382</v>
      </c>
      <c r="G258" s="3435" t="s">
        <v>3589</v>
      </c>
      <c r="H258" s="3435">
        <v>100.58</v>
      </c>
      <c r="I258" s="3393">
        <v>50.29</v>
      </c>
      <c r="J258" s="3390">
        <v>0</v>
      </c>
      <c r="K258" s="3389">
        <v>50.29</v>
      </c>
      <c r="L258" s="3582"/>
      <c r="M258" s="3381">
        <v>1</v>
      </c>
      <c r="N258" s="3381" t="s">
        <v>3569</v>
      </c>
      <c r="O258" s="3430" t="s">
        <v>3570</v>
      </c>
    </row>
    <row r="259" spans="1:15">
      <c r="A259" s="3587"/>
      <c r="B259" s="3587"/>
      <c r="C259" s="3587"/>
      <c r="D259" s="3587"/>
      <c r="E259" s="3430" t="s">
        <v>3740</v>
      </c>
      <c r="F259" s="3430" t="s">
        <v>3762</v>
      </c>
      <c r="G259" s="3435" t="s">
        <v>3589</v>
      </c>
      <c r="H259" s="3435">
        <v>98.86</v>
      </c>
      <c r="I259" s="3393">
        <v>49.43</v>
      </c>
      <c r="J259" s="3390">
        <v>0</v>
      </c>
      <c r="K259" s="3389">
        <v>49.43</v>
      </c>
      <c r="L259" s="3582"/>
      <c r="M259" s="3381">
        <v>1</v>
      </c>
      <c r="N259" s="3381" t="s">
        <v>3569</v>
      </c>
      <c r="O259" s="3430" t="s">
        <v>3570</v>
      </c>
    </row>
    <row r="260" spans="1:15">
      <c r="A260" s="3587"/>
      <c r="B260" s="3587"/>
      <c r="C260" s="3587"/>
      <c r="D260" s="3587"/>
      <c r="E260" s="3430" t="s">
        <v>3740</v>
      </c>
      <c r="F260" s="3430" t="s">
        <v>3763</v>
      </c>
      <c r="G260" s="3435" t="s">
        <v>3589</v>
      </c>
      <c r="H260" s="3435">
        <v>28.52</v>
      </c>
      <c r="I260" s="3435">
        <f t="shared" si="10"/>
        <v>28.52</v>
      </c>
      <c r="J260" s="3381">
        <v>0</v>
      </c>
      <c r="K260" s="3381"/>
      <c r="L260" s="3582"/>
      <c r="M260" s="3381">
        <v>1</v>
      </c>
      <c r="N260" s="3381" t="s">
        <v>3569</v>
      </c>
      <c r="O260" s="3430" t="s">
        <v>3570</v>
      </c>
    </row>
    <row r="261" spans="1:15">
      <c r="A261" s="3587"/>
      <c r="B261" s="3587"/>
      <c r="C261" s="3587"/>
      <c r="D261" s="3587"/>
      <c r="E261" s="3430" t="s">
        <v>3740</v>
      </c>
      <c r="F261" s="3430" t="s">
        <v>3764</v>
      </c>
      <c r="G261" s="3435" t="s">
        <v>3765</v>
      </c>
      <c r="H261" s="3435">
        <v>85.47</v>
      </c>
      <c r="I261" s="3435">
        <f t="shared" si="10"/>
        <v>85.47</v>
      </c>
      <c r="J261" s="3381">
        <v>0</v>
      </c>
      <c r="K261" s="3381"/>
      <c r="L261" s="3582"/>
      <c r="M261" s="3381">
        <v>1</v>
      </c>
      <c r="N261" s="3381" t="s">
        <v>3569</v>
      </c>
      <c r="O261" s="3430" t="s">
        <v>3570</v>
      </c>
    </row>
    <row r="262" spans="1:15">
      <c r="A262" s="3587"/>
      <c r="B262" s="3587"/>
      <c r="C262" s="3587"/>
      <c r="D262" s="3587"/>
      <c r="E262" s="3430" t="s">
        <v>3740</v>
      </c>
      <c r="F262" s="3430" t="s">
        <v>3387</v>
      </c>
      <c r="G262" s="3435" t="s">
        <v>3589</v>
      </c>
      <c r="H262" s="3435">
        <v>73.8</v>
      </c>
      <c r="I262" s="3435">
        <f t="shared" si="10"/>
        <v>73.8</v>
      </c>
      <c r="J262" s="3381">
        <v>0</v>
      </c>
      <c r="K262" s="3381"/>
      <c r="L262" s="3582"/>
      <c r="M262" s="3381">
        <v>1</v>
      </c>
      <c r="N262" s="3381" t="s">
        <v>3569</v>
      </c>
      <c r="O262" s="3430" t="s">
        <v>3570</v>
      </c>
    </row>
    <row r="263" spans="1:15">
      <c r="A263" s="3587"/>
      <c r="B263" s="3587"/>
      <c r="C263" s="3587"/>
      <c r="D263" s="3587"/>
      <c r="E263" s="3430" t="s">
        <v>3740</v>
      </c>
      <c r="F263" s="3430" t="s">
        <v>3766</v>
      </c>
      <c r="G263" s="3435" t="s">
        <v>3589</v>
      </c>
      <c r="H263" s="3435">
        <v>110</v>
      </c>
      <c r="I263" s="3435">
        <f t="shared" si="10"/>
        <v>110</v>
      </c>
      <c r="J263" s="3381">
        <v>0</v>
      </c>
      <c r="K263" s="3381"/>
      <c r="L263" s="3582"/>
      <c r="M263" s="3381">
        <v>2</v>
      </c>
      <c r="N263" s="3381" t="s">
        <v>3569</v>
      </c>
      <c r="O263" s="3430" t="s">
        <v>3594</v>
      </c>
    </row>
    <row r="264" spans="1:15">
      <c r="A264" s="3587"/>
      <c r="B264" s="3587"/>
      <c r="C264" s="3587"/>
      <c r="D264" s="3587"/>
      <c r="E264" s="3430" t="s">
        <v>3740</v>
      </c>
      <c r="F264" s="3430" t="s">
        <v>3767</v>
      </c>
      <c r="G264" s="3435" t="s">
        <v>3589</v>
      </c>
      <c r="H264" s="3435">
        <v>51.83</v>
      </c>
      <c r="I264" s="3435">
        <f t="shared" si="10"/>
        <v>51.83</v>
      </c>
      <c r="J264" s="3381">
        <v>0</v>
      </c>
      <c r="K264" s="3381"/>
      <c r="L264" s="3582"/>
      <c r="M264" s="3381">
        <v>1</v>
      </c>
      <c r="N264" s="3381" t="s">
        <v>3569</v>
      </c>
      <c r="O264" s="3430" t="s">
        <v>3570</v>
      </c>
    </row>
    <row r="265" spans="1:15">
      <c r="A265" s="3587"/>
      <c r="B265" s="3587"/>
      <c r="C265" s="3587"/>
      <c r="D265" s="3587"/>
      <c r="E265" s="3430" t="s">
        <v>3740</v>
      </c>
      <c r="F265" s="3430" t="s">
        <v>3390</v>
      </c>
      <c r="G265" s="3435" t="s">
        <v>3589</v>
      </c>
      <c r="H265" s="3435">
        <v>89.23</v>
      </c>
      <c r="I265" s="3435">
        <f t="shared" si="10"/>
        <v>89.23</v>
      </c>
      <c r="J265" s="3381">
        <v>0</v>
      </c>
      <c r="K265" s="3381"/>
      <c r="L265" s="3582"/>
      <c r="M265" s="3381">
        <v>1</v>
      </c>
      <c r="N265" s="3381" t="s">
        <v>3569</v>
      </c>
      <c r="O265" s="3430" t="s">
        <v>3570</v>
      </c>
    </row>
    <row r="266" spans="1:15">
      <c r="A266" s="3587"/>
      <c r="B266" s="3587"/>
      <c r="C266" s="3587"/>
      <c r="D266" s="3587"/>
      <c r="E266" s="3430" t="s">
        <v>3740</v>
      </c>
      <c r="F266" s="3430" t="s">
        <v>3391</v>
      </c>
      <c r="G266" s="3435" t="s">
        <v>3589</v>
      </c>
      <c r="H266" s="3435">
        <v>31.52</v>
      </c>
      <c r="I266" s="3435">
        <f t="shared" si="10"/>
        <v>31.52</v>
      </c>
      <c r="J266" s="3381">
        <v>0</v>
      </c>
      <c r="K266" s="3381"/>
      <c r="L266" s="3582"/>
      <c r="M266" s="3381">
        <v>1</v>
      </c>
      <c r="N266" s="3381" t="s">
        <v>3569</v>
      </c>
      <c r="O266" s="3430" t="s">
        <v>3570</v>
      </c>
    </row>
    <row r="267" spans="1:15">
      <c r="A267" s="3587"/>
      <c r="B267" s="3587"/>
      <c r="C267" s="3587"/>
      <c r="D267" s="3587"/>
      <c r="E267" s="3430" t="s">
        <v>3740</v>
      </c>
      <c r="F267" s="3430" t="s">
        <v>3392</v>
      </c>
      <c r="G267" s="3435" t="s">
        <v>3589</v>
      </c>
      <c r="H267" s="3435">
        <v>108.34</v>
      </c>
      <c r="I267" s="3435">
        <f t="shared" si="10"/>
        <v>108.34</v>
      </c>
      <c r="J267" s="3381">
        <v>0</v>
      </c>
      <c r="K267" s="3381"/>
      <c r="L267" s="3582"/>
      <c r="M267" s="3381">
        <v>1</v>
      </c>
      <c r="N267" s="3381" t="s">
        <v>3569</v>
      </c>
      <c r="O267" s="3430" t="s">
        <v>3594</v>
      </c>
    </row>
    <row r="268" spans="1:15">
      <c r="A268" s="3587"/>
      <c r="B268" s="3587"/>
      <c r="C268" s="3587"/>
      <c r="D268" s="3587"/>
      <c r="E268" s="3430" t="s">
        <v>3740</v>
      </c>
      <c r="F268" s="3430" t="s">
        <v>3393</v>
      </c>
      <c r="G268" s="3435" t="s">
        <v>3589</v>
      </c>
      <c r="H268" s="3435">
        <v>31.66</v>
      </c>
      <c r="I268" s="3435">
        <f t="shared" si="10"/>
        <v>31.66</v>
      </c>
      <c r="J268" s="3381">
        <v>0</v>
      </c>
      <c r="K268" s="3381"/>
      <c r="L268" s="3582"/>
      <c r="M268" s="3381">
        <v>1</v>
      </c>
      <c r="N268" s="3381" t="s">
        <v>3569</v>
      </c>
      <c r="O268" s="3430" t="s">
        <v>3570</v>
      </c>
    </row>
    <row r="269" spans="1:15">
      <c r="A269" s="3587"/>
      <c r="B269" s="3587"/>
      <c r="C269" s="3587"/>
      <c r="D269" s="3587"/>
      <c r="E269" s="3430" t="s">
        <v>3740</v>
      </c>
      <c r="F269" s="3430" t="s">
        <v>3768</v>
      </c>
      <c r="G269" s="3435" t="s">
        <v>3589</v>
      </c>
      <c r="H269" s="3435">
        <v>106.59</v>
      </c>
      <c r="I269" s="3435">
        <f t="shared" si="10"/>
        <v>106.59</v>
      </c>
      <c r="J269" s="3381">
        <v>0</v>
      </c>
      <c r="K269" s="3381"/>
      <c r="L269" s="3582"/>
      <c r="M269" s="3381">
        <v>1</v>
      </c>
      <c r="N269" s="3381" t="s">
        <v>3569</v>
      </c>
      <c r="O269" s="3430" t="s">
        <v>3570</v>
      </c>
    </row>
    <row r="270" spans="1:15">
      <c r="A270" s="3587"/>
      <c r="B270" s="3587"/>
      <c r="C270" s="3587"/>
      <c r="D270" s="3587"/>
      <c r="E270" s="3430" t="s">
        <v>3740</v>
      </c>
      <c r="F270" s="3430" t="s">
        <v>3395</v>
      </c>
      <c r="G270" s="3435" t="s">
        <v>3589</v>
      </c>
      <c r="H270" s="3435">
        <v>43.5</v>
      </c>
      <c r="I270" s="3435">
        <f t="shared" si="10"/>
        <v>43.5</v>
      </c>
      <c r="J270" s="3381">
        <v>0</v>
      </c>
      <c r="K270" s="3381"/>
      <c r="L270" s="3582"/>
      <c r="M270" s="3381">
        <v>1</v>
      </c>
      <c r="N270" s="3381" t="s">
        <v>3569</v>
      </c>
      <c r="O270" s="3430" t="s">
        <v>3570</v>
      </c>
    </row>
    <row r="271" spans="1:15">
      <c r="A271" s="3587"/>
      <c r="B271" s="3587"/>
      <c r="C271" s="3587"/>
      <c r="D271" s="3587"/>
      <c r="E271" s="3430" t="s">
        <v>3740</v>
      </c>
      <c r="F271" s="3430" t="s">
        <v>3396</v>
      </c>
      <c r="G271" s="3435" t="s">
        <v>3589</v>
      </c>
      <c r="H271" s="3435">
        <v>68.900000000000006</v>
      </c>
      <c r="I271" s="3435">
        <f>H271</f>
        <v>68.900000000000006</v>
      </c>
      <c r="J271" s="3381">
        <v>0</v>
      </c>
      <c r="K271" s="3381"/>
      <c r="L271" s="3582"/>
      <c r="M271" s="3381">
        <v>1</v>
      </c>
      <c r="N271" s="3381" t="s">
        <v>3569</v>
      </c>
      <c r="O271" s="3430" t="s">
        <v>3570</v>
      </c>
    </row>
    <row r="272" spans="1:15">
      <c r="A272" s="3587"/>
      <c r="B272" s="3587"/>
      <c r="C272" s="3597"/>
      <c r="D272" s="3597"/>
      <c r="E272" s="3433" t="s">
        <v>3740</v>
      </c>
      <c r="F272" s="3433" t="s">
        <v>3769</v>
      </c>
      <c r="G272" s="3433" t="s">
        <v>3752</v>
      </c>
      <c r="H272" s="3433">
        <v>544.79999999999995</v>
      </c>
      <c r="I272" s="3354">
        <v>491.93</v>
      </c>
      <c r="J272" s="3354">
        <v>52.87</v>
      </c>
      <c r="K272" s="3388"/>
      <c r="L272" s="3582"/>
      <c r="M272" s="3381">
        <v>1</v>
      </c>
      <c r="N272" s="3381">
        <v>1</v>
      </c>
      <c r="O272" s="3430" t="s">
        <v>3570</v>
      </c>
    </row>
    <row r="273" spans="1:15">
      <c r="A273" s="3587"/>
      <c r="B273" s="3587"/>
      <c r="C273" s="3587"/>
      <c r="D273" s="3587"/>
      <c r="E273" s="3430" t="s">
        <v>3740</v>
      </c>
      <c r="F273" s="3430" t="s">
        <v>3770</v>
      </c>
      <c r="G273" s="3435" t="s">
        <v>3685</v>
      </c>
      <c r="H273" s="3435">
        <v>177.15</v>
      </c>
      <c r="I273" s="3435">
        <f>H273</f>
        <v>177.15</v>
      </c>
      <c r="J273" s="3381">
        <v>0</v>
      </c>
      <c r="K273" s="3381"/>
      <c r="L273" s="3582"/>
      <c r="M273" s="3381">
        <v>1</v>
      </c>
      <c r="N273" s="3381" t="s">
        <v>3569</v>
      </c>
      <c r="O273" s="3430" t="s">
        <v>3570</v>
      </c>
    </row>
    <row r="274" spans="1:15">
      <c r="A274" s="3587"/>
      <c r="B274" s="3587"/>
      <c r="C274" s="3587"/>
      <c r="D274" s="3588"/>
      <c r="E274" s="3430" t="s">
        <v>3740</v>
      </c>
      <c r="F274" s="3430" t="s">
        <v>3400</v>
      </c>
      <c r="G274" s="3396" t="s">
        <v>3771</v>
      </c>
      <c r="H274" s="3396">
        <v>240.91</v>
      </c>
      <c r="I274" s="3396">
        <f>H274</f>
        <v>240.91</v>
      </c>
      <c r="J274" s="3389">
        <v>0</v>
      </c>
      <c r="K274" s="3389"/>
      <c r="L274" s="3582"/>
      <c r="M274" s="3381">
        <v>1</v>
      </c>
      <c r="N274" s="3381" t="s">
        <v>3564</v>
      </c>
      <c r="O274" s="3430" t="s">
        <v>3741</v>
      </c>
    </row>
    <row r="275" spans="1:15" ht="36">
      <c r="A275" s="3587"/>
      <c r="B275" s="3587"/>
      <c r="C275" s="3587"/>
      <c r="D275" s="3458" t="s">
        <v>3885</v>
      </c>
      <c r="E275" s="3430" t="s">
        <v>3742</v>
      </c>
      <c r="F275" s="3430" t="s">
        <v>3772</v>
      </c>
      <c r="G275" s="3435" t="s">
        <v>3773</v>
      </c>
      <c r="H275" s="3435">
        <v>35.71</v>
      </c>
      <c r="I275" s="3435">
        <f>H275</f>
        <v>35.71</v>
      </c>
      <c r="J275" s="3381">
        <v>0</v>
      </c>
      <c r="K275" s="3381"/>
      <c r="L275" s="3582"/>
      <c r="M275" s="3381">
        <v>1</v>
      </c>
      <c r="N275" s="3381" t="s">
        <v>3564</v>
      </c>
      <c r="O275" s="3430" t="s">
        <v>3741</v>
      </c>
    </row>
    <row r="276" spans="1:15">
      <c r="A276" s="3587"/>
      <c r="B276" s="3587"/>
      <c r="C276" s="3587"/>
      <c r="D276" s="3586" t="s">
        <v>3887</v>
      </c>
      <c r="E276" s="3430" t="s">
        <v>3742</v>
      </c>
      <c r="F276" s="3430" t="s">
        <v>3774</v>
      </c>
      <c r="G276" s="3435" t="s">
        <v>3773</v>
      </c>
      <c r="H276" s="3435">
        <v>98.89</v>
      </c>
      <c r="I276" s="3435">
        <f t="shared" ref="I276:I291" si="11">H276</f>
        <v>98.89</v>
      </c>
      <c r="J276" s="3381">
        <v>0</v>
      </c>
      <c r="K276" s="3381"/>
      <c r="L276" s="3582"/>
      <c r="M276" s="3381">
        <v>1</v>
      </c>
      <c r="N276" s="3381" t="s">
        <v>23</v>
      </c>
      <c r="O276" s="3430" t="s">
        <v>3113</v>
      </c>
    </row>
    <row r="277" spans="1:15">
      <c r="A277" s="3587"/>
      <c r="B277" s="3587"/>
      <c r="C277" s="3587"/>
      <c r="D277" s="3588"/>
      <c r="E277" s="3430" t="s">
        <v>3775</v>
      </c>
      <c r="F277" s="3430" t="s">
        <v>3404</v>
      </c>
      <c r="G277" s="3435" t="s">
        <v>3246</v>
      </c>
      <c r="H277" s="3435">
        <v>35.15</v>
      </c>
      <c r="I277" s="3435">
        <f t="shared" si="11"/>
        <v>35.15</v>
      </c>
      <c r="J277" s="3381">
        <v>0</v>
      </c>
      <c r="K277" s="3381"/>
      <c r="L277" s="3582"/>
      <c r="M277" s="3381">
        <v>1</v>
      </c>
      <c r="N277" s="3381" t="s">
        <v>23</v>
      </c>
      <c r="O277" s="3430" t="s">
        <v>3113</v>
      </c>
    </row>
    <row r="278" spans="1:15">
      <c r="A278" s="3587"/>
      <c r="B278" s="3587"/>
      <c r="C278" s="3587"/>
      <c r="D278" s="3586" t="s">
        <v>3881</v>
      </c>
      <c r="E278" s="3430" t="s">
        <v>3775</v>
      </c>
      <c r="F278" s="3430" t="s">
        <v>3405</v>
      </c>
      <c r="G278" s="3435" t="s">
        <v>3139</v>
      </c>
      <c r="H278" s="3435">
        <v>118.03</v>
      </c>
      <c r="I278" s="3435">
        <f t="shared" si="11"/>
        <v>118.03</v>
      </c>
      <c r="J278" s="3381">
        <v>0</v>
      </c>
      <c r="K278" s="3381"/>
      <c r="L278" s="3582"/>
      <c r="M278" s="3381">
        <v>1</v>
      </c>
      <c r="N278" s="3381" t="s">
        <v>23</v>
      </c>
      <c r="O278" s="3430" t="s">
        <v>3113</v>
      </c>
    </row>
    <row r="279" spans="1:15">
      <c r="A279" s="3587"/>
      <c r="B279" s="3587"/>
      <c r="C279" s="3587"/>
      <c r="D279" s="3587"/>
      <c r="E279" s="3430" t="s">
        <v>3775</v>
      </c>
      <c r="F279" s="3430" t="s">
        <v>3406</v>
      </c>
      <c r="G279" s="3435" t="s">
        <v>3139</v>
      </c>
      <c r="H279" s="3435">
        <v>82.72</v>
      </c>
      <c r="I279" s="3435">
        <f t="shared" si="11"/>
        <v>82.72</v>
      </c>
      <c r="J279" s="3381">
        <v>0</v>
      </c>
      <c r="K279" s="3381"/>
      <c r="L279" s="3582"/>
      <c r="M279" s="3381">
        <v>2</v>
      </c>
      <c r="N279" s="3381" t="s">
        <v>23</v>
      </c>
      <c r="O279" s="3430" t="s">
        <v>3113</v>
      </c>
    </row>
    <row r="280" spans="1:15">
      <c r="A280" s="3587"/>
      <c r="B280" s="3587"/>
      <c r="C280" s="3587"/>
      <c r="D280" s="3587"/>
      <c r="E280" s="3430" t="s">
        <v>3775</v>
      </c>
      <c r="F280" s="3430" t="s">
        <v>3776</v>
      </c>
      <c r="G280" s="3435" t="s">
        <v>3139</v>
      </c>
      <c r="H280" s="3435">
        <v>82.8</v>
      </c>
      <c r="I280" s="3435">
        <f t="shared" si="11"/>
        <v>82.8</v>
      </c>
      <c r="J280" s="3381">
        <v>0</v>
      </c>
      <c r="K280" s="3381"/>
      <c r="L280" s="3582"/>
      <c r="M280" s="3381">
        <v>1</v>
      </c>
      <c r="N280" s="3381" t="s">
        <v>23</v>
      </c>
      <c r="O280" s="3430" t="s">
        <v>3113</v>
      </c>
    </row>
    <row r="281" spans="1:15">
      <c r="A281" s="3587"/>
      <c r="B281" s="3587"/>
      <c r="C281" s="3587"/>
      <c r="D281" s="3587"/>
      <c r="E281" s="3430" t="s">
        <v>3775</v>
      </c>
      <c r="F281" s="3430" t="s">
        <v>3408</v>
      </c>
      <c r="G281" s="3435" t="s">
        <v>3139</v>
      </c>
      <c r="H281" s="3435">
        <v>57.23</v>
      </c>
      <c r="I281" s="3435">
        <f t="shared" si="11"/>
        <v>57.23</v>
      </c>
      <c r="J281" s="3381">
        <v>0</v>
      </c>
      <c r="K281" s="3381"/>
      <c r="L281" s="3582"/>
      <c r="M281" s="3381">
        <v>1</v>
      </c>
      <c r="N281" s="3381" t="s">
        <v>23</v>
      </c>
      <c r="O281" s="3430" t="s">
        <v>3113</v>
      </c>
    </row>
    <row r="282" spans="1:15">
      <c r="A282" s="3587"/>
      <c r="B282" s="3587"/>
      <c r="C282" s="3587"/>
      <c r="D282" s="3587"/>
      <c r="E282" s="3430" t="s">
        <v>3775</v>
      </c>
      <c r="F282" s="3430" t="s">
        <v>3409</v>
      </c>
      <c r="G282" s="3435" t="s">
        <v>3139</v>
      </c>
      <c r="H282" s="3435">
        <v>98.67</v>
      </c>
      <c r="I282" s="3435">
        <f t="shared" si="11"/>
        <v>98.67</v>
      </c>
      <c r="J282" s="3381">
        <v>0</v>
      </c>
      <c r="K282" s="3381"/>
      <c r="L282" s="3582"/>
      <c r="M282" s="3381">
        <v>1</v>
      </c>
      <c r="N282" s="3381" t="s">
        <v>23</v>
      </c>
      <c r="O282" s="3430" t="s">
        <v>3113</v>
      </c>
    </row>
    <row r="283" spans="1:15">
      <c r="A283" s="3587"/>
      <c r="B283" s="3587"/>
      <c r="C283" s="3587"/>
      <c r="D283" s="3587"/>
      <c r="E283" s="3430" t="s">
        <v>3775</v>
      </c>
      <c r="F283" s="3430" t="s">
        <v>3410</v>
      </c>
      <c r="G283" s="3435" t="s">
        <v>3139</v>
      </c>
      <c r="H283" s="3435">
        <v>15.63</v>
      </c>
      <c r="I283" s="3435">
        <f t="shared" si="11"/>
        <v>15.63</v>
      </c>
      <c r="J283" s="3381">
        <v>0</v>
      </c>
      <c r="K283" s="3381"/>
      <c r="L283" s="3582"/>
      <c r="M283" s="3381">
        <v>1</v>
      </c>
      <c r="N283" s="3381" t="s">
        <v>23</v>
      </c>
      <c r="O283" s="3430" t="s">
        <v>3113</v>
      </c>
    </row>
    <row r="284" spans="1:15">
      <c r="A284" s="3587"/>
      <c r="B284" s="3587"/>
      <c r="C284" s="3587"/>
      <c r="D284" s="3587"/>
      <c r="E284" s="3430" t="s">
        <v>3775</v>
      </c>
      <c r="F284" s="3430" t="s">
        <v>3411</v>
      </c>
      <c r="G284" s="3435" t="s">
        <v>3386</v>
      </c>
      <c r="H284" s="3435">
        <v>111.26</v>
      </c>
      <c r="I284" s="3435">
        <f t="shared" si="11"/>
        <v>111.26</v>
      </c>
      <c r="J284" s="3381">
        <v>0</v>
      </c>
      <c r="K284" s="3381"/>
      <c r="L284" s="3582"/>
      <c r="M284" s="3381">
        <v>1</v>
      </c>
      <c r="N284" s="3381" t="s">
        <v>23</v>
      </c>
      <c r="O284" s="3430" t="s">
        <v>3113</v>
      </c>
    </row>
    <row r="285" spans="1:15">
      <c r="A285" s="3587"/>
      <c r="B285" s="3587"/>
      <c r="C285" s="3587"/>
      <c r="D285" s="3587"/>
      <c r="E285" s="3430" t="s">
        <v>3775</v>
      </c>
      <c r="F285" s="3430" t="s">
        <v>3413</v>
      </c>
      <c r="G285" s="3435" t="s">
        <v>3139</v>
      </c>
      <c r="H285" s="3435">
        <v>24.61</v>
      </c>
      <c r="I285" s="3435">
        <f t="shared" si="11"/>
        <v>24.61</v>
      </c>
      <c r="J285" s="3381">
        <v>0</v>
      </c>
      <c r="K285" s="3381"/>
      <c r="L285" s="3582"/>
      <c r="M285" s="3381">
        <v>1</v>
      </c>
      <c r="N285" s="3381" t="s">
        <v>23</v>
      </c>
      <c r="O285" s="3430" t="s">
        <v>3113</v>
      </c>
    </row>
    <row r="286" spans="1:15">
      <c r="A286" s="3587"/>
      <c r="B286" s="3587"/>
      <c r="C286" s="3587"/>
      <c r="D286" s="3587"/>
      <c r="E286" s="3430" t="s">
        <v>3775</v>
      </c>
      <c r="F286" s="3430" t="s">
        <v>3414</v>
      </c>
      <c r="G286" s="3435" t="s">
        <v>3139</v>
      </c>
      <c r="H286" s="3435">
        <v>81.45</v>
      </c>
      <c r="I286" s="3435">
        <f t="shared" si="11"/>
        <v>81.45</v>
      </c>
      <c r="J286" s="3381">
        <v>0</v>
      </c>
      <c r="K286" s="3381"/>
      <c r="L286" s="3582"/>
      <c r="M286" s="3381">
        <v>1</v>
      </c>
      <c r="N286" s="3381" t="s">
        <v>23</v>
      </c>
      <c r="O286" s="3430" t="s">
        <v>3113</v>
      </c>
    </row>
    <row r="287" spans="1:15">
      <c r="A287" s="3587"/>
      <c r="B287" s="3587"/>
      <c r="C287" s="3587"/>
      <c r="D287" s="3587"/>
      <c r="E287" s="3430" t="s">
        <v>3775</v>
      </c>
      <c r="F287" s="3430" t="s">
        <v>3415</v>
      </c>
      <c r="G287" s="3435" t="s">
        <v>3139</v>
      </c>
      <c r="H287" s="3435">
        <v>44.83</v>
      </c>
      <c r="I287" s="3435">
        <f t="shared" si="11"/>
        <v>44.83</v>
      </c>
      <c r="J287" s="3381">
        <v>0</v>
      </c>
      <c r="K287" s="3381"/>
      <c r="L287" s="3582"/>
      <c r="M287" s="3381">
        <v>1</v>
      </c>
      <c r="N287" s="3381" t="s">
        <v>23</v>
      </c>
      <c r="O287" s="3430" t="s">
        <v>3113</v>
      </c>
    </row>
    <row r="288" spans="1:15">
      <c r="A288" s="3587"/>
      <c r="B288" s="3587"/>
      <c r="C288" s="3587"/>
      <c r="D288" s="3587"/>
      <c r="E288" s="3430" t="s">
        <v>3775</v>
      </c>
      <c r="F288" s="3430" t="s">
        <v>3416</v>
      </c>
      <c r="G288" s="3435" t="s">
        <v>3139</v>
      </c>
      <c r="H288" s="3435">
        <v>328.08</v>
      </c>
      <c r="I288" s="3435">
        <f t="shared" si="11"/>
        <v>328.08</v>
      </c>
      <c r="J288" s="3381">
        <v>0</v>
      </c>
      <c r="K288" s="3381"/>
      <c r="L288" s="3582"/>
      <c r="M288" s="3381">
        <v>2</v>
      </c>
      <c r="N288" s="3381" t="s">
        <v>23</v>
      </c>
      <c r="O288" s="3430" t="s">
        <v>3113</v>
      </c>
    </row>
    <row r="289" spans="1:15">
      <c r="A289" s="3587"/>
      <c r="B289" s="3587"/>
      <c r="C289" s="3587"/>
      <c r="D289" s="3587"/>
      <c r="E289" s="3430" t="s">
        <v>3775</v>
      </c>
      <c r="F289" s="3430" t="s">
        <v>3417</v>
      </c>
      <c r="G289" s="3435" t="s">
        <v>3139</v>
      </c>
      <c r="H289" s="3435">
        <v>51.11</v>
      </c>
      <c r="I289" s="3435">
        <f t="shared" si="11"/>
        <v>51.11</v>
      </c>
      <c r="J289" s="3381">
        <v>0</v>
      </c>
      <c r="K289" s="3381"/>
      <c r="L289" s="3582"/>
      <c r="M289" s="3381">
        <v>1</v>
      </c>
      <c r="N289" s="3381" t="s">
        <v>23</v>
      </c>
      <c r="O289" s="3430" t="s">
        <v>3113</v>
      </c>
    </row>
    <row r="290" spans="1:15">
      <c r="A290" s="3587"/>
      <c r="B290" s="3587"/>
      <c r="C290" s="3587"/>
      <c r="D290" s="3587"/>
      <c r="E290" s="3430" t="s">
        <v>3775</v>
      </c>
      <c r="F290" s="3430" t="s">
        <v>3418</v>
      </c>
      <c r="G290" s="3435" t="s">
        <v>3139</v>
      </c>
      <c r="H290" s="3435">
        <v>60.67</v>
      </c>
      <c r="I290" s="3435">
        <f t="shared" si="11"/>
        <v>60.67</v>
      </c>
      <c r="J290" s="3381">
        <v>0</v>
      </c>
      <c r="K290" s="3381"/>
      <c r="L290" s="3582"/>
      <c r="M290" s="3381">
        <v>1</v>
      </c>
      <c r="N290" s="3381" t="s">
        <v>23</v>
      </c>
      <c r="O290" s="3430" t="s">
        <v>3113</v>
      </c>
    </row>
    <row r="291" spans="1:15">
      <c r="A291" s="3587"/>
      <c r="B291" s="3587"/>
      <c r="C291" s="3587"/>
      <c r="D291" s="3588"/>
      <c r="E291" s="3430" t="s">
        <v>3775</v>
      </c>
      <c r="F291" s="3430" t="s">
        <v>3419</v>
      </c>
      <c r="G291" s="3435" t="s">
        <v>3139</v>
      </c>
      <c r="H291" s="3435">
        <v>44.88</v>
      </c>
      <c r="I291" s="3435">
        <f t="shared" si="11"/>
        <v>44.88</v>
      </c>
      <c r="J291" s="3381">
        <v>0</v>
      </c>
      <c r="K291" s="3381"/>
      <c r="L291" s="3582"/>
      <c r="M291" s="3381">
        <v>1</v>
      </c>
      <c r="N291" s="3381" t="s">
        <v>23</v>
      </c>
      <c r="O291" s="3430" t="s">
        <v>3113</v>
      </c>
    </row>
    <row r="292" spans="1:15">
      <c r="A292" s="3587"/>
      <c r="B292" s="3587"/>
      <c r="C292" s="3587"/>
      <c r="D292" s="3586" t="s">
        <v>3887</v>
      </c>
      <c r="E292" s="3353" t="s">
        <v>3775</v>
      </c>
      <c r="F292" s="3353" t="s">
        <v>3777</v>
      </c>
      <c r="G292" s="3386" t="s">
        <v>3117</v>
      </c>
      <c r="H292" s="3386">
        <v>489.48</v>
      </c>
      <c r="I292" s="3386">
        <v>342.93</v>
      </c>
      <c r="J292" s="3386">
        <v>146.55000000000001</v>
      </c>
      <c r="K292" s="3388"/>
      <c r="L292" s="3582"/>
      <c r="M292" s="3381">
        <v>2</v>
      </c>
      <c r="N292" s="3381">
        <v>1</v>
      </c>
      <c r="O292" s="3430" t="s">
        <v>3099</v>
      </c>
    </row>
    <row r="293" spans="1:15">
      <c r="A293" s="3587"/>
      <c r="B293" s="3587"/>
      <c r="C293" s="3587"/>
      <c r="D293" s="3587"/>
      <c r="E293" s="3430" t="s">
        <v>3775</v>
      </c>
      <c r="F293" s="3430" t="s">
        <v>3421</v>
      </c>
      <c r="G293" s="3435" t="s">
        <v>3246</v>
      </c>
      <c r="H293" s="3435">
        <v>70.650000000000006</v>
      </c>
      <c r="I293" s="3435">
        <f>H293</f>
        <v>70.650000000000006</v>
      </c>
      <c r="J293" s="3381">
        <v>0</v>
      </c>
      <c r="K293" s="3381"/>
      <c r="L293" s="3582"/>
      <c r="M293" s="3381">
        <v>1</v>
      </c>
      <c r="N293" s="3381" t="s">
        <v>23</v>
      </c>
      <c r="O293" s="3430" t="s">
        <v>3113</v>
      </c>
    </row>
    <row r="294" spans="1:15">
      <c r="A294" s="3587"/>
      <c r="B294" s="3587"/>
      <c r="C294" s="3587"/>
      <c r="D294" s="3587"/>
      <c r="E294" s="3430" t="s">
        <v>3775</v>
      </c>
      <c r="F294" s="3430" t="s">
        <v>3422</v>
      </c>
      <c r="G294" s="3435" t="s">
        <v>3246</v>
      </c>
      <c r="H294" s="3435">
        <v>70.650000000000006</v>
      </c>
      <c r="I294" s="3435">
        <f t="shared" ref="I294:I313" si="12">H294</f>
        <v>70.650000000000006</v>
      </c>
      <c r="J294" s="3381">
        <v>0</v>
      </c>
      <c r="K294" s="3381"/>
      <c r="L294" s="3582"/>
      <c r="M294" s="3381">
        <v>1</v>
      </c>
      <c r="N294" s="3381" t="s">
        <v>23</v>
      </c>
      <c r="O294" s="3430" t="s">
        <v>3113</v>
      </c>
    </row>
    <row r="295" spans="1:15">
      <c r="A295" s="3587"/>
      <c r="B295" s="3587"/>
      <c r="C295" s="3587"/>
      <c r="D295" s="3587"/>
      <c r="E295" s="3430" t="s">
        <v>3775</v>
      </c>
      <c r="F295" s="3430" t="s">
        <v>3423</v>
      </c>
      <c r="G295" s="3396" t="s">
        <v>3778</v>
      </c>
      <c r="H295" s="3396">
        <v>67.069999999999993</v>
      </c>
      <c r="I295" s="3396">
        <f t="shared" si="12"/>
        <v>67.069999999999993</v>
      </c>
      <c r="J295" s="3389">
        <v>0</v>
      </c>
      <c r="K295" s="3390"/>
      <c r="L295" s="3582"/>
      <c r="M295" s="3381">
        <v>1</v>
      </c>
      <c r="N295" s="3381" t="s">
        <v>23</v>
      </c>
      <c r="O295" s="3430" t="s">
        <v>3113</v>
      </c>
    </row>
    <row r="296" spans="1:15">
      <c r="A296" s="3587"/>
      <c r="B296" s="3587"/>
      <c r="C296" s="3587"/>
      <c r="D296" s="3587"/>
      <c r="E296" s="3430" t="s">
        <v>3775</v>
      </c>
      <c r="F296" s="3430" t="s">
        <v>3425</v>
      </c>
      <c r="G296" s="3435" t="s">
        <v>3246</v>
      </c>
      <c r="H296" s="3435">
        <v>91.09</v>
      </c>
      <c r="I296" s="3435">
        <f t="shared" si="12"/>
        <v>91.09</v>
      </c>
      <c r="J296" s="3381">
        <v>0</v>
      </c>
      <c r="K296" s="3381"/>
      <c r="L296" s="3582"/>
      <c r="M296" s="3381">
        <v>1</v>
      </c>
      <c r="N296" s="3381" t="s">
        <v>23</v>
      </c>
      <c r="O296" s="3430" t="s">
        <v>3113</v>
      </c>
    </row>
    <row r="297" spans="1:15">
      <c r="A297" s="3587"/>
      <c r="B297" s="3587"/>
      <c r="C297" s="3587"/>
      <c r="D297" s="3587"/>
      <c r="E297" s="3430" t="s">
        <v>3775</v>
      </c>
      <c r="F297" s="3430" t="s">
        <v>3426</v>
      </c>
      <c r="G297" s="3435" t="s">
        <v>3246</v>
      </c>
      <c r="H297" s="3435">
        <v>130.15</v>
      </c>
      <c r="I297" s="3435">
        <f t="shared" si="12"/>
        <v>130.15</v>
      </c>
      <c r="J297" s="3381">
        <v>0</v>
      </c>
      <c r="K297" s="3381"/>
      <c r="L297" s="3582"/>
      <c r="M297" s="3381">
        <v>1</v>
      </c>
      <c r="N297" s="3381" t="s">
        <v>23</v>
      </c>
      <c r="O297" s="3430" t="s">
        <v>3113</v>
      </c>
    </row>
    <row r="298" spans="1:15">
      <c r="A298" s="3587"/>
      <c r="B298" s="3587"/>
      <c r="C298" s="3587"/>
      <c r="D298" s="3588"/>
      <c r="E298" s="3430" t="s">
        <v>3775</v>
      </c>
      <c r="F298" s="3430" t="s">
        <v>3427</v>
      </c>
      <c r="G298" s="3435" t="s">
        <v>3117</v>
      </c>
      <c r="H298" s="3435">
        <v>23.86</v>
      </c>
      <c r="I298" s="3435">
        <f t="shared" si="12"/>
        <v>23.86</v>
      </c>
      <c r="J298" s="3381">
        <v>0</v>
      </c>
      <c r="K298" s="3381"/>
      <c r="L298" s="3582"/>
      <c r="M298" s="3381">
        <v>1</v>
      </c>
      <c r="N298" s="3381" t="s">
        <v>23</v>
      </c>
      <c r="O298" s="3430" t="s">
        <v>3113</v>
      </c>
    </row>
    <row r="299" spans="1:15">
      <c r="A299" s="3587"/>
      <c r="B299" s="3587"/>
      <c r="C299" s="3587"/>
      <c r="D299" s="3586" t="s">
        <v>3880</v>
      </c>
      <c r="E299" s="3430" t="s">
        <v>3775</v>
      </c>
      <c r="F299" s="3430" t="s">
        <v>3779</v>
      </c>
      <c r="G299" s="3435" t="s">
        <v>3139</v>
      </c>
      <c r="H299" s="3435">
        <v>88.85</v>
      </c>
      <c r="I299" s="3435">
        <f t="shared" si="12"/>
        <v>88.85</v>
      </c>
      <c r="J299" s="3381">
        <v>0</v>
      </c>
      <c r="K299" s="3381"/>
      <c r="L299" s="3582"/>
      <c r="M299" s="3381">
        <v>1</v>
      </c>
      <c r="N299" s="3381" t="s">
        <v>23</v>
      </c>
      <c r="O299" s="3430" t="s">
        <v>3113</v>
      </c>
    </row>
    <row r="300" spans="1:15">
      <c r="A300" s="3587"/>
      <c r="B300" s="3587"/>
      <c r="C300" s="3587"/>
      <c r="D300" s="3587"/>
      <c r="E300" s="3430" t="s">
        <v>3775</v>
      </c>
      <c r="F300" s="3430" t="s">
        <v>3430</v>
      </c>
      <c r="G300" s="3435" t="s">
        <v>3139</v>
      </c>
      <c r="H300" s="3435">
        <v>147.24</v>
      </c>
      <c r="I300" s="3435">
        <f t="shared" si="12"/>
        <v>147.24</v>
      </c>
      <c r="J300" s="3381">
        <v>0</v>
      </c>
      <c r="K300" s="3381"/>
      <c r="L300" s="3582"/>
      <c r="M300" s="3381">
        <v>2</v>
      </c>
      <c r="N300" s="3381" t="s">
        <v>23</v>
      </c>
      <c r="O300" s="3430" t="s">
        <v>3099</v>
      </c>
    </row>
    <row r="301" spans="1:15">
      <c r="A301" s="3587"/>
      <c r="B301" s="3587"/>
      <c r="C301" s="3587"/>
      <c r="D301" s="3587"/>
      <c r="E301" s="3430" t="s">
        <v>3775</v>
      </c>
      <c r="F301" s="3430" t="s">
        <v>3780</v>
      </c>
      <c r="G301" s="3435" t="s">
        <v>3139</v>
      </c>
      <c r="H301" s="3435">
        <v>93.56</v>
      </c>
      <c r="I301" s="3435">
        <f t="shared" si="12"/>
        <v>93.56</v>
      </c>
      <c r="J301" s="3381">
        <v>0</v>
      </c>
      <c r="K301" s="3381"/>
      <c r="L301" s="3582"/>
      <c r="M301" s="3381">
        <v>1</v>
      </c>
      <c r="N301" s="3381" t="s">
        <v>23</v>
      </c>
      <c r="O301" s="3430" t="s">
        <v>3113</v>
      </c>
    </row>
    <row r="302" spans="1:15">
      <c r="A302" s="3587"/>
      <c r="B302" s="3587"/>
      <c r="C302" s="3587"/>
      <c r="D302" s="3587"/>
      <c r="E302" s="3430" t="s">
        <v>3775</v>
      </c>
      <c r="F302" s="3430" t="s">
        <v>3781</v>
      </c>
      <c r="G302" s="3435" t="s">
        <v>3139</v>
      </c>
      <c r="H302" s="3435">
        <v>30.6</v>
      </c>
      <c r="I302" s="3435">
        <f t="shared" si="12"/>
        <v>30.6</v>
      </c>
      <c r="J302" s="3381">
        <v>0</v>
      </c>
      <c r="K302" s="3381"/>
      <c r="L302" s="3582"/>
      <c r="M302" s="3381">
        <v>1</v>
      </c>
      <c r="N302" s="3381" t="s">
        <v>23</v>
      </c>
      <c r="O302" s="3430" t="s">
        <v>3113</v>
      </c>
    </row>
    <row r="303" spans="1:15">
      <c r="A303" s="3587"/>
      <c r="B303" s="3587"/>
      <c r="C303" s="3587"/>
      <c r="D303" s="3587"/>
      <c r="E303" s="3430" t="s">
        <v>3775</v>
      </c>
      <c r="F303" s="3430" t="s">
        <v>3433</v>
      </c>
      <c r="G303" s="3435" t="s">
        <v>3139</v>
      </c>
      <c r="H303" s="3435">
        <v>90.81</v>
      </c>
      <c r="I303" s="3435">
        <f t="shared" si="12"/>
        <v>90.81</v>
      </c>
      <c r="J303" s="3381">
        <v>0</v>
      </c>
      <c r="K303" s="3381"/>
      <c r="L303" s="3582"/>
      <c r="M303" s="3381">
        <v>1</v>
      </c>
      <c r="N303" s="3381" t="s">
        <v>23</v>
      </c>
      <c r="O303" s="3430" t="s">
        <v>3113</v>
      </c>
    </row>
    <row r="304" spans="1:15">
      <c r="A304" s="3587"/>
      <c r="B304" s="3587"/>
      <c r="C304" s="3587"/>
      <c r="D304" s="3587"/>
      <c r="E304" s="3430" t="s">
        <v>3775</v>
      </c>
      <c r="F304" s="3430" t="s">
        <v>3434</v>
      </c>
      <c r="G304" s="3435" t="s">
        <v>3139</v>
      </c>
      <c r="H304" s="3435">
        <v>60.48</v>
      </c>
      <c r="I304" s="3435">
        <f t="shared" si="12"/>
        <v>60.48</v>
      </c>
      <c r="J304" s="3381">
        <v>0</v>
      </c>
      <c r="K304" s="3381"/>
      <c r="L304" s="3582"/>
      <c r="M304" s="3381">
        <v>1</v>
      </c>
      <c r="N304" s="3381" t="s">
        <v>23</v>
      </c>
      <c r="O304" s="3430" t="s">
        <v>3113</v>
      </c>
    </row>
    <row r="305" spans="1:15">
      <c r="A305" s="3587"/>
      <c r="B305" s="3587"/>
      <c r="C305" s="3587"/>
      <c r="D305" s="3587"/>
      <c r="E305" s="3430" t="s">
        <v>3775</v>
      </c>
      <c r="F305" s="3430" t="s">
        <v>3435</v>
      </c>
      <c r="G305" s="3435" t="s">
        <v>3139</v>
      </c>
      <c r="H305" s="3435">
        <v>72.650000000000006</v>
      </c>
      <c r="I305" s="3435">
        <f t="shared" si="12"/>
        <v>72.650000000000006</v>
      </c>
      <c r="J305" s="3381">
        <v>0</v>
      </c>
      <c r="K305" s="3381"/>
      <c r="L305" s="3582"/>
      <c r="M305" s="3381">
        <v>2</v>
      </c>
      <c r="N305" s="3381" t="s">
        <v>23</v>
      </c>
      <c r="O305" s="3430" t="s">
        <v>3113</v>
      </c>
    </row>
    <row r="306" spans="1:15">
      <c r="A306" s="3587"/>
      <c r="B306" s="3587"/>
      <c r="C306" s="3587"/>
      <c r="D306" s="3588"/>
      <c r="E306" s="3430" t="s">
        <v>3775</v>
      </c>
      <c r="F306" s="3430" t="s">
        <v>3436</v>
      </c>
      <c r="G306" s="3435" t="s">
        <v>3139</v>
      </c>
      <c r="H306" s="3435">
        <v>13.88</v>
      </c>
      <c r="I306" s="3435">
        <f t="shared" si="12"/>
        <v>13.88</v>
      </c>
      <c r="J306" s="3381">
        <v>0</v>
      </c>
      <c r="K306" s="3381"/>
      <c r="L306" s="3582"/>
      <c r="M306" s="3381">
        <v>1</v>
      </c>
      <c r="N306" s="3381" t="s">
        <v>23</v>
      </c>
      <c r="O306" s="3430" t="s">
        <v>3113</v>
      </c>
    </row>
    <row r="307" spans="1:15">
      <c r="A307" s="3587"/>
      <c r="B307" s="3587"/>
      <c r="C307" s="3587"/>
      <c r="D307" s="3586" t="s">
        <v>3887</v>
      </c>
      <c r="E307" s="3430" t="s">
        <v>3775</v>
      </c>
      <c r="F307" s="3430" t="s">
        <v>3782</v>
      </c>
      <c r="G307" s="3435" t="s">
        <v>3246</v>
      </c>
      <c r="H307" s="3435">
        <v>195.82</v>
      </c>
      <c r="I307" s="3435">
        <f t="shared" si="12"/>
        <v>195.82</v>
      </c>
      <c r="J307" s="3381">
        <v>0</v>
      </c>
      <c r="K307" s="3381"/>
      <c r="L307" s="3582"/>
      <c r="M307" s="3381">
        <v>1</v>
      </c>
      <c r="N307" s="3381" t="s">
        <v>23</v>
      </c>
      <c r="O307" s="3430" t="s">
        <v>3099</v>
      </c>
    </row>
    <row r="308" spans="1:15">
      <c r="A308" s="3587"/>
      <c r="B308" s="3587"/>
      <c r="C308" s="3587"/>
      <c r="D308" s="3587"/>
      <c r="E308" s="3430" t="s">
        <v>3775</v>
      </c>
      <c r="F308" s="3430" t="s">
        <v>3783</v>
      </c>
      <c r="G308" s="3435" t="s">
        <v>3246</v>
      </c>
      <c r="H308" s="3435">
        <v>50.35</v>
      </c>
      <c r="I308" s="3435">
        <f t="shared" si="12"/>
        <v>50.35</v>
      </c>
      <c r="J308" s="3381">
        <v>0</v>
      </c>
      <c r="K308" s="3381"/>
      <c r="L308" s="3582"/>
      <c r="M308" s="3381">
        <v>1</v>
      </c>
      <c r="N308" s="3381" t="s">
        <v>23</v>
      </c>
      <c r="O308" s="3430" t="s">
        <v>3099</v>
      </c>
    </row>
    <row r="309" spans="1:15">
      <c r="A309" s="3587"/>
      <c r="B309" s="3587"/>
      <c r="C309" s="3587"/>
      <c r="D309" s="3587"/>
      <c r="E309" s="3430" t="s">
        <v>3775</v>
      </c>
      <c r="F309" s="3430" t="s">
        <v>3439</v>
      </c>
      <c r="G309" s="3435" t="s">
        <v>3246</v>
      </c>
      <c r="H309" s="3435">
        <v>70.59</v>
      </c>
      <c r="I309" s="3435">
        <f t="shared" si="12"/>
        <v>70.59</v>
      </c>
      <c r="J309" s="3381">
        <v>0</v>
      </c>
      <c r="K309" s="3381"/>
      <c r="L309" s="3582"/>
      <c r="M309" s="3381">
        <v>1</v>
      </c>
      <c r="N309" s="3381" t="s">
        <v>23</v>
      </c>
      <c r="O309" s="3430" t="s">
        <v>3099</v>
      </c>
    </row>
    <row r="310" spans="1:15">
      <c r="A310" s="3587"/>
      <c r="B310" s="3587"/>
      <c r="C310" s="3587"/>
      <c r="D310" s="3588"/>
      <c r="E310" s="3430" t="s">
        <v>3775</v>
      </c>
      <c r="F310" s="3430" t="s">
        <v>3440</v>
      </c>
      <c r="G310" s="3435" t="s">
        <v>3246</v>
      </c>
      <c r="H310" s="3435">
        <v>59.79</v>
      </c>
      <c r="I310" s="3435">
        <f t="shared" si="12"/>
        <v>59.79</v>
      </c>
      <c r="J310" s="3381">
        <v>0</v>
      </c>
      <c r="K310" s="3381"/>
      <c r="L310" s="3582"/>
      <c r="M310" s="3381">
        <v>1</v>
      </c>
      <c r="N310" s="3381" t="s">
        <v>23</v>
      </c>
      <c r="O310" s="3430" t="s">
        <v>3113</v>
      </c>
    </row>
    <row r="311" spans="1:15" ht="36">
      <c r="A311" s="3587"/>
      <c r="B311" s="3587"/>
      <c r="C311" s="3587"/>
      <c r="D311" s="3458" t="s">
        <v>3880</v>
      </c>
      <c r="E311" s="3430" t="s">
        <v>3775</v>
      </c>
      <c r="F311" s="3430" t="s">
        <v>3441</v>
      </c>
      <c r="G311" s="3435" t="s">
        <v>3442</v>
      </c>
      <c r="H311" s="3435">
        <v>155.80000000000001</v>
      </c>
      <c r="I311" s="3435">
        <f t="shared" si="12"/>
        <v>155.80000000000001</v>
      </c>
      <c r="J311" s="3381">
        <v>0</v>
      </c>
      <c r="K311" s="3381"/>
      <c r="L311" s="3582"/>
      <c r="M311" s="3381">
        <v>2</v>
      </c>
      <c r="N311" s="3381" t="s">
        <v>23</v>
      </c>
      <c r="O311" s="3430" t="s">
        <v>3099</v>
      </c>
    </row>
    <row r="312" spans="1:15" ht="36">
      <c r="A312" s="3587"/>
      <c r="B312" s="3587"/>
      <c r="C312" s="3587"/>
      <c r="D312" s="3458" t="s">
        <v>3884</v>
      </c>
      <c r="E312" s="3430" t="s">
        <v>3775</v>
      </c>
      <c r="F312" s="3430" t="s">
        <v>3784</v>
      </c>
      <c r="G312" s="3435" t="s">
        <v>3246</v>
      </c>
      <c r="H312" s="3435">
        <v>26.11</v>
      </c>
      <c r="I312" s="3435">
        <f t="shared" si="12"/>
        <v>26.11</v>
      </c>
      <c r="J312" s="3381">
        <v>0</v>
      </c>
      <c r="K312" s="3381"/>
      <c r="L312" s="3582"/>
      <c r="M312" s="3381">
        <v>1</v>
      </c>
      <c r="N312" s="3381" t="s">
        <v>23</v>
      </c>
      <c r="O312" s="3430" t="s">
        <v>3099</v>
      </c>
    </row>
    <row r="313" spans="1:15" ht="36">
      <c r="A313" s="3587"/>
      <c r="B313" s="3587"/>
      <c r="C313" s="3587"/>
      <c r="D313" s="3458" t="s">
        <v>3880</v>
      </c>
      <c r="E313" s="3430" t="s">
        <v>3775</v>
      </c>
      <c r="F313" s="3430" t="s">
        <v>3444</v>
      </c>
      <c r="G313" s="3435" t="s">
        <v>3132</v>
      </c>
      <c r="H313" s="3435">
        <v>84.94</v>
      </c>
      <c r="I313" s="3435">
        <f t="shared" si="12"/>
        <v>84.94</v>
      </c>
      <c r="J313" s="3381">
        <v>0</v>
      </c>
      <c r="K313" s="3381"/>
      <c r="L313" s="3582"/>
      <c r="M313" s="3381">
        <v>1</v>
      </c>
      <c r="N313" s="3381" t="s">
        <v>23</v>
      </c>
      <c r="O313" s="3430" t="s">
        <v>3099</v>
      </c>
    </row>
    <row r="314" spans="1:15">
      <c r="A314" s="3587"/>
      <c r="B314" s="3587"/>
      <c r="C314" s="3587"/>
      <c r="D314" s="3586" t="s">
        <v>3887</v>
      </c>
      <c r="E314" s="3430" t="s">
        <v>3775</v>
      </c>
      <c r="F314" s="3430" t="s">
        <v>3445</v>
      </c>
      <c r="G314" s="3396" t="s">
        <v>3778</v>
      </c>
      <c r="H314" s="3396">
        <v>22.47</v>
      </c>
      <c r="I314" s="3396">
        <f>H314</f>
        <v>22.47</v>
      </c>
      <c r="J314" s="3389">
        <v>0</v>
      </c>
      <c r="K314" s="3390"/>
      <c r="L314" s="3582"/>
      <c r="M314" s="3381">
        <v>1</v>
      </c>
      <c r="N314" s="3381" t="s">
        <v>23</v>
      </c>
      <c r="O314" s="3430" t="s">
        <v>3113</v>
      </c>
    </row>
    <row r="315" spans="1:15">
      <c r="A315" s="3588"/>
      <c r="B315" s="3588"/>
      <c r="C315" s="3598"/>
      <c r="D315" s="3598"/>
      <c r="E315" s="3433" t="s">
        <v>3775</v>
      </c>
      <c r="F315" s="3433" t="s">
        <v>3785</v>
      </c>
      <c r="G315" s="3433" t="s">
        <v>3246</v>
      </c>
      <c r="H315" s="3433">
        <v>766.52</v>
      </c>
      <c r="I315" s="3433">
        <v>0</v>
      </c>
      <c r="J315" s="3391">
        <f>H315</f>
        <v>766.52</v>
      </c>
      <c r="K315" s="3381"/>
      <c r="L315" s="3580"/>
      <c r="M315" s="3381" t="s">
        <v>23</v>
      </c>
      <c r="N315" s="3381">
        <v>1</v>
      </c>
      <c r="O315" s="3430" t="s">
        <v>3113</v>
      </c>
    </row>
    <row r="316" spans="1:15" ht="36">
      <c r="A316" s="3579">
        <v>9</v>
      </c>
      <c r="B316" s="3579" t="s">
        <v>3447</v>
      </c>
      <c r="C316" s="3586" t="s">
        <v>3448</v>
      </c>
      <c r="D316" s="3458" t="s">
        <v>3883</v>
      </c>
      <c r="E316" s="3430" t="s">
        <v>3786</v>
      </c>
      <c r="F316" s="3430" t="s">
        <v>3097</v>
      </c>
      <c r="G316" s="3393" t="s">
        <v>3450</v>
      </c>
      <c r="H316" s="3393">
        <v>400.5</v>
      </c>
      <c r="I316" s="3393">
        <f>H316</f>
        <v>400.5</v>
      </c>
      <c r="J316" s="3381">
        <v>0</v>
      </c>
      <c r="K316" s="3381"/>
      <c r="L316" s="3579">
        <v>54203.81</v>
      </c>
      <c r="M316" s="3381">
        <v>1</v>
      </c>
      <c r="N316" s="3381" t="s">
        <v>23</v>
      </c>
      <c r="O316" s="3430" t="s">
        <v>3099</v>
      </c>
    </row>
    <row r="317" spans="1:15" ht="24">
      <c r="A317" s="3582"/>
      <c r="B317" s="3582"/>
      <c r="C317" s="3587"/>
      <c r="D317" s="3586" t="s">
        <v>3870</v>
      </c>
      <c r="E317" s="3430" t="s">
        <v>3786</v>
      </c>
      <c r="F317" s="3430"/>
      <c r="G317" s="3393" t="s">
        <v>3787</v>
      </c>
      <c r="H317" s="3393">
        <v>1263.3900000000001</v>
      </c>
      <c r="I317" s="3393">
        <f>H317</f>
        <v>1263.3900000000001</v>
      </c>
      <c r="J317" s="3381">
        <v>0</v>
      </c>
      <c r="K317" s="3381"/>
      <c r="L317" s="3582"/>
      <c r="M317" s="3381">
        <v>1</v>
      </c>
      <c r="N317" s="3381" t="s">
        <v>23</v>
      </c>
      <c r="O317" s="3430"/>
    </row>
    <row r="318" spans="1:15" ht="24">
      <c r="A318" s="3580"/>
      <c r="B318" s="3580"/>
      <c r="C318" s="3598"/>
      <c r="D318" s="3598"/>
      <c r="E318" s="3433" t="s">
        <v>3786</v>
      </c>
      <c r="F318" s="3433" t="s">
        <v>3109</v>
      </c>
      <c r="G318" s="3433" t="s">
        <v>3452</v>
      </c>
      <c r="H318" s="3433">
        <v>71652.91</v>
      </c>
      <c r="I318" s="3354">
        <v>58334.3</v>
      </c>
      <c r="J318" s="3354">
        <v>12400.55</v>
      </c>
      <c r="K318" s="3383">
        <v>918.06</v>
      </c>
      <c r="L318" s="3580"/>
      <c r="M318" s="3381">
        <v>6</v>
      </c>
      <c r="N318" s="3381">
        <v>1</v>
      </c>
      <c r="O318" s="3430" t="s">
        <v>3099</v>
      </c>
    </row>
    <row r="319" spans="1:15" ht="50.25" customHeight="1">
      <c r="A319" s="3575">
        <v>10</v>
      </c>
      <c r="B319" s="3575" t="s">
        <v>3788</v>
      </c>
      <c r="C319" s="3590" t="s">
        <v>3454</v>
      </c>
      <c r="D319" s="3600" t="s">
        <v>3875</v>
      </c>
      <c r="E319" s="3430" t="s">
        <v>3456</v>
      </c>
      <c r="F319" s="3430" t="s">
        <v>3097</v>
      </c>
      <c r="G319" s="3393" t="s">
        <v>3117</v>
      </c>
      <c r="H319" s="3393">
        <v>147.5</v>
      </c>
      <c r="I319" s="3393">
        <f>H319</f>
        <v>147.5</v>
      </c>
      <c r="J319" s="3381">
        <v>0</v>
      </c>
      <c r="K319" s="3381"/>
      <c r="L319" s="3579">
        <v>37234.080000000002</v>
      </c>
      <c r="M319" s="3381">
        <v>2</v>
      </c>
      <c r="N319" s="3381" t="s">
        <v>23</v>
      </c>
      <c r="O319" s="3430" t="s">
        <v>3099</v>
      </c>
    </row>
    <row r="320" spans="1:15">
      <c r="A320" s="3575"/>
      <c r="B320" s="3575"/>
      <c r="C320" s="3590"/>
      <c r="D320" s="3600"/>
      <c r="E320" s="3430" t="s">
        <v>3456</v>
      </c>
      <c r="F320" s="3430" t="s">
        <v>3184</v>
      </c>
      <c r="G320" s="3393" t="s">
        <v>3117</v>
      </c>
      <c r="H320" s="3393">
        <v>33.869999999999997</v>
      </c>
      <c r="I320" s="3393">
        <f>H320</f>
        <v>33.869999999999997</v>
      </c>
      <c r="J320" s="3381">
        <v>0</v>
      </c>
      <c r="K320" s="3381"/>
      <c r="L320" s="3582"/>
      <c r="M320" s="3381">
        <v>1</v>
      </c>
      <c r="N320" s="3381" t="s">
        <v>23</v>
      </c>
      <c r="O320" s="3430" t="s">
        <v>3099</v>
      </c>
    </row>
    <row r="321" spans="1:15">
      <c r="A321" s="3575"/>
      <c r="B321" s="3575"/>
      <c r="C321" s="3590"/>
      <c r="D321" s="3600"/>
      <c r="E321" s="3430" t="s">
        <v>3456</v>
      </c>
      <c r="F321" s="3430" t="s">
        <v>3185</v>
      </c>
      <c r="G321" s="3393" t="s">
        <v>3117</v>
      </c>
      <c r="H321" s="3393">
        <v>18.93</v>
      </c>
      <c r="I321" s="3393">
        <f>H321</f>
        <v>18.93</v>
      </c>
      <c r="J321" s="3381">
        <v>0</v>
      </c>
      <c r="K321" s="3381"/>
      <c r="L321" s="3582"/>
      <c r="M321" s="3381">
        <v>1</v>
      </c>
      <c r="N321" s="3381" t="s">
        <v>3789</v>
      </c>
      <c r="O321" s="3430" t="s">
        <v>3790</v>
      </c>
    </row>
    <row r="322" spans="1:15">
      <c r="A322" s="3575"/>
      <c r="B322" s="3575"/>
      <c r="C322" s="3590"/>
      <c r="D322" s="3600"/>
      <c r="E322" s="3430" t="s">
        <v>3791</v>
      </c>
      <c r="F322" s="3430" t="s">
        <v>3792</v>
      </c>
      <c r="G322" s="3393" t="s">
        <v>3793</v>
      </c>
      <c r="H322" s="3393">
        <v>234.11</v>
      </c>
      <c r="I322" s="3393">
        <f>H322</f>
        <v>234.11</v>
      </c>
      <c r="J322" s="3381">
        <v>0</v>
      </c>
      <c r="K322" s="3381"/>
      <c r="L322" s="3582"/>
      <c r="M322" s="3381">
        <v>2</v>
      </c>
      <c r="N322" s="3381" t="s">
        <v>3794</v>
      </c>
      <c r="O322" s="3430" t="s">
        <v>3795</v>
      </c>
    </row>
    <row r="323" spans="1:15">
      <c r="A323" s="3575"/>
      <c r="B323" s="3575"/>
      <c r="C323" s="3599"/>
      <c r="D323" s="3601"/>
      <c r="E323" s="3433" t="s">
        <v>3796</v>
      </c>
      <c r="F323" s="3433" t="s">
        <v>3797</v>
      </c>
      <c r="G323" s="3433" t="s">
        <v>3798</v>
      </c>
      <c r="H323" s="3433">
        <v>357.3</v>
      </c>
      <c r="I323" s="3354">
        <v>251.44</v>
      </c>
      <c r="J323" s="3354">
        <v>105.86</v>
      </c>
      <c r="K323" s="3381"/>
      <c r="L323" s="3582"/>
      <c r="M323" s="3381">
        <v>2</v>
      </c>
      <c r="N323" s="3381">
        <v>1</v>
      </c>
      <c r="O323" s="3430" t="s">
        <v>3795</v>
      </c>
    </row>
    <row r="324" spans="1:15">
      <c r="A324" s="3575"/>
      <c r="B324" s="3575"/>
      <c r="C324" s="3590"/>
      <c r="D324" s="3600"/>
      <c r="E324" s="3430" t="s">
        <v>3796</v>
      </c>
      <c r="F324" s="3430" t="s">
        <v>3799</v>
      </c>
      <c r="G324" s="3393" t="s">
        <v>3798</v>
      </c>
      <c r="H324" s="3393">
        <v>92.89</v>
      </c>
      <c r="I324" s="3380">
        <f>H324</f>
        <v>92.89</v>
      </c>
      <c r="J324" s="3380">
        <v>0</v>
      </c>
      <c r="K324" s="3381"/>
      <c r="L324" s="3582"/>
      <c r="M324" s="3381">
        <v>1</v>
      </c>
      <c r="N324" s="3381" t="s">
        <v>23</v>
      </c>
      <c r="O324" s="3430" t="s">
        <v>3099</v>
      </c>
    </row>
    <row r="325" spans="1:15">
      <c r="A325" s="3575"/>
      <c r="B325" s="3575"/>
      <c r="C325" s="3590"/>
      <c r="D325" s="3600"/>
      <c r="E325" s="3430" t="s">
        <v>3456</v>
      </c>
      <c r="F325" s="3430" t="s">
        <v>3317</v>
      </c>
      <c r="G325" s="3393" t="s">
        <v>3117</v>
      </c>
      <c r="H325" s="3393">
        <v>49.37</v>
      </c>
      <c r="I325" s="3380">
        <f>H325</f>
        <v>49.37</v>
      </c>
      <c r="J325" s="3380">
        <v>0</v>
      </c>
      <c r="K325" s="3381"/>
      <c r="L325" s="3582"/>
      <c r="M325" s="3381">
        <v>1</v>
      </c>
      <c r="N325" s="3381" t="s">
        <v>23</v>
      </c>
      <c r="O325" s="3430" t="s">
        <v>3099</v>
      </c>
    </row>
    <row r="326" spans="1:15">
      <c r="A326" s="3575"/>
      <c r="B326" s="3575"/>
      <c r="C326" s="3590"/>
      <c r="D326" s="3600"/>
      <c r="E326" s="3430" t="s">
        <v>3456</v>
      </c>
      <c r="F326" s="3430" t="s">
        <v>3318</v>
      </c>
      <c r="G326" s="3393" t="s">
        <v>3117</v>
      </c>
      <c r="H326" s="3393">
        <v>39.46</v>
      </c>
      <c r="I326" s="3393">
        <f t="shared" ref="I326:I336" si="13">H326</f>
        <v>39.46</v>
      </c>
      <c r="J326" s="3381">
        <v>0</v>
      </c>
      <c r="K326" s="3381"/>
      <c r="L326" s="3582"/>
      <c r="M326" s="3381">
        <v>1</v>
      </c>
      <c r="N326" s="3381" t="s">
        <v>23</v>
      </c>
      <c r="O326" s="3430" t="s">
        <v>3099</v>
      </c>
    </row>
    <row r="327" spans="1:15">
      <c r="A327" s="3575"/>
      <c r="B327" s="3575"/>
      <c r="C327" s="3590"/>
      <c r="D327" s="3600"/>
      <c r="E327" s="3430" t="s">
        <v>3456</v>
      </c>
      <c r="F327" s="3430" t="s">
        <v>3116</v>
      </c>
      <c r="G327" s="3393" t="s">
        <v>3117</v>
      </c>
      <c r="H327" s="3393">
        <v>158.56</v>
      </c>
      <c r="I327" s="3393">
        <f t="shared" si="13"/>
        <v>158.56</v>
      </c>
      <c r="J327" s="3381">
        <v>0</v>
      </c>
      <c r="K327" s="3381"/>
      <c r="L327" s="3582"/>
      <c r="M327" s="3381">
        <v>2</v>
      </c>
      <c r="N327" s="3381" t="s">
        <v>23</v>
      </c>
      <c r="O327" s="3430" t="s">
        <v>3099</v>
      </c>
    </row>
    <row r="328" spans="1:15">
      <c r="A328" s="3575"/>
      <c r="B328" s="3575"/>
      <c r="C328" s="3590"/>
      <c r="D328" s="3600"/>
      <c r="E328" s="3430" t="s">
        <v>3456</v>
      </c>
      <c r="F328" s="3430" t="s">
        <v>3118</v>
      </c>
      <c r="G328" s="3393" t="s">
        <v>3117</v>
      </c>
      <c r="H328" s="3393">
        <v>42.04</v>
      </c>
      <c r="I328" s="3393">
        <f t="shared" si="13"/>
        <v>42.04</v>
      </c>
      <c r="J328" s="3381">
        <v>0</v>
      </c>
      <c r="K328" s="3381"/>
      <c r="L328" s="3582"/>
      <c r="M328" s="3381">
        <v>1</v>
      </c>
      <c r="N328" s="3381" t="s">
        <v>23</v>
      </c>
      <c r="O328" s="3430" t="s">
        <v>3099</v>
      </c>
    </row>
    <row r="329" spans="1:15">
      <c r="A329" s="3575"/>
      <c r="B329" s="3575"/>
      <c r="C329" s="3590"/>
      <c r="D329" s="3600"/>
      <c r="E329" s="3430" t="s">
        <v>3456</v>
      </c>
      <c r="F329" s="3430" t="s">
        <v>3321</v>
      </c>
      <c r="G329" s="3393" t="s">
        <v>3117</v>
      </c>
      <c r="H329" s="3393">
        <v>41.63</v>
      </c>
      <c r="I329" s="3393">
        <f t="shared" si="13"/>
        <v>41.63</v>
      </c>
      <c r="J329" s="3381">
        <v>0</v>
      </c>
      <c r="K329" s="3381"/>
      <c r="L329" s="3582"/>
      <c r="M329" s="3381">
        <v>1</v>
      </c>
      <c r="N329" s="3381" t="s">
        <v>23</v>
      </c>
      <c r="O329" s="3430" t="s">
        <v>3099</v>
      </c>
    </row>
    <row r="330" spans="1:15">
      <c r="A330" s="3575"/>
      <c r="B330" s="3575"/>
      <c r="C330" s="3590"/>
      <c r="D330" s="3600"/>
      <c r="E330" s="3430" t="s">
        <v>3456</v>
      </c>
      <c r="F330" s="3430" t="s">
        <v>3458</v>
      </c>
      <c r="G330" s="3393" t="s">
        <v>3117</v>
      </c>
      <c r="H330" s="3393">
        <v>96.94</v>
      </c>
      <c r="I330" s="3393">
        <f t="shared" si="13"/>
        <v>96.94</v>
      </c>
      <c r="J330" s="3381">
        <v>0</v>
      </c>
      <c r="K330" s="3381"/>
      <c r="L330" s="3582"/>
      <c r="M330" s="3381">
        <v>1</v>
      </c>
      <c r="N330" s="3381" t="s">
        <v>23</v>
      </c>
      <c r="O330" s="3430" t="s">
        <v>3099</v>
      </c>
    </row>
    <row r="331" spans="1:15">
      <c r="A331" s="3575"/>
      <c r="B331" s="3575"/>
      <c r="C331" s="3590"/>
      <c r="D331" s="3600"/>
      <c r="E331" s="3430" t="s">
        <v>3456</v>
      </c>
      <c r="F331" s="3430" t="s">
        <v>3459</v>
      </c>
      <c r="G331" s="3393" t="s">
        <v>3117</v>
      </c>
      <c r="H331" s="3393">
        <v>20.420000000000002</v>
      </c>
      <c r="I331" s="3393">
        <f t="shared" si="13"/>
        <v>20.420000000000002</v>
      </c>
      <c r="J331" s="3381">
        <v>0</v>
      </c>
      <c r="K331" s="3381"/>
      <c r="L331" s="3582"/>
      <c r="M331" s="3381">
        <v>1</v>
      </c>
      <c r="N331" s="3381" t="s">
        <v>23</v>
      </c>
      <c r="O331" s="3430" t="s">
        <v>3099</v>
      </c>
    </row>
    <row r="332" spans="1:15">
      <c r="A332" s="3575"/>
      <c r="B332" s="3575"/>
      <c r="C332" s="3590"/>
      <c r="D332" s="3600"/>
      <c r="E332" s="3430" t="s">
        <v>3456</v>
      </c>
      <c r="F332" s="3430" t="s">
        <v>3800</v>
      </c>
      <c r="G332" s="3393" t="s">
        <v>3117</v>
      </c>
      <c r="H332" s="3393">
        <v>30.16</v>
      </c>
      <c r="I332" s="3393">
        <f t="shared" si="13"/>
        <v>30.16</v>
      </c>
      <c r="J332" s="3381">
        <v>0</v>
      </c>
      <c r="K332" s="3381"/>
      <c r="L332" s="3582"/>
      <c r="M332" s="3381">
        <v>1</v>
      </c>
      <c r="N332" s="3381" t="s">
        <v>23</v>
      </c>
      <c r="O332" s="3430" t="s">
        <v>3099</v>
      </c>
    </row>
    <row r="333" spans="1:15">
      <c r="A333" s="3575"/>
      <c r="B333" s="3575"/>
      <c r="C333" s="3590"/>
      <c r="D333" s="3600"/>
      <c r="E333" s="3430" t="s">
        <v>3456</v>
      </c>
      <c r="F333" s="3430" t="s">
        <v>3460</v>
      </c>
      <c r="G333" s="3393" t="s">
        <v>3117</v>
      </c>
      <c r="H333" s="3393">
        <v>132</v>
      </c>
      <c r="I333" s="3393">
        <f t="shared" si="13"/>
        <v>132</v>
      </c>
      <c r="J333" s="3381">
        <v>0</v>
      </c>
      <c r="K333" s="3381"/>
      <c r="L333" s="3582"/>
      <c r="M333" s="3381">
        <v>1</v>
      </c>
      <c r="N333" s="3381" t="s">
        <v>23</v>
      </c>
      <c r="O333" s="3430" t="s">
        <v>3099</v>
      </c>
    </row>
    <row r="334" spans="1:15">
      <c r="A334" s="3575"/>
      <c r="B334" s="3575"/>
      <c r="C334" s="3590"/>
      <c r="D334" s="3600"/>
      <c r="E334" s="3430" t="s">
        <v>3456</v>
      </c>
      <c r="F334" s="3430" t="s">
        <v>3121</v>
      </c>
      <c r="G334" s="3393" t="s">
        <v>3801</v>
      </c>
      <c r="H334" s="3393">
        <v>403.44</v>
      </c>
      <c r="I334" s="3393">
        <f t="shared" si="13"/>
        <v>403.44</v>
      </c>
      <c r="J334" s="3381">
        <v>0</v>
      </c>
      <c r="K334" s="3381"/>
      <c r="L334" s="3582"/>
      <c r="M334" s="3381">
        <v>3</v>
      </c>
      <c r="N334" s="3381" t="s">
        <v>23</v>
      </c>
      <c r="O334" s="3430" t="s">
        <v>3099</v>
      </c>
    </row>
    <row r="335" spans="1:15">
      <c r="A335" s="3575"/>
      <c r="B335" s="3575"/>
      <c r="C335" s="3590"/>
      <c r="D335" s="3600"/>
      <c r="E335" s="3430" t="s">
        <v>3456</v>
      </c>
      <c r="F335" s="3430" t="s">
        <v>3200</v>
      </c>
      <c r="G335" s="3396" t="s">
        <v>3802</v>
      </c>
      <c r="H335" s="3396">
        <v>184.8</v>
      </c>
      <c r="I335" s="3396">
        <f t="shared" si="13"/>
        <v>184.8</v>
      </c>
      <c r="J335" s="3389">
        <v>0</v>
      </c>
      <c r="K335" s="3389"/>
      <c r="L335" s="3582"/>
      <c r="M335" s="3381">
        <v>1</v>
      </c>
      <c r="N335" s="3381" t="s">
        <v>23</v>
      </c>
      <c r="O335" s="3430" t="s">
        <v>3099</v>
      </c>
    </row>
    <row r="336" spans="1:15">
      <c r="A336" s="3575"/>
      <c r="B336" s="3575"/>
      <c r="C336" s="3590"/>
      <c r="D336" s="3600"/>
      <c r="E336" s="3430" t="s">
        <v>3456</v>
      </c>
      <c r="F336" s="3430" t="s">
        <v>3463</v>
      </c>
      <c r="G336" s="3396" t="s">
        <v>3802</v>
      </c>
      <c r="H336" s="3396">
        <v>180.59</v>
      </c>
      <c r="I336" s="3396">
        <f t="shared" si="13"/>
        <v>180.59</v>
      </c>
      <c r="J336" s="3389">
        <v>0</v>
      </c>
      <c r="K336" s="3389"/>
      <c r="L336" s="3582"/>
      <c r="M336" s="3381">
        <v>1</v>
      </c>
      <c r="N336" s="3381" t="s">
        <v>23</v>
      </c>
      <c r="O336" s="3430" t="s">
        <v>3099</v>
      </c>
    </row>
    <row r="337" spans="1:15">
      <c r="A337" s="3575"/>
      <c r="B337" s="3575"/>
      <c r="C337" s="3599"/>
      <c r="D337" s="3601"/>
      <c r="E337" s="3433" t="s">
        <v>3456</v>
      </c>
      <c r="F337" s="3433" t="s">
        <v>3803</v>
      </c>
      <c r="G337" s="3433" t="s">
        <v>3804</v>
      </c>
      <c r="H337" s="3433">
        <v>24172.17</v>
      </c>
      <c r="I337" s="3354">
        <v>16978.080000000002</v>
      </c>
      <c r="J337" s="3354">
        <v>7194.09</v>
      </c>
      <c r="K337" s="3388"/>
      <c r="L337" s="3582"/>
      <c r="M337" s="3381">
        <v>3</v>
      </c>
      <c r="N337" s="3381">
        <v>1</v>
      </c>
      <c r="O337" s="3430" t="s">
        <v>3099</v>
      </c>
    </row>
    <row r="338" spans="1:15">
      <c r="A338" s="3575"/>
      <c r="B338" s="3575"/>
      <c r="C338" s="3590"/>
      <c r="D338" s="3600"/>
      <c r="E338" s="3430" t="s">
        <v>3456</v>
      </c>
      <c r="F338" s="3430" t="s">
        <v>3205</v>
      </c>
      <c r="G338" s="3393" t="s">
        <v>3465</v>
      </c>
      <c r="H338" s="3393">
        <v>334.82</v>
      </c>
      <c r="I338" s="3393">
        <f t="shared" ref="I338:I362" si="14">H338</f>
        <v>334.82</v>
      </c>
      <c r="J338" s="3381">
        <v>0</v>
      </c>
      <c r="K338" s="3381"/>
      <c r="L338" s="3582"/>
      <c r="M338" s="3381">
        <v>2</v>
      </c>
      <c r="N338" s="3381" t="s">
        <v>23</v>
      </c>
      <c r="O338" s="3430" t="s">
        <v>3099</v>
      </c>
    </row>
    <row r="339" spans="1:15">
      <c r="A339" s="3575"/>
      <c r="B339" s="3575"/>
      <c r="C339" s="3590"/>
      <c r="D339" s="3600"/>
      <c r="E339" s="3430" t="s">
        <v>3456</v>
      </c>
      <c r="F339" s="3430" t="s">
        <v>3227</v>
      </c>
      <c r="G339" s="3393" t="s">
        <v>3183</v>
      </c>
      <c r="H339" s="3393">
        <v>1230.54</v>
      </c>
      <c r="I339" s="3393">
        <f t="shared" si="14"/>
        <v>1230.54</v>
      </c>
      <c r="J339" s="3381">
        <v>0</v>
      </c>
      <c r="K339" s="3381"/>
      <c r="L339" s="3582"/>
      <c r="M339" s="3381">
        <v>2</v>
      </c>
      <c r="N339" s="3381" t="s">
        <v>23</v>
      </c>
      <c r="O339" s="3430" t="s">
        <v>3099</v>
      </c>
    </row>
    <row r="340" spans="1:15">
      <c r="A340" s="3575"/>
      <c r="B340" s="3575"/>
      <c r="C340" s="3590"/>
      <c r="D340" s="3600"/>
      <c r="E340" s="3430" t="s">
        <v>3456</v>
      </c>
      <c r="F340" s="3430" t="s">
        <v>3127</v>
      </c>
      <c r="G340" s="3393" t="s">
        <v>3442</v>
      </c>
      <c r="H340" s="3393">
        <v>90</v>
      </c>
      <c r="I340" s="3393">
        <f t="shared" si="14"/>
        <v>90</v>
      </c>
      <c r="J340" s="3381">
        <v>0</v>
      </c>
      <c r="K340" s="3381"/>
      <c r="L340" s="3582"/>
      <c r="M340" s="3381">
        <v>2</v>
      </c>
      <c r="N340" s="3381" t="s">
        <v>23</v>
      </c>
      <c r="O340" s="3430" t="s">
        <v>3099</v>
      </c>
    </row>
    <row r="341" spans="1:15">
      <c r="A341" s="3575"/>
      <c r="B341" s="3575"/>
      <c r="C341" s="3590"/>
      <c r="D341" s="3600"/>
      <c r="E341" s="3430" t="s">
        <v>3456</v>
      </c>
      <c r="F341" s="3430" t="s">
        <v>3129</v>
      </c>
      <c r="G341" s="3393" t="s">
        <v>3288</v>
      </c>
      <c r="H341" s="3393">
        <v>70.7</v>
      </c>
      <c r="I341" s="3393">
        <f t="shared" si="14"/>
        <v>70.7</v>
      </c>
      <c r="J341" s="3381">
        <v>0</v>
      </c>
      <c r="K341" s="3381"/>
      <c r="L341" s="3582"/>
      <c r="M341" s="3381">
        <v>1</v>
      </c>
      <c r="N341" s="3381" t="s">
        <v>23</v>
      </c>
      <c r="O341" s="3430" t="s">
        <v>3099</v>
      </c>
    </row>
    <row r="342" spans="1:15">
      <c r="A342" s="3575"/>
      <c r="B342" s="3575"/>
      <c r="C342" s="3590"/>
      <c r="D342" s="3600"/>
      <c r="E342" s="3430" t="s">
        <v>3456</v>
      </c>
      <c r="F342" s="3430" t="s">
        <v>3467</v>
      </c>
      <c r="G342" s="3393" t="s">
        <v>3288</v>
      </c>
      <c r="H342" s="3393">
        <v>28.69</v>
      </c>
      <c r="I342" s="3393">
        <f t="shared" si="14"/>
        <v>28.69</v>
      </c>
      <c r="J342" s="3381">
        <v>0</v>
      </c>
      <c r="K342" s="3381"/>
      <c r="L342" s="3582"/>
      <c r="M342" s="3381">
        <v>1</v>
      </c>
      <c r="N342" s="3381" t="s">
        <v>23</v>
      </c>
      <c r="O342" s="3430" t="s">
        <v>3099</v>
      </c>
    </row>
    <row r="343" spans="1:15">
      <c r="A343" s="3575"/>
      <c r="B343" s="3575"/>
      <c r="C343" s="3590"/>
      <c r="D343" s="3600"/>
      <c r="E343" s="3430" t="s">
        <v>3456</v>
      </c>
      <c r="F343" s="3430" t="s">
        <v>3344</v>
      </c>
      <c r="G343" s="3393" t="s">
        <v>3288</v>
      </c>
      <c r="H343" s="3393">
        <v>28.32</v>
      </c>
      <c r="I343" s="3393">
        <f t="shared" si="14"/>
        <v>28.32</v>
      </c>
      <c r="J343" s="3381">
        <v>0</v>
      </c>
      <c r="K343" s="3381"/>
      <c r="L343" s="3582"/>
      <c r="M343" s="3381">
        <v>1</v>
      </c>
      <c r="N343" s="3381" t="s">
        <v>23</v>
      </c>
      <c r="O343" s="3430" t="s">
        <v>3099</v>
      </c>
    </row>
    <row r="344" spans="1:15">
      <c r="A344" s="3575"/>
      <c r="B344" s="3575"/>
      <c r="C344" s="3590"/>
      <c r="D344" s="3600"/>
      <c r="E344" s="3430" t="s">
        <v>3456</v>
      </c>
      <c r="F344" s="3430" t="s">
        <v>3133</v>
      </c>
      <c r="G344" s="3393" t="s">
        <v>3288</v>
      </c>
      <c r="H344" s="3393">
        <v>37.44</v>
      </c>
      <c r="I344" s="3393">
        <f t="shared" si="14"/>
        <v>37.44</v>
      </c>
      <c r="J344" s="3381">
        <v>0</v>
      </c>
      <c r="K344" s="3381"/>
      <c r="L344" s="3582"/>
      <c r="M344" s="3381">
        <v>1</v>
      </c>
      <c r="N344" s="3381" t="s">
        <v>23</v>
      </c>
      <c r="O344" s="3430" t="s">
        <v>3099</v>
      </c>
    </row>
    <row r="345" spans="1:15">
      <c r="A345" s="3575"/>
      <c r="B345" s="3575"/>
      <c r="C345" s="3590"/>
      <c r="D345" s="3600"/>
      <c r="E345" s="3430" t="s">
        <v>3456</v>
      </c>
      <c r="F345" s="3430" t="s">
        <v>3135</v>
      </c>
      <c r="G345" s="3393" t="s">
        <v>3139</v>
      </c>
      <c r="H345" s="3393">
        <v>516.89</v>
      </c>
      <c r="I345" s="3393">
        <f t="shared" si="14"/>
        <v>516.89</v>
      </c>
      <c r="J345" s="3381">
        <v>0</v>
      </c>
      <c r="K345" s="3381"/>
      <c r="L345" s="3582"/>
      <c r="M345" s="3381">
        <v>2</v>
      </c>
      <c r="N345" s="3381" t="s">
        <v>23</v>
      </c>
      <c r="O345" s="3430" t="s">
        <v>3099</v>
      </c>
    </row>
    <row r="346" spans="1:15">
      <c r="A346" s="3575"/>
      <c r="B346" s="3575"/>
      <c r="C346" s="3590"/>
      <c r="D346" s="3600"/>
      <c r="E346" s="3430" t="s">
        <v>3456</v>
      </c>
      <c r="F346" s="3430" t="s">
        <v>3136</v>
      </c>
      <c r="G346" s="3393" t="s">
        <v>3139</v>
      </c>
      <c r="H346" s="3393">
        <v>481.42</v>
      </c>
      <c r="I346" s="3393">
        <f t="shared" si="14"/>
        <v>481.42</v>
      </c>
      <c r="J346" s="3381">
        <v>0</v>
      </c>
      <c r="K346" s="3381"/>
      <c r="L346" s="3582"/>
      <c r="M346" s="3381">
        <v>2</v>
      </c>
      <c r="N346" s="3381" t="s">
        <v>23</v>
      </c>
      <c r="O346" s="3430" t="s">
        <v>3099</v>
      </c>
    </row>
    <row r="347" spans="1:15">
      <c r="A347" s="3575"/>
      <c r="B347" s="3575"/>
      <c r="C347" s="3590"/>
      <c r="D347" s="3600"/>
      <c r="E347" s="3430" t="s">
        <v>3456</v>
      </c>
      <c r="F347" s="3430" t="s">
        <v>3137</v>
      </c>
      <c r="G347" s="3393" t="s">
        <v>3139</v>
      </c>
      <c r="H347" s="3393">
        <v>223.49</v>
      </c>
      <c r="I347" s="3393">
        <f t="shared" si="14"/>
        <v>223.49</v>
      </c>
      <c r="J347" s="3381">
        <v>0</v>
      </c>
      <c r="K347" s="3381"/>
      <c r="L347" s="3582"/>
      <c r="M347" s="3381">
        <v>2</v>
      </c>
      <c r="N347" s="3381" t="s">
        <v>23</v>
      </c>
      <c r="O347" s="3430" t="s">
        <v>3099</v>
      </c>
    </row>
    <row r="348" spans="1:15">
      <c r="A348" s="3575"/>
      <c r="B348" s="3575"/>
      <c r="C348" s="3590"/>
      <c r="D348" s="3600"/>
      <c r="E348" s="3430" t="s">
        <v>3456</v>
      </c>
      <c r="F348" s="3430" t="s">
        <v>3345</v>
      </c>
      <c r="G348" s="3393" t="s">
        <v>3139</v>
      </c>
      <c r="H348" s="3393">
        <v>227.92</v>
      </c>
      <c r="I348" s="3393">
        <f t="shared" si="14"/>
        <v>227.92</v>
      </c>
      <c r="J348" s="3381">
        <v>0</v>
      </c>
      <c r="K348" s="3381"/>
      <c r="L348" s="3582"/>
      <c r="M348" s="3381">
        <v>2</v>
      </c>
      <c r="N348" s="3381" t="s">
        <v>23</v>
      </c>
      <c r="O348" s="3430" t="s">
        <v>3099</v>
      </c>
    </row>
    <row r="349" spans="1:15">
      <c r="A349" s="3575"/>
      <c r="B349" s="3575"/>
      <c r="C349" s="3590"/>
      <c r="D349" s="3600"/>
      <c r="E349" s="3430" t="s">
        <v>3456</v>
      </c>
      <c r="F349" s="3430" t="s">
        <v>3140</v>
      </c>
      <c r="G349" s="3393" t="s">
        <v>3139</v>
      </c>
      <c r="H349" s="3393">
        <v>319.87</v>
      </c>
      <c r="I349" s="3393">
        <f t="shared" si="14"/>
        <v>319.87</v>
      </c>
      <c r="J349" s="3381">
        <v>0</v>
      </c>
      <c r="K349" s="3381"/>
      <c r="L349" s="3582"/>
      <c r="M349" s="3381">
        <v>2</v>
      </c>
      <c r="N349" s="3381" t="s">
        <v>23</v>
      </c>
      <c r="O349" s="3430" t="s">
        <v>3099</v>
      </c>
    </row>
    <row r="350" spans="1:15">
      <c r="A350" s="3575"/>
      <c r="B350" s="3575"/>
      <c r="C350" s="3590"/>
      <c r="D350" s="3600"/>
      <c r="E350" s="3430" t="s">
        <v>3456</v>
      </c>
      <c r="F350" s="3430" t="s">
        <v>3242</v>
      </c>
      <c r="G350" s="3393" t="s">
        <v>3139</v>
      </c>
      <c r="H350" s="3393">
        <v>48.96</v>
      </c>
      <c r="I350" s="3393">
        <f t="shared" si="14"/>
        <v>48.96</v>
      </c>
      <c r="J350" s="3381">
        <v>0</v>
      </c>
      <c r="K350" s="3381"/>
      <c r="L350" s="3582"/>
      <c r="M350" s="3381">
        <v>1</v>
      </c>
      <c r="N350" s="3381" t="s">
        <v>23</v>
      </c>
      <c r="O350" s="3430" t="s">
        <v>3099</v>
      </c>
    </row>
    <row r="351" spans="1:15">
      <c r="A351" s="3575"/>
      <c r="B351" s="3575"/>
      <c r="C351" s="3590"/>
      <c r="D351" s="3600"/>
      <c r="E351" s="3430" t="s">
        <v>3456</v>
      </c>
      <c r="F351" s="3430" t="s">
        <v>3347</v>
      </c>
      <c r="G351" s="3393" t="s">
        <v>3139</v>
      </c>
      <c r="H351" s="3393">
        <v>72.08</v>
      </c>
      <c r="I351" s="3393">
        <f t="shared" si="14"/>
        <v>72.08</v>
      </c>
      <c r="J351" s="3381">
        <v>0</v>
      </c>
      <c r="K351" s="3381"/>
      <c r="L351" s="3582"/>
      <c r="M351" s="3381">
        <v>1</v>
      </c>
      <c r="N351" s="3381" t="s">
        <v>23</v>
      </c>
      <c r="O351" s="3430" t="s">
        <v>3099</v>
      </c>
    </row>
    <row r="352" spans="1:15">
      <c r="A352" s="3575"/>
      <c r="B352" s="3575"/>
      <c r="C352" s="3590"/>
      <c r="D352" s="3600"/>
      <c r="E352" s="3430" t="s">
        <v>3456</v>
      </c>
      <c r="F352" s="3430" t="s">
        <v>3805</v>
      </c>
      <c r="G352" s="3393" t="s">
        <v>3139</v>
      </c>
      <c r="H352" s="3393">
        <v>341.94</v>
      </c>
      <c r="I352" s="3393">
        <f t="shared" si="14"/>
        <v>341.94</v>
      </c>
      <c r="J352" s="3381">
        <v>0</v>
      </c>
      <c r="K352" s="3381"/>
      <c r="L352" s="3582"/>
      <c r="M352" s="3381">
        <v>2</v>
      </c>
      <c r="N352" s="3381" t="s">
        <v>23</v>
      </c>
      <c r="O352" s="3430" t="s">
        <v>3099</v>
      </c>
    </row>
    <row r="353" spans="1:15">
      <c r="A353" s="3575"/>
      <c r="B353" s="3575"/>
      <c r="C353" s="3590"/>
      <c r="D353" s="3600"/>
      <c r="E353" s="3430" t="s">
        <v>3456</v>
      </c>
      <c r="F353" s="3430" t="s">
        <v>3141</v>
      </c>
      <c r="G353" s="3393" t="s">
        <v>3139</v>
      </c>
      <c r="H353" s="3393">
        <v>62.75</v>
      </c>
      <c r="I353" s="3393">
        <f t="shared" si="14"/>
        <v>62.75</v>
      </c>
      <c r="J353" s="3381">
        <v>0</v>
      </c>
      <c r="K353" s="3381"/>
      <c r="L353" s="3582"/>
      <c r="M353" s="3381">
        <v>1</v>
      </c>
      <c r="N353" s="3381" t="s">
        <v>23</v>
      </c>
      <c r="O353" s="3430" t="s">
        <v>3099</v>
      </c>
    </row>
    <row r="354" spans="1:15">
      <c r="A354" s="3575"/>
      <c r="B354" s="3575"/>
      <c r="C354" s="3590"/>
      <c r="D354" s="3600"/>
      <c r="E354" s="3430" t="s">
        <v>3456</v>
      </c>
      <c r="F354" s="3430" t="s">
        <v>3350</v>
      </c>
      <c r="G354" s="3393" t="s">
        <v>3139</v>
      </c>
      <c r="H354" s="3393">
        <v>43.67</v>
      </c>
      <c r="I354" s="3393">
        <f t="shared" si="14"/>
        <v>43.67</v>
      </c>
      <c r="J354" s="3381">
        <v>0</v>
      </c>
      <c r="K354" s="3381"/>
      <c r="L354" s="3582"/>
      <c r="M354" s="3381">
        <v>1</v>
      </c>
      <c r="N354" s="3381" t="s">
        <v>23</v>
      </c>
      <c r="O354" s="3430" t="s">
        <v>3099</v>
      </c>
    </row>
    <row r="355" spans="1:15">
      <c r="A355" s="3575"/>
      <c r="B355" s="3575"/>
      <c r="C355" s="3590"/>
      <c r="D355" s="3600"/>
      <c r="E355" s="3430" t="s">
        <v>3456</v>
      </c>
      <c r="F355" s="3430" t="s">
        <v>3351</v>
      </c>
      <c r="G355" s="3393" t="s">
        <v>3139</v>
      </c>
      <c r="H355" s="3393">
        <v>18.25</v>
      </c>
      <c r="I355" s="3393">
        <f t="shared" si="14"/>
        <v>18.25</v>
      </c>
      <c r="J355" s="3381">
        <v>0</v>
      </c>
      <c r="K355" s="3381"/>
      <c r="L355" s="3582"/>
      <c r="M355" s="3381">
        <v>1</v>
      </c>
      <c r="N355" s="3381" t="s">
        <v>23</v>
      </c>
      <c r="O355" s="3430" t="s">
        <v>3099</v>
      </c>
    </row>
    <row r="356" spans="1:15">
      <c r="A356" s="3575"/>
      <c r="B356" s="3575"/>
      <c r="C356" s="3590"/>
      <c r="D356" s="3600"/>
      <c r="E356" s="3430" t="s">
        <v>3456</v>
      </c>
      <c r="F356" s="3430" t="s">
        <v>3469</v>
      </c>
      <c r="G356" s="3393" t="s">
        <v>3139</v>
      </c>
      <c r="H356" s="3393">
        <v>393.7</v>
      </c>
      <c r="I356" s="3393">
        <f t="shared" si="14"/>
        <v>393.7</v>
      </c>
      <c r="J356" s="3381">
        <v>0</v>
      </c>
      <c r="K356" s="3381"/>
      <c r="L356" s="3582"/>
      <c r="M356" s="3381">
        <v>1</v>
      </c>
      <c r="N356" s="3381" t="s">
        <v>23</v>
      </c>
      <c r="O356" s="3430" t="s">
        <v>3099</v>
      </c>
    </row>
    <row r="357" spans="1:15">
      <c r="A357" s="3575"/>
      <c r="B357" s="3575"/>
      <c r="C357" s="3590"/>
      <c r="D357" s="3600"/>
      <c r="E357" s="3430" t="s">
        <v>3456</v>
      </c>
      <c r="F357" s="3430" t="s">
        <v>3146</v>
      </c>
      <c r="G357" s="3393" t="s">
        <v>3139</v>
      </c>
      <c r="H357" s="3393">
        <v>15.64</v>
      </c>
      <c r="I357" s="3393">
        <f t="shared" si="14"/>
        <v>15.64</v>
      </c>
      <c r="J357" s="3381">
        <v>0</v>
      </c>
      <c r="K357" s="3381"/>
      <c r="L357" s="3582"/>
      <c r="M357" s="3381">
        <v>1</v>
      </c>
      <c r="N357" s="3381" t="s">
        <v>23</v>
      </c>
      <c r="O357" s="3430" t="s">
        <v>3099</v>
      </c>
    </row>
    <row r="358" spans="1:15">
      <c r="A358" s="3575"/>
      <c r="B358" s="3575"/>
      <c r="C358" s="3590"/>
      <c r="D358" s="3600"/>
      <c r="E358" s="3430" t="s">
        <v>3456</v>
      </c>
      <c r="F358" s="3430" t="s">
        <v>3147</v>
      </c>
      <c r="G358" s="3393" t="s">
        <v>3139</v>
      </c>
      <c r="H358" s="3393">
        <v>61.98</v>
      </c>
      <c r="I358" s="3393">
        <f t="shared" si="14"/>
        <v>61.98</v>
      </c>
      <c r="J358" s="3381">
        <v>0</v>
      </c>
      <c r="K358" s="3381"/>
      <c r="L358" s="3582"/>
      <c r="M358" s="3381">
        <v>1</v>
      </c>
      <c r="N358" s="3381" t="s">
        <v>23</v>
      </c>
      <c r="O358" s="3430" t="s">
        <v>3099</v>
      </c>
    </row>
    <row r="359" spans="1:15">
      <c r="A359" s="3575"/>
      <c r="B359" s="3575"/>
      <c r="C359" s="3590"/>
      <c r="D359" s="3600"/>
      <c r="E359" s="3430" t="s">
        <v>3456</v>
      </c>
      <c r="F359" s="3430" t="s">
        <v>3470</v>
      </c>
      <c r="G359" s="3393" t="s">
        <v>3139</v>
      </c>
      <c r="H359" s="3393">
        <v>306.58999999999997</v>
      </c>
      <c r="I359" s="3393">
        <f t="shared" si="14"/>
        <v>306.58999999999997</v>
      </c>
      <c r="J359" s="3381">
        <v>0</v>
      </c>
      <c r="K359" s="3381"/>
      <c r="L359" s="3582"/>
      <c r="M359" s="3381">
        <v>2</v>
      </c>
      <c r="N359" s="3381" t="s">
        <v>23</v>
      </c>
      <c r="O359" s="3430" t="s">
        <v>3099</v>
      </c>
    </row>
    <row r="360" spans="1:15">
      <c r="A360" s="3575"/>
      <c r="B360" s="3575"/>
      <c r="C360" s="3590"/>
      <c r="D360" s="3600"/>
      <c r="E360" s="3430" t="s">
        <v>3456</v>
      </c>
      <c r="F360" s="3430" t="s">
        <v>3806</v>
      </c>
      <c r="G360" s="3393" t="s">
        <v>3139</v>
      </c>
      <c r="H360" s="3393">
        <v>34.99</v>
      </c>
      <c r="I360" s="3393">
        <f t="shared" si="14"/>
        <v>34.99</v>
      </c>
      <c r="J360" s="3381">
        <v>0</v>
      </c>
      <c r="K360" s="3381"/>
      <c r="L360" s="3582"/>
      <c r="M360" s="3381">
        <v>1</v>
      </c>
      <c r="N360" s="3381" t="s">
        <v>23</v>
      </c>
      <c r="O360" s="3430" t="s">
        <v>3099</v>
      </c>
    </row>
    <row r="361" spans="1:15">
      <c r="A361" s="3575"/>
      <c r="B361" s="3575"/>
      <c r="C361" s="3590"/>
      <c r="D361" s="3600"/>
      <c r="E361" s="3430" t="s">
        <v>3456</v>
      </c>
      <c r="F361" s="3430" t="s">
        <v>3807</v>
      </c>
      <c r="G361" s="3393" t="s">
        <v>3139</v>
      </c>
      <c r="H361" s="3393">
        <v>286.06</v>
      </c>
      <c r="I361" s="3393">
        <f t="shared" si="14"/>
        <v>286.06</v>
      </c>
      <c r="J361" s="3381">
        <v>0</v>
      </c>
      <c r="K361" s="3381"/>
      <c r="L361" s="3582"/>
      <c r="M361" s="3381">
        <v>2</v>
      </c>
      <c r="N361" s="3381" t="s">
        <v>23</v>
      </c>
      <c r="O361" s="3430" t="s">
        <v>3099</v>
      </c>
    </row>
    <row r="362" spans="1:15">
      <c r="A362" s="3575"/>
      <c r="B362" s="3575"/>
      <c r="C362" s="3590"/>
      <c r="D362" s="3600"/>
      <c r="E362" s="3430" t="s">
        <v>3456</v>
      </c>
      <c r="F362" s="3430" t="s">
        <v>3150</v>
      </c>
      <c r="G362" s="3393" t="s">
        <v>3139</v>
      </c>
      <c r="H362" s="3393">
        <v>63.51</v>
      </c>
      <c r="I362" s="3393">
        <f t="shared" si="14"/>
        <v>63.51</v>
      </c>
      <c r="J362" s="3381">
        <v>0</v>
      </c>
      <c r="K362" s="3381"/>
      <c r="L362" s="3582"/>
      <c r="M362" s="3381">
        <v>1</v>
      </c>
      <c r="N362" s="3381" t="s">
        <v>23</v>
      </c>
      <c r="O362" s="3430" t="s">
        <v>3099</v>
      </c>
    </row>
    <row r="363" spans="1:15">
      <c r="A363" s="3575"/>
      <c r="B363" s="3575"/>
      <c r="C363" s="3599"/>
      <c r="D363" s="3601"/>
      <c r="E363" s="3433" t="s">
        <v>3456</v>
      </c>
      <c r="F363" s="3433" t="s">
        <v>3151</v>
      </c>
      <c r="G363" s="3433" t="s">
        <v>3139</v>
      </c>
      <c r="H363" s="3433">
        <v>1773.15</v>
      </c>
      <c r="I363" s="3354">
        <v>1272.24</v>
      </c>
      <c r="J363" s="3354">
        <v>500.91</v>
      </c>
      <c r="K363" s="3388"/>
      <c r="L363" s="3582"/>
      <c r="M363" s="3381">
        <v>2</v>
      </c>
      <c r="N363" s="3381">
        <v>1</v>
      </c>
      <c r="O363" s="3430" t="s">
        <v>3099</v>
      </c>
    </row>
    <row r="364" spans="1:15">
      <c r="A364" s="3575"/>
      <c r="B364" s="3575"/>
      <c r="C364" s="3590"/>
      <c r="D364" s="3600"/>
      <c r="E364" s="3430" t="s">
        <v>3456</v>
      </c>
      <c r="F364" s="3430" t="s">
        <v>3152</v>
      </c>
      <c r="G364" s="3393" t="s">
        <v>3139</v>
      </c>
      <c r="H364" s="3393">
        <v>11.97</v>
      </c>
      <c r="I364" s="3393">
        <f t="shared" ref="I364:I376" si="15">H364</f>
        <v>11.97</v>
      </c>
      <c r="J364" s="3381">
        <v>0</v>
      </c>
      <c r="K364" s="3381"/>
      <c r="L364" s="3582"/>
      <c r="M364" s="3381">
        <v>1</v>
      </c>
      <c r="N364" s="3381" t="s">
        <v>3789</v>
      </c>
      <c r="O364" s="3430" t="s">
        <v>3790</v>
      </c>
    </row>
    <row r="365" spans="1:15">
      <c r="A365" s="3575"/>
      <c r="B365" s="3575"/>
      <c r="C365" s="3590"/>
      <c r="D365" s="3600"/>
      <c r="E365" s="3430" t="s">
        <v>3791</v>
      </c>
      <c r="F365" s="3430" t="s">
        <v>3808</v>
      </c>
      <c r="G365" s="3393" t="s">
        <v>3809</v>
      </c>
      <c r="H365" s="3393">
        <v>97.82</v>
      </c>
      <c r="I365" s="3393">
        <f t="shared" si="15"/>
        <v>97.82</v>
      </c>
      <c r="J365" s="3381">
        <v>0</v>
      </c>
      <c r="K365" s="3381"/>
      <c r="L365" s="3582"/>
      <c r="M365" s="3381">
        <v>2</v>
      </c>
      <c r="N365" s="3381" t="s">
        <v>3789</v>
      </c>
      <c r="O365" s="3430" t="s">
        <v>3790</v>
      </c>
    </row>
    <row r="366" spans="1:15">
      <c r="A366" s="3575"/>
      <c r="B366" s="3575"/>
      <c r="C366" s="3590"/>
      <c r="D366" s="3600"/>
      <c r="E366" s="3430" t="s">
        <v>3791</v>
      </c>
      <c r="F366" s="3430" t="s">
        <v>3810</v>
      </c>
      <c r="G366" s="3393" t="s">
        <v>3809</v>
      </c>
      <c r="H366" s="3393">
        <v>31.68</v>
      </c>
      <c r="I366" s="3393">
        <f t="shared" si="15"/>
        <v>31.68</v>
      </c>
      <c r="J366" s="3381">
        <v>0</v>
      </c>
      <c r="K366" s="3381"/>
      <c r="L366" s="3582"/>
      <c r="M366" s="3381">
        <v>1</v>
      </c>
      <c r="N366" s="3381" t="s">
        <v>3789</v>
      </c>
      <c r="O366" s="3430" t="s">
        <v>3790</v>
      </c>
    </row>
    <row r="367" spans="1:15">
      <c r="A367" s="3575"/>
      <c r="B367" s="3575"/>
      <c r="C367" s="3590"/>
      <c r="D367" s="3600"/>
      <c r="E367" s="3430" t="s">
        <v>3791</v>
      </c>
      <c r="F367" s="3430" t="s">
        <v>3811</v>
      </c>
      <c r="G367" s="3393" t="s">
        <v>3809</v>
      </c>
      <c r="H367" s="3393">
        <v>40.700000000000003</v>
      </c>
      <c r="I367" s="3393">
        <f t="shared" si="15"/>
        <v>40.700000000000003</v>
      </c>
      <c r="J367" s="3381">
        <v>0</v>
      </c>
      <c r="K367" s="3381"/>
      <c r="L367" s="3582"/>
      <c r="M367" s="3381">
        <v>1</v>
      </c>
      <c r="N367" s="3381" t="s">
        <v>3789</v>
      </c>
      <c r="O367" s="3430" t="s">
        <v>3790</v>
      </c>
    </row>
    <row r="368" spans="1:15">
      <c r="A368" s="3575"/>
      <c r="B368" s="3575"/>
      <c r="C368" s="3590"/>
      <c r="D368" s="3600"/>
      <c r="E368" s="3430" t="s">
        <v>3791</v>
      </c>
      <c r="F368" s="3430" t="s">
        <v>3812</v>
      </c>
      <c r="G368" s="3393" t="s">
        <v>3809</v>
      </c>
      <c r="H368" s="3393">
        <v>86.24</v>
      </c>
      <c r="I368" s="3393">
        <f t="shared" si="15"/>
        <v>86.24</v>
      </c>
      <c r="J368" s="3381">
        <v>0</v>
      </c>
      <c r="K368" s="3381"/>
      <c r="L368" s="3582"/>
      <c r="M368" s="3381">
        <v>2</v>
      </c>
      <c r="N368" s="3381" t="s">
        <v>3789</v>
      </c>
      <c r="O368" s="3430" t="s">
        <v>3790</v>
      </c>
    </row>
    <row r="369" spans="1:15">
      <c r="A369" s="3575"/>
      <c r="B369" s="3575"/>
      <c r="C369" s="3590"/>
      <c r="D369" s="3600"/>
      <c r="E369" s="3430" t="s">
        <v>3791</v>
      </c>
      <c r="F369" s="3430" t="s">
        <v>3813</v>
      </c>
      <c r="G369" s="3393" t="s">
        <v>3809</v>
      </c>
      <c r="H369" s="3393">
        <v>39.24</v>
      </c>
      <c r="I369" s="3393">
        <f t="shared" si="15"/>
        <v>39.24</v>
      </c>
      <c r="J369" s="3381">
        <v>0</v>
      </c>
      <c r="K369" s="3381"/>
      <c r="L369" s="3582"/>
      <c r="M369" s="3381">
        <v>1</v>
      </c>
      <c r="N369" s="3381" t="s">
        <v>3789</v>
      </c>
      <c r="O369" s="3430" t="s">
        <v>3790</v>
      </c>
    </row>
    <row r="370" spans="1:15">
      <c r="A370" s="3575"/>
      <c r="B370" s="3575"/>
      <c r="C370" s="3590"/>
      <c r="D370" s="3600"/>
      <c r="E370" s="3430" t="s">
        <v>3791</v>
      </c>
      <c r="F370" s="3430" t="s">
        <v>3814</v>
      </c>
      <c r="G370" s="3393" t="s">
        <v>3809</v>
      </c>
      <c r="H370" s="3393">
        <v>108.56</v>
      </c>
      <c r="I370" s="3393">
        <f t="shared" si="15"/>
        <v>108.56</v>
      </c>
      <c r="J370" s="3381">
        <v>0</v>
      </c>
      <c r="K370" s="3381"/>
      <c r="L370" s="3582"/>
      <c r="M370" s="3381">
        <v>1</v>
      </c>
      <c r="N370" s="3381" t="s">
        <v>3789</v>
      </c>
      <c r="O370" s="3430" t="s">
        <v>3790</v>
      </c>
    </row>
    <row r="371" spans="1:15">
      <c r="A371" s="3575"/>
      <c r="B371" s="3575"/>
      <c r="C371" s="3590"/>
      <c r="D371" s="3600"/>
      <c r="E371" s="3430" t="s">
        <v>3791</v>
      </c>
      <c r="F371" s="3430" t="s">
        <v>3815</v>
      </c>
      <c r="G371" s="3393" t="s">
        <v>3809</v>
      </c>
      <c r="H371" s="3393">
        <v>24.23</v>
      </c>
      <c r="I371" s="3393">
        <f t="shared" si="15"/>
        <v>24.23</v>
      </c>
      <c r="J371" s="3381">
        <v>0</v>
      </c>
      <c r="K371" s="3381"/>
      <c r="L371" s="3582"/>
      <c r="M371" s="3381">
        <v>1</v>
      </c>
      <c r="N371" s="3381" t="s">
        <v>3789</v>
      </c>
      <c r="O371" s="3430" t="s">
        <v>3790</v>
      </c>
    </row>
    <row r="372" spans="1:15">
      <c r="A372" s="3575"/>
      <c r="B372" s="3575"/>
      <c r="C372" s="3590"/>
      <c r="D372" s="3600"/>
      <c r="E372" s="3430" t="s">
        <v>3791</v>
      </c>
      <c r="F372" s="3430" t="s">
        <v>3474</v>
      </c>
      <c r="G372" s="3393" t="s">
        <v>3809</v>
      </c>
      <c r="H372" s="3393">
        <v>75.14</v>
      </c>
      <c r="I372" s="3393">
        <f t="shared" si="15"/>
        <v>75.14</v>
      </c>
      <c r="J372" s="3381">
        <v>0</v>
      </c>
      <c r="K372" s="3381"/>
      <c r="L372" s="3582"/>
      <c r="M372" s="3381">
        <v>1</v>
      </c>
      <c r="N372" s="3381" t="s">
        <v>3789</v>
      </c>
      <c r="O372" s="3430" t="s">
        <v>3790</v>
      </c>
    </row>
    <row r="373" spans="1:15">
      <c r="A373" s="3575"/>
      <c r="B373" s="3575"/>
      <c r="C373" s="3590"/>
      <c r="D373" s="3600"/>
      <c r="E373" s="3430" t="s">
        <v>3791</v>
      </c>
      <c r="F373" s="3430" t="s">
        <v>3475</v>
      </c>
      <c r="G373" s="3393" t="s">
        <v>3809</v>
      </c>
      <c r="H373" s="3393">
        <v>62.37</v>
      </c>
      <c r="I373" s="3393">
        <f t="shared" si="15"/>
        <v>62.37</v>
      </c>
      <c r="J373" s="3381">
        <v>0</v>
      </c>
      <c r="K373" s="3381"/>
      <c r="L373" s="3582"/>
      <c r="M373" s="3381">
        <v>1</v>
      </c>
      <c r="N373" s="3381" t="s">
        <v>3789</v>
      </c>
      <c r="O373" s="3430" t="s">
        <v>3790</v>
      </c>
    </row>
    <row r="374" spans="1:15">
      <c r="A374" s="3575"/>
      <c r="B374" s="3575"/>
      <c r="C374" s="3590"/>
      <c r="D374" s="3600"/>
      <c r="E374" s="3430" t="s">
        <v>3791</v>
      </c>
      <c r="F374" s="3430" t="s">
        <v>3476</v>
      </c>
      <c r="G374" s="3393" t="s">
        <v>3809</v>
      </c>
      <c r="H374" s="3393">
        <v>65.31</v>
      </c>
      <c r="I374" s="3393">
        <f t="shared" si="15"/>
        <v>65.31</v>
      </c>
      <c r="J374" s="3381">
        <v>0</v>
      </c>
      <c r="K374" s="3381"/>
      <c r="L374" s="3582"/>
      <c r="M374" s="3381">
        <v>1</v>
      </c>
      <c r="N374" s="3381" t="s">
        <v>3789</v>
      </c>
      <c r="O374" s="3430" t="s">
        <v>3790</v>
      </c>
    </row>
    <row r="375" spans="1:15">
      <c r="A375" s="3575"/>
      <c r="B375" s="3575"/>
      <c r="C375" s="3590"/>
      <c r="D375" s="3600"/>
      <c r="E375" s="3430" t="s">
        <v>3791</v>
      </c>
      <c r="F375" s="3430" t="s">
        <v>3477</v>
      </c>
      <c r="G375" s="3393" t="s">
        <v>3809</v>
      </c>
      <c r="H375" s="3393">
        <v>27.5</v>
      </c>
      <c r="I375" s="3393">
        <f t="shared" si="15"/>
        <v>27.5</v>
      </c>
      <c r="J375" s="3381">
        <v>0</v>
      </c>
      <c r="K375" s="3381"/>
      <c r="L375" s="3582"/>
      <c r="M375" s="3381">
        <v>1</v>
      </c>
      <c r="N375" s="3381" t="s">
        <v>3789</v>
      </c>
      <c r="O375" s="3430" t="s">
        <v>3790</v>
      </c>
    </row>
    <row r="376" spans="1:15">
      <c r="A376" s="3575"/>
      <c r="B376" s="3575"/>
      <c r="C376" s="3590"/>
      <c r="D376" s="3600"/>
      <c r="E376" s="3430" t="s">
        <v>3791</v>
      </c>
      <c r="F376" s="3430" t="s">
        <v>3816</v>
      </c>
      <c r="G376" s="3393" t="s">
        <v>3817</v>
      </c>
      <c r="H376" s="3393">
        <v>85.65</v>
      </c>
      <c r="I376" s="3393">
        <f t="shared" si="15"/>
        <v>85.65</v>
      </c>
      <c r="J376" s="3381">
        <v>0</v>
      </c>
      <c r="K376" s="3381"/>
      <c r="L376" s="3582"/>
      <c r="M376" s="3381">
        <v>3</v>
      </c>
      <c r="N376" s="3381" t="s">
        <v>3789</v>
      </c>
      <c r="O376" s="3430" t="s">
        <v>3790</v>
      </c>
    </row>
    <row r="377" spans="1:15">
      <c r="A377" s="3575"/>
      <c r="B377" s="3575"/>
      <c r="C377" s="3599"/>
      <c r="D377" s="3601"/>
      <c r="E377" s="3433" t="s">
        <v>3791</v>
      </c>
      <c r="F377" s="3433" t="s">
        <v>3818</v>
      </c>
      <c r="G377" s="3433" t="s">
        <v>3819</v>
      </c>
      <c r="H377" s="3433">
        <v>1859.18</v>
      </c>
      <c r="I377" s="3354">
        <v>1294.71</v>
      </c>
      <c r="J377" s="3354">
        <v>418.58</v>
      </c>
      <c r="K377" s="3383">
        <v>145.88999999999999</v>
      </c>
      <c r="L377" s="3582"/>
      <c r="M377" s="3381">
        <v>2</v>
      </c>
      <c r="N377" s="3381" t="s">
        <v>3789</v>
      </c>
      <c r="O377" s="3430" t="s">
        <v>3790</v>
      </c>
    </row>
    <row r="378" spans="1:15">
      <c r="A378" s="3575"/>
      <c r="B378" s="3575"/>
      <c r="C378" s="3590"/>
      <c r="D378" s="3600"/>
      <c r="E378" s="3430" t="s">
        <v>3791</v>
      </c>
      <c r="F378" s="3430" t="s">
        <v>3820</v>
      </c>
      <c r="G378" s="3393" t="s">
        <v>3821</v>
      </c>
      <c r="H378" s="3393">
        <v>222.41</v>
      </c>
      <c r="I378" s="3393">
        <f>H378</f>
        <v>222.41</v>
      </c>
      <c r="J378" s="3381">
        <v>0</v>
      </c>
      <c r="K378" s="3381"/>
      <c r="L378" s="3582"/>
      <c r="M378" s="3381">
        <v>2</v>
      </c>
      <c r="N378" s="3381" t="s">
        <v>3822</v>
      </c>
      <c r="O378" s="3430" t="s">
        <v>3823</v>
      </c>
    </row>
    <row r="379" spans="1:15">
      <c r="A379" s="3575"/>
      <c r="B379" s="3575"/>
      <c r="C379" s="3590"/>
      <c r="D379" s="3600"/>
      <c r="E379" s="3430" t="s">
        <v>3824</v>
      </c>
      <c r="F379" s="3430" t="s">
        <v>3825</v>
      </c>
      <c r="G379" s="3393" t="s">
        <v>3826</v>
      </c>
      <c r="H379" s="3393">
        <v>495.12</v>
      </c>
      <c r="I379" s="3393">
        <f>H379</f>
        <v>495.12</v>
      </c>
      <c r="J379" s="3381">
        <v>0</v>
      </c>
      <c r="K379" s="3381"/>
      <c r="L379" s="3582"/>
      <c r="M379" s="3381">
        <v>2</v>
      </c>
      <c r="N379" s="3381" t="s">
        <v>3827</v>
      </c>
      <c r="O379" s="3430" t="s">
        <v>3828</v>
      </c>
    </row>
    <row r="380" spans="1:15">
      <c r="A380" s="3575"/>
      <c r="B380" s="3575"/>
      <c r="C380" s="3590"/>
      <c r="D380" s="3600"/>
      <c r="E380" s="3430" t="s">
        <v>3829</v>
      </c>
      <c r="F380" s="3430" t="s">
        <v>3830</v>
      </c>
      <c r="G380" s="3393" t="s">
        <v>3831</v>
      </c>
      <c r="H380" s="3393">
        <v>784.52</v>
      </c>
      <c r="I380" s="3393">
        <f>H380</f>
        <v>784.52</v>
      </c>
      <c r="J380" s="3381">
        <v>0</v>
      </c>
      <c r="K380" s="3381"/>
      <c r="L380" s="3582"/>
      <c r="M380" s="3381">
        <v>3</v>
      </c>
      <c r="N380" s="3381" t="s">
        <v>3789</v>
      </c>
      <c r="O380" s="3430" t="s">
        <v>3790</v>
      </c>
    </row>
    <row r="381" spans="1:15">
      <c r="A381" s="3575"/>
      <c r="B381" s="3575"/>
      <c r="C381" s="3590"/>
      <c r="D381" s="3600"/>
      <c r="E381" s="3430" t="s">
        <v>3791</v>
      </c>
      <c r="F381" s="3430" t="s">
        <v>3832</v>
      </c>
      <c r="G381" s="3393" t="s">
        <v>3833</v>
      </c>
      <c r="H381" s="3393">
        <v>33.450000000000003</v>
      </c>
      <c r="I381" s="3393">
        <f>H381</f>
        <v>33.450000000000003</v>
      </c>
      <c r="J381" s="3381">
        <v>0</v>
      </c>
      <c r="K381" s="3381"/>
      <c r="L381" s="3582"/>
      <c r="M381" s="3381">
        <v>2</v>
      </c>
      <c r="N381" s="3381" t="s">
        <v>3794</v>
      </c>
      <c r="O381" s="3430" t="s">
        <v>3795</v>
      </c>
    </row>
    <row r="382" spans="1:15">
      <c r="A382" s="3575"/>
      <c r="B382" s="3575"/>
      <c r="C382" s="3599"/>
      <c r="D382" s="3601"/>
      <c r="E382" s="3433" t="s">
        <v>3796</v>
      </c>
      <c r="F382" s="3433" t="s">
        <v>3834</v>
      </c>
      <c r="G382" s="3433" t="s">
        <v>3835</v>
      </c>
      <c r="H382" s="3433">
        <v>1241.23</v>
      </c>
      <c r="I382" s="3354">
        <v>985.49</v>
      </c>
      <c r="J382" s="3354">
        <v>255.74</v>
      </c>
      <c r="K382" s="3395"/>
      <c r="L382" s="3582"/>
      <c r="M382" s="3381">
        <v>2</v>
      </c>
      <c r="N382" s="3381">
        <v>1</v>
      </c>
      <c r="O382" s="3430" t="s">
        <v>3795</v>
      </c>
    </row>
    <row r="383" spans="1:15">
      <c r="A383" s="3575"/>
      <c r="B383" s="3575"/>
      <c r="C383" s="3590"/>
      <c r="D383" s="3600"/>
      <c r="E383" s="3430" t="s">
        <v>3796</v>
      </c>
      <c r="F383" s="3430" t="s">
        <v>3836</v>
      </c>
      <c r="G383" s="3396" t="s">
        <v>3837</v>
      </c>
      <c r="H383" s="3396">
        <v>240.6</v>
      </c>
      <c r="I383" s="3396">
        <f>H383</f>
        <v>240.6</v>
      </c>
      <c r="J383" s="3389">
        <v>0</v>
      </c>
      <c r="K383" s="3389"/>
      <c r="L383" s="3580"/>
      <c r="M383" s="3381">
        <v>2</v>
      </c>
      <c r="N383" s="3381">
        <v>0</v>
      </c>
      <c r="O383" s="3430" t="s">
        <v>3099</v>
      </c>
    </row>
    <row r="384" spans="1:15" ht="24">
      <c r="A384" s="3575" t="s">
        <v>3838</v>
      </c>
      <c r="B384" s="3575"/>
      <c r="C384" s="3575"/>
      <c r="D384" s="3575"/>
      <c r="G384" s="3398" t="s">
        <v>3839</v>
      </c>
      <c r="H384" s="3398">
        <f>SUM(H2:H383)</f>
        <v>326059.44999999984</v>
      </c>
      <c r="I384" s="3399">
        <f>SUM(I2:I383)</f>
        <v>271876.16999999981</v>
      </c>
      <c r="J384" s="3399">
        <f>SUM(J2:J383)</f>
        <v>51316.890000000007</v>
      </c>
      <c r="K384" s="3471">
        <f>SUM(K2:K383)</f>
        <v>2866.389999999999</v>
      </c>
      <c r="M384" s="3431" t="s">
        <v>3489</v>
      </c>
      <c r="N384" s="3432">
        <f>SUM(L2:L383)</f>
        <v>346512.69</v>
      </c>
    </row>
    <row r="385" spans="1:14" ht="24">
      <c r="G385" s="3398" t="s">
        <v>3490</v>
      </c>
      <c r="H385" s="3457">
        <f>H2+H7+K61+H63+K68+H71+H75+H76+H78+H82+H84+H97+H111+K119+H122+H131+H151+H153+H158+H159+K171+K172+K173+K174+K175+K176+K177+K178+H194+K258+K259+H220+H274+H335++H336+H383+K377+K318+K255+K170+K66+K65+K5+K3+H314+H295+H126+H108+H48+H57+J53</f>
        <v>8795.9600000000028</v>
      </c>
      <c r="I385" s="3472">
        <f>H385-J385</f>
        <v>8509.0999999999949</v>
      </c>
      <c r="J385" s="3399">
        <f>J384-J387</f>
        <v>286.86000000000786</v>
      </c>
      <c r="M385" s="3397" t="s">
        <v>3840</v>
      </c>
      <c r="N385" s="3404">
        <f>ROUND(I384/N384,2)</f>
        <v>0.78</v>
      </c>
    </row>
    <row r="386" spans="1:14" ht="24" customHeight="1">
      <c r="G386" s="3576" t="s">
        <v>3492</v>
      </c>
      <c r="H386" s="3577">
        <f>H384-H385</f>
        <v>317263.48999999982</v>
      </c>
      <c r="I386" s="3439" t="s">
        <v>3493</v>
      </c>
      <c r="J386" s="3344">
        <f>H386-J387</f>
        <v>266233.45999999985</v>
      </c>
    </row>
    <row r="387" spans="1:14">
      <c r="G387" s="3576"/>
      <c r="H387" s="3577"/>
      <c r="I387" s="3430" t="s">
        <v>3494</v>
      </c>
      <c r="J387" s="3430">
        <f>J3+J5+J8+J10+J12+J32+J38+J39+J64+J65+J66+J102+J129+J166+J170+J179+J185+J231+J255+J272+J315+J318+J323+J337+J363+J377+J382+J292+J41+J50</f>
        <v>51030.03</v>
      </c>
    </row>
    <row r="389" spans="1:14" ht="13.5">
      <c r="A389" s="3405" t="s">
        <v>3495</v>
      </c>
      <c r="B389" s="3406" t="s">
        <v>615</v>
      </c>
      <c r="C389" s="3479" t="s">
        <v>1836</v>
      </c>
      <c r="D389" s="3479" t="s">
        <v>3496</v>
      </c>
      <c r="E389" s="3408" t="s">
        <v>3497</v>
      </c>
      <c r="F389" s="3408" t="s">
        <v>3549</v>
      </c>
      <c r="G389" s="3408" t="s">
        <v>3550</v>
      </c>
      <c r="H389" s="3408" t="s">
        <v>3551</v>
      </c>
      <c r="I389"/>
    </row>
    <row r="390" spans="1:14" ht="13.5">
      <c r="A390" s="3410" t="s">
        <v>3499</v>
      </c>
      <c r="B390" s="3411">
        <f>I3+J3</f>
        <v>44374.06</v>
      </c>
      <c r="C390" s="3480">
        <v>6500</v>
      </c>
      <c r="D390" s="3480">
        <f>ROUND(B390*C390/10000,0)</f>
        <v>28843</v>
      </c>
      <c r="E390" s="3413">
        <v>0.4</v>
      </c>
      <c r="F390" s="3413">
        <v>0.99</v>
      </c>
      <c r="G390" s="3412">
        <f>ROUND(F390*D390,0)</f>
        <v>28555</v>
      </c>
      <c r="H390" s="3412">
        <f>D390-G390</f>
        <v>288</v>
      </c>
      <c r="I390"/>
    </row>
    <row r="391" spans="1:14" ht="13.5">
      <c r="A391" s="3410" t="s">
        <v>3860</v>
      </c>
      <c r="B391" s="3411">
        <f>H4</f>
        <v>3539.52</v>
      </c>
      <c r="C391" s="3480">
        <f>$C$390</f>
        <v>6500</v>
      </c>
      <c r="D391" s="3480">
        <f t="shared" ref="D391:D411" si="16">ROUND(B391*C391/10000,0)</f>
        <v>2301</v>
      </c>
      <c r="E391" s="3413">
        <f>$E$390</f>
        <v>0.4</v>
      </c>
      <c r="F391" s="3413">
        <v>0.99</v>
      </c>
      <c r="G391" s="3412">
        <f t="shared" ref="G391:G411" si="17">ROUND(F391*D391,0)</f>
        <v>2278</v>
      </c>
      <c r="H391" s="3412">
        <f t="shared" ref="H391:H411" si="18">D391-G391</f>
        <v>23</v>
      </c>
      <c r="I391"/>
    </row>
    <row r="392" spans="1:14" ht="13.5">
      <c r="A392" s="3410" t="s">
        <v>3500</v>
      </c>
      <c r="B392" s="3411">
        <f>I5+J5</f>
        <v>7344.88</v>
      </c>
      <c r="C392" s="3480">
        <f>$C$390</f>
        <v>6500</v>
      </c>
      <c r="D392" s="3480">
        <f t="shared" si="16"/>
        <v>4774</v>
      </c>
      <c r="E392" s="3413">
        <f>$E$390</f>
        <v>0.4</v>
      </c>
      <c r="F392" s="3413">
        <v>0.99</v>
      </c>
      <c r="G392" s="3412">
        <f t="shared" si="17"/>
        <v>4726</v>
      </c>
      <c r="H392" s="3412">
        <f t="shared" si="18"/>
        <v>48</v>
      </c>
      <c r="I392" s="3416"/>
    </row>
    <row r="393" spans="1:14" ht="13.5">
      <c r="A393" s="3410" t="s">
        <v>3501</v>
      </c>
      <c r="B393" s="3411">
        <f>H6</f>
        <v>10101.4</v>
      </c>
      <c r="C393" s="3480">
        <f t="shared" ref="C393:C399" si="19">$C$390</f>
        <v>6500</v>
      </c>
      <c r="D393" s="3480">
        <f t="shared" si="16"/>
        <v>6566</v>
      </c>
      <c r="E393" s="3413">
        <f t="shared" ref="E393:E397" si="20">$E$390</f>
        <v>0.4</v>
      </c>
      <c r="F393" s="3413">
        <v>0.99</v>
      </c>
      <c r="G393" s="3412">
        <f t="shared" si="17"/>
        <v>6500</v>
      </c>
      <c r="H393" s="3412">
        <f t="shared" si="18"/>
        <v>66</v>
      </c>
      <c r="I393" s="3143"/>
    </row>
    <row r="394" spans="1:14" ht="13.5">
      <c r="A394" s="3410" t="s">
        <v>3502</v>
      </c>
      <c r="B394" s="3411">
        <f>H27</f>
        <v>13512.13</v>
      </c>
      <c r="C394" s="3480">
        <f t="shared" si="19"/>
        <v>6500</v>
      </c>
      <c r="D394" s="3480">
        <f t="shared" si="16"/>
        <v>8783</v>
      </c>
      <c r="E394" s="3413">
        <f t="shared" si="20"/>
        <v>0.4</v>
      </c>
      <c r="F394" s="3413">
        <v>0.99</v>
      </c>
      <c r="G394" s="3412">
        <f t="shared" si="17"/>
        <v>8695</v>
      </c>
      <c r="H394" s="3412">
        <f t="shared" si="18"/>
        <v>88</v>
      </c>
      <c r="I394" s="3143"/>
    </row>
    <row r="395" spans="1:14" ht="13.5">
      <c r="A395" s="3410" t="s">
        <v>3861</v>
      </c>
      <c r="B395" s="3411">
        <f>I53</f>
        <v>3236.5</v>
      </c>
      <c r="C395" s="3480">
        <f t="shared" si="19"/>
        <v>6500</v>
      </c>
      <c r="D395" s="3480">
        <f t="shared" si="16"/>
        <v>2104</v>
      </c>
      <c r="E395" s="3413">
        <f t="shared" si="20"/>
        <v>0.4</v>
      </c>
      <c r="F395" s="3413">
        <v>0.99</v>
      </c>
      <c r="G395" s="3412">
        <f t="shared" si="17"/>
        <v>2083</v>
      </c>
      <c r="H395" s="3412">
        <f t="shared" si="18"/>
        <v>21</v>
      </c>
      <c r="I395" s="3143"/>
    </row>
    <row r="396" spans="1:14" ht="13.5">
      <c r="A396" s="3410" t="s">
        <v>3862</v>
      </c>
      <c r="B396" s="3411">
        <f>H56</f>
        <v>1886.1</v>
      </c>
      <c r="C396" s="3480">
        <f t="shared" si="19"/>
        <v>6500</v>
      </c>
      <c r="D396" s="3480">
        <f t="shared" si="16"/>
        <v>1226</v>
      </c>
      <c r="E396" s="3413">
        <f t="shared" si="20"/>
        <v>0.4</v>
      </c>
      <c r="F396" s="3413">
        <v>0.99</v>
      </c>
      <c r="G396" s="3412">
        <f t="shared" si="17"/>
        <v>1214</v>
      </c>
      <c r="H396" s="3412">
        <f t="shared" si="18"/>
        <v>12</v>
      </c>
      <c r="I396" s="3143"/>
    </row>
    <row r="397" spans="1:14" ht="13.5">
      <c r="A397" s="3410" t="s">
        <v>3863</v>
      </c>
      <c r="B397" s="3411">
        <f>H54</f>
        <v>8921.83</v>
      </c>
      <c r="C397" s="3480">
        <f t="shared" si="19"/>
        <v>6500</v>
      </c>
      <c r="D397" s="3480">
        <f t="shared" si="16"/>
        <v>5799</v>
      </c>
      <c r="E397" s="3413">
        <f t="shared" si="20"/>
        <v>0.4</v>
      </c>
      <c r="F397" s="3413">
        <v>0.99</v>
      </c>
      <c r="G397" s="3412">
        <f t="shared" si="17"/>
        <v>5741</v>
      </c>
      <c r="H397" s="3412">
        <f t="shared" si="18"/>
        <v>58</v>
      </c>
      <c r="I397" s="3143"/>
    </row>
    <row r="398" spans="1:14" ht="13.5">
      <c r="A398" s="3410" t="s">
        <v>3898</v>
      </c>
      <c r="B398" s="3411">
        <f>SUM(H8:H26)+SUM(H28:H47)+SUM(H49:H52)+H55+H58+H59</f>
        <v>25542.340000000004</v>
      </c>
      <c r="C398" s="3480">
        <v>4000</v>
      </c>
      <c r="D398" s="3480">
        <f t="shared" si="16"/>
        <v>10217</v>
      </c>
      <c r="E398" s="3413">
        <v>0.3</v>
      </c>
      <c r="F398" s="3413">
        <v>0.99</v>
      </c>
      <c r="G398" s="3412">
        <f t="shared" si="17"/>
        <v>10115</v>
      </c>
      <c r="H398" s="3412">
        <f t="shared" si="18"/>
        <v>102</v>
      </c>
      <c r="I398" s="3143"/>
    </row>
    <row r="399" spans="1:14" ht="13.5">
      <c r="A399" s="3410" t="s">
        <v>3504</v>
      </c>
      <c r="B399" s="3411">
        <f>H60+I61+H62</f>
        <v>9041.66</v>
      </c>
      <c r="C399" s="3480">
        <f t="shared" si="19"/>
        <v>6500</v>
      </c>
      <c r="D399" s="3480">
        <f t="shared" si="16"/>
        <v>5877</v>
      </c>
      <c r="E399" s="3413">
        <f t="shared" ref="E399:E400" si="21">$E$390</f>
        <v>0.4</v>
      </c>
      <c r="F399" s="3413">
        <v>0.99</v>
      </c>
      <c r="G399" s="3412">
        <f t="shared" si="17"/>
        <v>5818</v>
      </c>
      <c r="H399" s="3412">
        <f t="shared" si="18"/>
        <v>59</v>
      </c>
      <c r="I399" s="3143"/>
    </row>
    <row r="400" spans="1:14" ht="13.5">
      <c r="A400" s="3410" t="s">
        <v>3505</v>
      </c>
      <c r="B400" s="3411">
        <f>I64+J64+I65+J65+I66+J66</f>
        <v>10646.35</v>
      </c>
      <c r="C400" s="3480">
        <f t="shared" ref="C400" si="22">$C$390</f>
        <v>6500</v>
      </c>
      <c r="D400" s="3480">
        <f t="shared" si="16"/>
        <v>6920</v>
      </c>
      <c r="E400" s="3413">
        <f t="shared" si="21"/>
        <v>0.4</v>
      </c>
      <c r="F400" s="3413">
        <v>0.99</v>
      </c>
      <c r="G400" s="3412">
        <f t="shared" si="17"/>
        <v>6851</v>
      </c>
      <c r="H400" s="3412">
        <f t="shared" si="18"/>
        <v>69</v>
      </c>
      <c r="I400" s="3143"/>
    </row>
    <row r="401" spans="1:9" ht="13.5">
      <c r="A401" s="3410" t="s">
        <v>3506</v>
      </c>
      <c r="B401" s="3411">
        <f>SUM(I67:I70)+SUM(I72:I74)+I77+SUM(I79:I81)+I83+SUM(I85:I93)</f>
        <v>9556.94</v>
      </c>
      <c r="C401" s="3480">
        <f>$C$398</f>
        <v>4000</v>
      </c>
      <c r="D401" s="3480">
        <f t="shared" si="16"/>
        <v>3823</v>
      </c>
      <c r="E401" s="3413">
        <f>$E$398</f>
        <v>0.3</v>
      </c>
      <c r="F401" s="3413">
        <v>0.99</v>
      </c>
      <c r="G401" s="3412">
        <f t="shared" si="17"/>
        <v>3785</v>
      </c>
      <c r="H401" s="3412">
        <f t="shared" si="18"/>
        <v>38</v>
      </c>
      <c r="I401" s="3143"/>
    </row>
    <row r="402" spans="1:9" ht="13.5">
      <c r="A402" s="3410" t="s">
        <v>3507</v>
      </c>
      <c r="B402" s="3411">
        <f>SUM(I94:I96)+SUM(I98:I107)+SUM(I109:I110)+SUM(I112:I121)+SUM(I123:I125)+SUM(I127:I130)+SUM(I132:I150)+I152+SUM(I154:I157)+SUM(I160:I163)+J129+J102</f>
        <v>10265.950000000003</v>
      </c>
      <c r="C402" s="3480">
        <f>$C$398</f>
        <v>4000</v>
      </c>
      <c r="D402" s="3480">
        <f t="shared" si="16"/>
        <v>4106</v>
      </c>
      <c r="E402" s="3413">
        <f>$E$398</f>
        <v>0.3</v>
      </c>
      <c r="F402" s="3413">
        <v>0.99</v>
      </c>
      <c r="G402" s="3412">
        <f t="shared" si="17"/>
        <v>4065</v>
      </c>
      <c r="H402" s="3412">
        <f t="shared" si="18"/>
        <v>41</v>
      </c>
      <c r="I402" s="3143"/>
    </row>
    <row r="403" spans="1:9" ht="13.5">
      <c r="A403" s="3410" t="s">
        <v>3508</v>
      </c>
      <c r="B403" s="3411">
        <f>SUM(I170+J170)</f>
        <v>12432.699999999999</v>
      </c>
      <c r="C403" s="3480">
        <f>$C$390</f>
        <v>6500</v>
      </c>
      <c r="D403" s="3480">
        <f t="shared" si="16"/>
        <v>8081</v>
      </c>
      <c r="E403" s="3413">
        <f t="shared" ref="E403" si="23">$E$390</f>
        <v>0.4</v>
      </c>
      <c r="F403" s="3413">
        <v>0.99</v>
      </c>
      <c r="G403" s="3412">
        <f t="shared" si="17"/>
        <v>8000</v>
      </c>
      <c r="H403" s="3412">
        <f t="shared" si="18"/>
        <v>81</v>
      </c>
      <c r="I403" s="3143"/>
    </row>
    <row r="404" spans="1:9" ht="13.5">
      <c r="A404" s="3410" t="s">
        <v>3509</v>
      </c>
      <c r="B404" s="3411">
        <f>SUM(H164:H169)</f>
        <v>3402.1499999999996</v>
      </c>
      <c r="C404" s="3480">
        <f>$C$393</f>
        <v>6500</v>
      </c>
      <c r="D404" s="3480">
        <f t="shared" si="16"/>
        <v>2211</v>
      </c>
      <c r="E404" s="3413">
        <f>$E$393</f>
        <v>0.4</v>
      </c>
      <c r="F404" s="3413">
        <v>0.99</v>
      </c>
      <c r="G404" s="3412">
        <f t="shared" si="17"/>
        <v>2189</v>
      </c>
      <c r="H404" s="3412">
        <f t="shared" si="18"/>
        <v>22</v>
      </c>
      <c r="I404" s="3143"/>
    </row>
    <row r="405" spans="1:9" ht="13.5">
      <c r="A405" s="3410" t="s">
        <v>3510</v>
      </c>
      <c r="B405" s="3411">
        <f>SUM(I171:I179)+J179</f>
        <v>10413.82</v>
      </c>
      <c r="C405" s="3480">
        <f>$C$390</f>
        <v>6500</v>
      </c>
      <c r="D405" s="3480">
        <f t="shared" si="16"/>
        <v>6769</v>
      </c>
      <c r="E405" s="3413">
        <f t="shared" ref="E405" si="24">$E$390</f>
        <v>0.4</v>
      </c>
      <c r="F405" s="3413">
        <v>0.6</v>
      </c>
      <c r="G405" s="3412">
        <f t="shared" si="17"/>
        <v>4061</v>
      </c>
      <c r="H405" s="3412">
        <f t="shared" si="18"/>
        <v>2708</v>
      </c>
      <c r="I405" s="3143"/>
    </row>
    <row r="406" spans="1:9" ht="13.5">
      <c r="A406" s="3410" t="s">
        <v>3511</v>
      </c>
      <c r="B406" s="3411">
        <f>SUM(H180:H193)+SUM(H195:H219)+SUM(I221:I273)+J255+J272+SUM(I275:I294)+J292+SUM(I296:I313)+H315+J231</f>
        <v>22215.829999999998</v>
      </c>
      <c r="C406" s="3480">
        <f>$C$398</f>
        <v>4000</v>
      </c>
      <c r="D406" s="3480">
        <f t="shared" si="16"/>
        <v>8886</v>
      </c>
      <c r="E406" s="3413">
        <f>$E$393</f>
        <v>0.4</v>
      </c>
      <c r="F406" s="3413">
        <v>0.99</v>
      </c>
      <c r="G406" s="3412">
        <f t="shared" si="17"/>
        <v>8797</v>
      </c>
      <c r="H406" s="3412">
        <f t="shared" si="18"/>
        <v>89</v>
      </c>
      <c r="I406" s="3143"/>
    </row>
    <row r="407" spans="1:9" ht="13.5">
      <c r="A407" s="3410" t="s">
        <v>3512</v>
      </c>
      <c r="B407" s="3411">
        <f>I317+I318+J318+I316</f>
        <v>72398.740000000005</v>
      </c>
      <c r="C407" s="3480">
        <v>7500</v>
      </c>
      <c r="D407" s="3480">
        <f t="shared" si="16"/>
        <v>54299</v>
      </c>
      <c r="E407" s="3413">
        <f t="shared" ref="E407" si="25">$E$390</f>
        <v>0.4</v>
      </c>
      <c r="F407" s="3413">
        <v>0.99</v>
      </c>
      <c r="G407" s="3412">
        <f t="shared" si="17"/>
        <v>53756</v>
      </c>
      <c r="H407" s="3412">
        <f t="shared" si="18"/>
        <v>543</v>
      </c>
      <c r="I407" s="3143"/>
    </row>
    <row r="408" spans="1:9" ht="13.5">
      <c r="A408" s="3410" t="s">
        <v>3513</v>
      </c>
      <c r="B408" s="3411">
        <f>H337</f>
        <v>24172.17</v>
      </c>
      <c r="C408" s="3480">
        <v>4500</v>
      </c>
      <c r="D408" s="3480">
        <f t="shared" si="16"/>
        <v>10877</v>
      </c>
      <c r="E408" s="3413">
        <f>$E$398</f>
        <v>0.3</v>
      </c>
      <c r="F408" s="3413">
        <v>0.99</v>
      </c>
      <c r="G408" s="3412">
        <f t="shared" si="17"/>
        <v>10768</v>
      </c>
      <c r="H408" s="3412">
        <f t="shared" si="18"/>
        <v>109</v>
      </c>
      <c r="I408" s="3143"/>
    </row>
    <row r="409" spans="1:9" ht="13.5">
      <c r="A409" s="3410" t="s">
        <v>3514</v>
      </c>
      <c r="B409" s="3411">
        <f>SUM(I338:I382)+SUM(H319:H334)+J382+J377+J363</f>
        <v>14258.420000000002</v>
      </c>
      <c r="C409" s="3480">
        <f>$C$398</f>
        <v>4000</v>
      </c>
      <c r="D409" s="3480">
        <f t="shared" si="16"/>
        <v>5703</v>
      </c>
      <c r="E409" s="3413">
        <f>$E$398</f>
        <v>0.3</v>
      </c>
      <c r="F409" s="3413">
        <v>0.99</v>
      </c>
      <c r="G409" s="3412">
        <f>ROUND(F409*D409,0)</f>
        <v>5646</v>
      </c>
      <c r="H409" s="3412">
        <f t="shared" si="18"/>
        <v>57</v>
      </c>
      <c r="I409" s="3143"/>
    </row>
    <row r="410" spans="1:9">
      <c r="A410" s="3410" t="s">
        <v>3487</v>
      </c>
      <c r="B410" s="3417">
        <f>SUM(B390:B409)</f>
        <v>317263.49</v>
      </c>
      <c r="C410" s="3480">
        <f>ROUND(D410/B410*10000,0)</f>
        <v>5931</v>
      </c>
      <c r="D410" s="3480">
        <f>SUM(D390:D409)</f>
        <v>188165</v>
      </c>
      <c r="E410" s="3418">
        <f>ROUND((E390*B390+B392*E392+E393*B393+E394*B394+E398*B398+E399*B399+B400*E400+E401*B401+E402*B402+E403*B403+E404*B404+E405*B405+E406*B406+E407*B407+E408*B408+E409*B409+B395*E395+B396*E396+B397*E397+B391*E391)/B410,2)</f>
        <v>0.37</v>
      </c>
      <c r="F410" s="3418">
        <f>ROUND((F390*B390+B392*F392+F393*B393+F394*B394+F398*B398+F399*B399+B400*F400+F401*B401+F402*B402+F403*B403+F404*B404+F405*B405+F406*B406+F407*B407+F408*B408+F409*B409+B395*F395+B396*F396+B397*F397+B391*F391)/B410,2)</f>
        <v>0.98</v>
      </c>
      <c r="G410" s="3412">
        <f>SUM(G390:G409)</f>
        <v>183643</v>
      </c>
      <c r="H410" s="3412">
        <f>SUM(H390:H409)</f>
        <v>4522</v>
      </c>
      <c r="I410" s="3418">
        <f>ROUND((F390*B390+B392*F392+F393*B393+F394*B394+F398*B398+F399*B399+B400*F400+F401*B401+F402*B402+F403*B403+F404*B404+F405*B405+F406*B406+F407*B407+F408*B408+F409*B409+F411*B411+B391*F391+B395*F395+B396*F396+B397*F397)/(B410+B411),2)</f>
        <v>0.98</v>
      </c>
    </row>
    <row r="411" spans="1:9" ht="13.5">
      <c r="A411" s="3437" t="s">
        <v>3552</v>
      </c>
      <c r="B411" s="3417">
        <f>H385</f>
        <v>8795.9600000000028</v>
      </c>
      <c r="C411" s="3480">
        <v>2800</v>
      </c>
      <c r="D411" s="3480">
        <f t="shared" si="16"/>
        <v>2463</v>
      </c>
      <c r="E411" s="3143"/>
      <c r="F411" s="3413">
        <v>0.99</v>
      </c>
      <c r="G411" s="3412">
        <f t="shared" si="17"/>
        <v>2438</v>
      </c>
      <c r="H411" s="3412">
        <f t="shared" si="18"/>
        <v>25</v>
      </c>
      <c r="I411" s="3143"/>
    </row>
    <row r="412" spans="1:9" ht="13.5">
      <c r="A412" s="3419" t="s">
        <v>3515</v>
      </c>
      <c r="B412" s="3419">
        <f>ROUND(3765112/10000,0)</f>
        <v>377</v>
      </c>
      <c r="C412" s="3481"/>
      <c r="D412" s="3481"/>
      <c r="E412" s="3143"/>
      <c r="F412" s="3143"/>
      <c r="G412" s="3143"/>
      <c r="H412" s="3143"/>
      <c r="I412" s="3143"/>
    </row>
    <row r="413" spans="1:9" ht="13.5">
      <c r="A413" s="3420" t="s">
        <v>3516</v>
      </c>
      <c r="B413" s="3419">
        <f>ROUND((D410+D411)*10%,0)</f>
        <v>19063</v>
      </c>
      <c r="C413" s="3481"/>
      <c r="D413" s="3481"/>
      <c r="E413" s="3143"/>
      <c r="F413" s="3143"/>
      <c r="G413" s="3143"/>
      <c r="H413" s="3143"/>
      <c r="I413" s="3143"/>
    </row>
  </sheetData>
  <autoFilter ref="A1:O387"/>
  <mergeCells count="73">
    <mergeCell ref="A2:A3"/>
    <mergeCell ref="C2:C3"/>
    <mergeCell ref="A5:A40"/>
    <mergeCell ref="C5:C40"/>
    <mergeCell ref="L5:L40"/>
    <mergeCell ref="D7:D26"/>
    <mergeCell ref="D28:D31"/>
    <mergeCell ref="B2:B4"/>
    <mergeCell ref="B5:B59"/>
    <mergeCell ref="L2:L4"/>
    <mergeCell ref="D32:D33"/>
    <mergeCell ref="D36:D37"/>
    <mergeCell ref="A60:A66"/>
    <mergeCell ref="B60:B63"/>
    <mergeCell ref="C60:C63"/>
    <mergeCell ref="D60:D63"/>
    <mergeCell ref="C41:C59"/>
    <mergeCell ref="D41:D59"/>
    <mergeCell ref="A67:A93"/>
    <mergeCell ref="B67:B93"/>
    <mergeCell ref="C67:C93"/>
    <mergeCell ref="D67:D93"/>
    <mergeCell ref="L67:L93"/>
    <mergeCell ref="L60:L63"/>
    <mergeCell ref="B64:B66"/>
    <mergeCell ref="C64:C66"/>
    <mergeCell ref="D64:D66"/>
    <mergeCell ref="L64:L66"/>
    <mergeCell ref="L94:L163"/>
    <mergeCell ref="A164:A170"/>
    <mergeCell ref="B164:B170"/>
    <mergeCell ref="C164:C170"/>
    <mergeCell ref="D164:D169"/>
    <mergeCell ref="L164:L170"/>
    <mergeCell ref="A94:A163"/>
    <mergeCell ref="B94:B163"/>
    <mergeCell ref="C94:C163"/>
    <mergeCell ref="D94:D163"/>
    <mergeCell ref="D220:D230"/>
    <mergeCell ref="A171:A179"/>
    <mergeCell ref="B171:B179"/>
    <mergeCell ref="C171:C179"/>
    <mergeCell ref="D171:D179"/>
    <mergeCell ref="D197:D217"/>
    <mergeCell ref="L171:L179"/>
    <mergeCell ref="D307:D310"/>
    <mergeCell ref="L316:L318"/>
    <mergeCell ref="D317:D318"/>
    <mergeCell ref="A319:A383"/>
    <mergeCell ref="B319:B383"/>
    <mergeCell ref="C319:C383"/>
    <mergeCell ref="D319:D383"/>
    <mergeCell ref="L319:L383"/>
    <mergeCell ref="A180:A315"/>
    <mergeCell ref="B180:B315"/>
    <mergeCell ref="C180:C315"/>
    <mergeCell ref="D180:D193"/>
    <mergeCell ref="L180:L315"/>
    <mergeCell ref="D314:D315"/>
    <mergeCell ref="D194:D195"/>
    <mergeCell ref="A384:D384"/>
    <mergeCell ref="G386:G387"/>
    <mergeCell ref="H386:H387"/>
    <mergeCell ref="A316:A318"/>
    <mergeCell ref="B316:B318"/>
    <mergeCell ref="C316:C318"/>
    <mergeCell ref="D278:D291"/>
    <mergeCell ref="D292:D298"/>
    <mergeCell ref="D299:D306"/>
    <mergeCell ref="D232:D233"/>
    <mergeCell ref="D235:D250"/>
    <mergeCell ref="D251:D274"/>
    <mergeCell ref="D276:D277"/>
  </mergeCells>
  <phoneticPr fontId="26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413"/>
  <sheetViews>
    <sheetView topLeftCell="A325" workbookViewId="0">
      <selection activeCell="Q378" sqref="Q378"/>
    </sheetView>
  </sheetViews>
  <sheetFormatPr defaultRowHeight="13.5"/>
  <cols>
    <col min="1" max="1" width="4.25" style="3476" customWidth="1"/>
    <col min="2" max="2" width="7.625" style="3476" customWidth="1"/>
    <col min="3" max="3" width="8" style="3476" customWidth="1"/>
    <col min="4" max="4" width="10.625" style="3498" customWidth="1"/>
    <col min="5" max="5" width="7.125" style="3476" customWidth="1"/>
    <col min="6" max="6" width="6.875" style="3476" customWidth="1"/>
    <col min="7" max="7" width="9" style="3476"/>
    <col min="8" max="8" width="10.5" style="3476" bestFit="1" customWidth="1"/>
    <col min="9" max="9" width="9.5" style="3476" bestFit="1" customWidth="1"/>
    <col min="10" max="11" width="9.125" style="3476" bestFit="1" customWidth="1"/>
    <col min="12" max="12" width="9.375" style="3476" bestFit="1" customWidth="1"/>
    <col min="13" max="16384" width="9" style="3476"/>
  </cols>
  <sheetData>
    <row r="1" spans="1:12" ht="36">
      <c r="A1" s="3493" t="s">
        <v>1619</v>
      </c>
      <c r="B1" s="3473" t="s">
        <v>3079</v>
      </c>
      <c r="C1" s="3493" t="s">
        <v>3080</v>
      </c>
      <c r="D1" s="3496" t="s">
        <v>3081</v>
      </c>
      <c r="E1" s="3493" t="s">
        <v>3555</v>
      </c>
      <c r="F1" s="3493" t="s">
        <v>3083</v>
      </c>
      <c r="G1" s="3493" t="s">
        <v>3556</v>
      </c>
      <c r="H1" s="3493" t="s">
        <v>3557</v>
      </c>
      <c r="I1" s="3474" t="s">
        <v>3086</v>
      </c>
      <c r="J1" s="3493" t="s">
        <v>3087</v>
      </c>
      <c r="K1" s="3493" t="s">
        <v>3088</v>
      </c>
      <c r="L1" s="3493" t="s">
        <v>3089</v>
      </c>
    </row>
    <row r="2" spans="1:12" ht="36">
      <c r="A2" s="3493">
        <v>1</v>
      </c>
      <c r="B2" s="3608" t="s">
        <v>3093</v>
      </c>
      <c r="C2" s="3611" t="s">
        <v>3094</v>
      </c>
      <c r="D2" s="3496" t="s">
        <v>3890</v>
      </c>
      <c r="E2" s="3493" t="s">
        <v>3559</v>
      </c>
      <c r="F2" s="3493" t="s">
        <v>3097</v>
      </c>
      <c r="G2" s="3493" t="s">
        <v>3560</v>
      </c>
      <c r="H2" s="3493">
        <v>433.24</v>
      </c>
      <c r="I2" s="3493">
        <v>227.5</v>
      </c>
      <c r="J2" s="3493">
        <v>205.74</v>
      </c>
      <c r="K2" s="3354" t="s">
        <v>3866</v>
      </c>
      <c r="L2" s="3583">
        <v>47458.59</v>
      </c>
    </row>
    <row r="3" spans="1:12" ht="36">
      <c r="A3" s="3493">
        <v>2</v>
      </c>
      <c r="B3" s="3609"/>
      <c r="C3" s="3581"/>
      <c r="D3" s="3496" t="s">
        <v>3883</v>
      </c>
      <c r="E3" s="3493" t="s">
        <v>3559</v>
      </c>
      <c r="F3" s="3493" t="s">
        <v>3315</v>
      </c>
      <c r="G3" s="3493" t="s">
        <v>3102</v>
      </c>
      <c r="H3" s="3493">
        <v>44820.35</v>
      </c>
      <c r="I3" s="3354">
        <v>26211.16</v>
      </c>
      <c r="J3" s="3354">
        <v>18162.900000000001</v>
      </c>
      <c r="K3" s="3354">
        <v>446.29</v>
      </c>
      <c r="L3" s="3583"/>
    </row>
    <row r="4" spans="1:12" ht="36">
      <c r="A4" s="3493">
        <v>3</v>
      </c>
      <c r="B4" s="3610"/>
      <c r="C4" s="3493" t="s">
        <v>3864</v>
      </c>
      <c r="D4" s="3497" t="s">
        <v>3871</v>
      </c>
      <c r="E4" s="3493" t="s">
        <v>3866</v>
      </c>
      <c r="F4" s="3493" t="s">
        <v>3866</v>
      </c>
      <c r="G4" s="3493" t="s">
        <v>3857</v>
      </c>
      <c r="H4" s="3493">
        <v>3539.52</v>
      </c>
      <c r="I4" s="3354">
        <v>3539.52</v>
      </c>
      <c r="J4" s="3354" t="s">
        <v>3866</v>
      </c>
      <c r="K4" s="3354" t="s">
        <v>3866</v>
      </c>
      <c r="L4" s="3583"/>
    </row>
    <row r="5" spans="1:12" ht="36">
      <c r="A5" s="3493">
        <v>4</v>
      </c>
      <c r="B5" s="3611" t="s">
        <v>3561</v>
      </c>
      <c r="C5" s="3611" t="s">
        <v>3104</v>
      </c>
      <c r="D5" s="3494" t="s">
        <v>3879</v>
      </c>
      <c r="E5" s="3493" t="s">
        <v>3106</v>
      </c>
      <c r="F5" s="3493" t="s">
        <v>3097</v>
      </c>
      <c r="G5" s="3493" t="s">
        <v>3310</v>
      </c>
      <c r="H5" s="3493">
        <v>7442.38</v>
      </c>
      <c r="I5" s="3354">
        <v>5983.33</v>
      </c>
      <c r="J5" s="3354">
        <v>1361.55</v>
      </c>
      <c r="K5" s="3354">
        <v>97.5</v>
      </c>
      <c r="L5" s="3611">
        <v>79775.149999999994</v>
      </c>
    </row>
    <row r="6" spans="1:12" ht="36">
      <c r="A6" s="3493">
        <v>5</v>
      </c>
      <c r="B6" s="3589"/>
      <c r="C6" s="3589"/>
      <c r="D6" s="3494" t="s">
        <v>3891</v>
      </c>
      <c r="E6" s="3493" t="s">
        <v>3106</v>
      </c>
      <c r="F6" s="3493" t="s">
        <v>3562</v>
      </c>
      <c r="G6" s="3493" t="s">
        <v>3563</v>
      </c>
      <c r="H6" s="3493">
        <v>10101.4</v>
      </c>
      <c r="I6" s="3391">
        <f>H6</f>
        <v>10101.4</v>
      </c>
      <c r="J6" s="3354" t="s">
        <v>3866</v>
      </c>
      <c r="K6" s="3354" t="s">
        <v>3866</v>
      </c>
      <c r="L6" s="3589"/>
    </row>
    <row r="7" spans="1:12" ht="13.5" customHeight="1">
      <c r="A7" s="3493">
        <v>6</v>
      </c>
      <c r="B7" s="3589"/>
      <c r="C7" s="3589"/>
      <c r="D7" s="3586" t="s">
        <v>3892</v>
      </c>
      <c r="E7" s="3493" t="s">
        <v>3566</v>
      </c>
      <c r="F7" s="3493" t="s">
        <v>3567</v>
      </c>
      <c r="G7" s="3391" t="s">
        <v>3568</v>
      </c>
      <c r="H7" s="3391">
        <v>167.4</v>
      </c>
      <c r="I7" s="3391">
        <f>H7</f>
        <v>167.4</v>
      </c>
      <c r="J7" s="3354" t="s">
        <v>3866</v>
      </c>
      <c r="K7" s="3354" t="s">
        <v>3866</v>
      </c>
      <c r="L7" s="3589"/>
    </row>
    <row r="8" spans="1:12">
      <c r="A8" s="3493">
        <v>7</v>
      </c>
      <c r="B8" s="3589"/>
      <c r="C8" s="3589"/>
      <c r="D8" s="3587"/>
      <c r="E8" s="3493" t="s">
        <v>3571</v>
      </c>
      <c r="F8" s="3493" t="s">
        <v>3572</v>
      </c>
      <c r="G8" s="3391" t="s">
        <v>3573</v>
      </c>
      <c r="H8" s="3391">
        <v>1937.15</v>
      </c>
      <c r="I8" s="3354">
        <v>1382.59</v>
      </c>
      <c r="J8" s="3354">
        <v>554.55999999999995</v>
      </c>
      <c r="K8" s="3354" t="s">
        <v>3866</v>
      </c>
      <c r="L8" s="3589"/>
    </row>
    <row r="9" spans="1:12">
      <c r="A9" s="3493">
        <v>8</v>
      </c>
      <c r="B9" s="3589"/>
      <c r="C9" s="3589"/>
      <c r="D9" s="3587"/>
      <c r="E9" s="3493" t="s">
        <v>3571</v>
      </c>
      <c r="F9" s="3493" t="s">
        <v>3574</v>
      </c>
      <c r="G9" s="3391" t="s">
        <v>3575</v>
      </c>
      <c r="H9" s="3391">
        <v>310.25</v>
      </c>
      <c r="I9" s="3391">
        <f>H9</f>
        <v>310.25</v>
      </c>
      <c r="J9" s="3354" t="s">
        <v>3866</v>
      </c>
      <c r="K9" s="3354" t="s">
        <v>3866</v>
      </c>
      <c r="L9" s="3589"/>
    </row>
    <row r="10" spans="1:12">
      <c r="A10" s="3493">
        <v>9</v>
      </c>
      <c r="B10" s="3589"/>
      <c r="C10" s="3589"/>
      <c r="D10" s="3587"/>
      <c r="E10" s="3493" t="s">
        <v>3571</v>
      </c>
      <c r="F10" s="3493" t="s">
        <v>3576</v>
      </c>
      <c r="G10" s="3391" t="s">
        <v>3573</v>
      </c>
      <c r="H10" s="3391">
        <v>1207.0999999999999</v>
      </c>
      <c r="I10" s="3354">
        <v>1155.5899999999999</v>
      </c>
      <c r="J10" s="3354">
        <v>51.51</v>
      </c>
      <c r="K10" s="3354" t="s">
        <v>3866</v>
      </c>
      <c r="L10" s="3589"/>
    </row>
    <row r="11" spans="1:12">
      <c r="A11" s="3493">
        <v>10</v>
      </c>
      <c r="B11" s="3589"/>
      <c r="C11" s="3589"/>
      <c r="D11" s="3587"/>
      <c r="E11" s="3493" t="s">
        <v>3571</v>
      </c>
      <c r="F11" s="3493" t="s">
        <v>3577</v>
      </c>
      <c r="G11" s="3391" t="s">
        <v>3578</v>
      </c>
      <c r="H11" s="3391">
        <v>482.61</v>
      </c>
      <c r="I11" s="3391">
        <f>H11</f>
        <v>482.61</v>
      </c>
      <c r="J11" s="3354" t="s">
        <v>3866</v>
      </c>
      <c r="K11" s="3354" t="s">
        <v>3866</v>
      </c>
      <c r="L11" s="3589"/>
    </row>
    <row r="12" spans="1:12">
      <c r="A12" s="3493">
        <v>11</v>
      </c>
      <c r="B12" s="3589"/>
      <c r="C12" s="3589"/>
      <c r="D12" s="3587"/>
      <c r="E12" s="3493" t="s">
        <v>3571</v>
      </c>
      <c r="F12" s="3493" t="s">
        <v>3579</v>
      </c>
      <c r="G12" s="3391" t="s">
        <v>3580</v>
      </c>
      <c r="H12" s="3391">
        <v>1774.04</v>
      </c>
      <c r="I12" s="3354">
        <v>1592.38</v>
      </c>
      <c r="J12" s="3354">
        <v>181.66</v>
      </c>
      <c r="K12" s="3354" t="s">
        <v>3866</v>
      </c>
      <c r="L12" s="3589"/>
    </row>
    <row r="13" spans="1:12">
      <c r="A13" s="3493">
        <v>12</v>
      </c>
      <c r="B13" s="3589"/>
      <c r="C13" s="3589"/>
      <c r="D13" s="3587"/>
      <c r="E13" s="3493" t="s">
        <v>3571</v>
      </c>
      <c r="F13" s="3493" t="s">
        <v>3581</v>
      </c>
      <c r="G13" s="3391" t="s">
        <v>3573</v>
      </c>
      <c r="H13" s="3391">
        <v>475.41</v>
      </c>
      <c r="I13" s="3391">
        <f>H13</f>
        <v>475.41</v>
      </c>
      <c r="J13" s="3354" t="s">
        <v>3866</v>
      </c>
      <c r="K13" s="3354" t="s">
        <v>3866</v>
      </c>
      <c r="L13" s="3589"/>
    </row>
    <row r="14" spans="1:12">
      <c r="A14" s="3493">
        <v>13</v>
      </c>
      <c r="B14" s="3589"/>
      <c r="C14" s="3589"/>
      <c r="D14" s="3587"/>
      <c r="E14" s="3493" t="s">
        <v>3571</v>
      </c>
      <c r="F14" s="3493" t="s">
        <v>3122</v>
      </c>
      <c r="G14" s="3391" t="s">
        <v>3582</v>
      </c>
      <c r="H14" s="3391">
        <v>1385.3</v>
      </c>
      <c r="I14" s="3391">
        <f>H14</f>
        <v>1385.3</v>
      </c>
      <c r="J14" s="3354" t="s">
        <v>3866</v>
      </c>
      <c r="K14" s="3354" t="s">
        <v>3866</v>
      </c>
      <c r="L14" s="3589"/>
    </row>
    <row r="15" spans="1:12">
      <c r="A15" s="3493">
        <v>14</v>
      </c>
      <c r="B15" s="3589"/>
      <c r="C15" s="3589"/>
      <c r="D15" s="3587"/>
      <c r="E15" s="3493" t="s">
        <v>3571</v>
      </c>
      <c r="F15" s="3493" t="s">
        <v>3583</v>
      </c>
      <c r="G15" s="3391" t="s">
        <v>3573</v>
      </c>
      <c r="H15" s="3391">
        <v>1009.66</v>
      </c>
      <c r="I15" s="3391">
        <f>H15</f>
        <v>1009.66</v>
      </c>
      <c r="J15" s="3354" t="s">
        <v>3866</v>
      </c>
      <c r="K15" s="3354" t="s">
        <v>3866</v>
      </c>
      <c r="L15" s="3589"/>
    </row>
    <row r="16" spans="1:12">
      <c r="A16" s="3493">
        <v>15</v>
      </c>
      <c r="B16" s="3589"/>
      <c r="C16" s="3589"/>
      <c r="D16" s="3587"/>
      <c r="E16" s="3493" t="s">
        <v>3571</v>
      </c>
      <c r="F16" s="3493" t="s">
        <v>3584</v>
      </c>
      <c r="G16" s="3391" t="s">
        <v>3573</v>
      </c>
      <c r="H16" s="3391">
        <v>1560.09</v>
      </c>
      <c r="I16" s="3391">
        <f>H16</f>
        <v>1560.09</v>
      </c>
      <c r="J16" s="3354" t="s">
        <v>3866</v>
      </c>
      <c r="K16" s="3354" t="s">
        <v>3866</v>
      </c>
      <c r="L16" s="3589"/>
    </row>
    <row r="17" spans="1:12">
      <c r="A17" s="3493">
        <v>16</v>
      </c>
      <c r="B17" s="3589"/>
      <c r="C17" s="3589"/>
      <c r="D17" s="3587"/>
      <c r="E17" s="3493" t="s">
        <v>3571</v>
      </c>
      <c r="F17" s="3493" t="s">
        <v>3585</v>
      </c>
      <c r="G17" s="3391" t="s">
        <v>3573</v>
      </c>
      <c r="H17" s="3391">
        <v>399.85</v>
      </c>
      <c r="I17" s="3391">
        <f>H17</f>
        <v>399.85</v>
      </c>
      <c r="J17" s="3354" t="s">
        <v>3866</v>
      </c>
      <c r="K17" s="3354" t="s">
        <v>3866</v>
      </c>
      <c r="L17" s="3589"/>
    </row>
    <row r="18" spans="1:12">
      <c r="A18" s="3493">
        <v>17</v>
      </c>
      <c r="B18" s="3589"/>
      <c r="C18" s="3589"/>
      <c r="D18" s="3587"/>
      <c r="E18" s="3493" t="s">
        <v>3571</v>
      </c>
      <c r="F18" s="3493" t="s">
        <v>3586</v>
      </c>
      <c r="G18" s="3391" t="s">
        <v>3587</v>
      </c>
      <c r="H18" s="3493">
        <v>281.77999999999997</v>
      </c>
      <c r="I18" s="3391">
        <f t="shared" ref="I18:I31" si="0">H18</f>
        <v>281.77999999999997</v>
      </c>
      <c r="J18" s="3354" t="s">
        <v>3866</v>
      </c>
      <c r="K18" s="3354" t="s">
        <v>3866</v>
      </c>
      <c r="L18" s="3589"/>
    </row>
    <row r="19" spans="1:12">
      <c r="A19" s="3493">
        <v>18</v>
      </c>
      <c r="B19" s="3589"/>
      <c r="C19" s="3589"/>
      <c r="D19" s="3587"/>
      <c r="E19" s="3493" t="s">
        <v>3571</v>
      </c>
      <c r="F19" s="3493" t="s">
        <v>3133</v>
      </c>
      <c r="G19" s="3391" t="s">
        <v>3587</v>
      </c>
      <c r="H19" s="3493">
        <v>328.52</v>
      </c>
      <c r="I19" s="3391">
        <f t="shared" si="0"/>
        <v>328.52</v>
      </c>
      <c r="J19" s="3354" t="s">
        <v>3866</v>
      </c>
      <c r="K19" s="3354" t="s">
        <v>3866</v>
      </c>
      <c r="L19" s="3589"/>
    </row>
    <row r="20" spans="1:12">
      <c r="A20" s="3493">
        <v>19</v>
      </c>
      <c r="B20" s="3589"/>
      <c r="C20" s="3589"/>
      <c r="D20" s="3587"/>
      <c r="E20" s="3493" t="s">
        <v>3571</v>
      </c>
      <c r="F20" s="3493" t="s">
        <v>3135</v>
      </c>
      <c r="G20" s="3391" t="s">
        <v>3587</v>
      </c>
      <c r="H20" s="3493">
        <v>548.87</v>
      </c>
      <c r="I20" s="3391">
        <f t="shared" si="0"/>
        <v>548.87</v>
      </c>
      <c r="J20" s="3354" t="s">
        <v>3866</v>
      </c>
      <c r="K20" s="3354" t="s">
        <v>3866</v>
      </c>
      <c r="L20" s="3589"/>
    </row>
    <row r="21" spans="1:12">
      <c r="A21" s="3493">
        <v>20</v>
      </c>
      <c r="B21" s="3589"/>
      <c r="C21" s="3589"/>
      <c r="D21" s="3587"/>
      <c r="E21" s="3493" t="s">
        <v>3571</v>
      </c>
      <c r="F21" s="3493" t="s">
        <v>3136</v>
      </c>
      <c r="G21" s="3391" t="s">
        <v>3587</v>
      </c>
      <c r="H21" s="3493">
        <v>402.06</v>
      </c>
      <c r="I21" s="3391">
        <f t="shared" si="0"/>
        <v>402.06</v>
      </c>
      <c r="J21" s="3354" t="s">
        <v>3866</v>
      </c>
      <c r="K21" s="3354" t="s">
        <v>3866</v>
      </c>
      <c r="L21" s="3589"/>
    </row>
    <row r="22" spans="1:12">
      <c r="A22" s="3493">
        <v>21</v>
      </c>
      <c r="B22" s="3589"/>
      <c r="C22" s="3589"/>
      <c r="D22" s="3587"/>
      <c r="E22" s="3493" t="s">
        <v>3571</v>
      </c>
      <c r="F22" s="3493" t="s">
        <v>3137</v>
      </c>
      <c r="G22" s="3391" t="s">
        <v>3587</v>
      </c>
      <c r="H22" s="3493">
        <v>210.19</v>
      </c>
      <c r="I22" s="3391">
        <f t="shared" si="0"/>
        <v>210.19</v>
      </c>
      <c r="J22" s="3354" t="s">
        <v>3866</v>
      </c>
      <c r="K22" s="3354" t="s">
        <v>3866</v>
      </c>
      <c r="L22" s="3589"/>
    </row>
    <row r="23" spans="1:12">
      <c r="A23" s="3493">
        <v>22</v>
      </c>
      <c r="B23" s="3589"/>
      <c r="C23" s="3589"/>
      <c r="D23" s="3587"/>
      <c r="E23" s="3493" t="s">
        <v>3571</v>
      </c>
      <c r="F23" s="3493" t="s">
        <v>3588</v>
      </c>
      <c r="G23" s="3391" t="s">
        <v>3589</v>
      </c>
      <c r="H23" s="3391">
        <v>471.67</v>
      </c>
      <c r="I23" s="3391">
        <f t="shared" si="0"/>
        <v>471.67</v>
      </c>
      <c r="J23" s="3354" t="s">
        <v>3866</v>
      </c>
      <c r="K23" s="3354" t="s">
        <v>3866</v>
      </c>
      <c r="L23" s="3589"/>
    </row>
    <row r="24" spans="1:12">
      <c r="A24" s="3493">
        <v>23</v>
      </c>
      <c r="B24" s="3589"/>
      <c r="C24" s="3589"/>
      <c r="D24" s="3587"/>
      <c r="E24" s="3493" t="s">
        <v>3571</v>
      </c>
      <c r="F24" s="3493" t="s">
        <v>3140</v>
      </c>
      <c r="G24" s="3391" t="s">
        <v>3589</v>
      </c>
      <c r="H24" s="3493">
        <v>552.41999999999996</v>
      </c>
      <c r="I24" s="3391">
        <f t="shared" si="0"/>
        <v>552.41999999999996</v>
      </c>
      <c r="J24" s="3354" t="s">
        <v>3866</v>
      </c>
      <c r="K24" s="3354" t="s">
        <v>3866</v>
      </c>
      <c r="L24" s="3589"/>
    </row>
    <row r="25" spans="1:12">
      <c r="A25" s="3493">
        <v>24</v>
      </c>
      <c r="B25" s="3589"/>
      <c r="C25" s="3589"/>
      <c r="D25" s="3587"/>
      <c r="E25" s="3493" t="s">
        <v>3571</v>
      </c>
      <c r="F25" s="3493" t="s">
        <v>3590</v>
      </c>
      <c r="G25" s="3391" t="s">
        <v>3589</v>
      </c>
      <c r="H25" s="3493">
        <v>253.85</v>
      </c>
      <c r="I25" s="3391">
        <f t="shared" si="0"/>
        <v>253.85</v>
      </c>
      <c r="J25" s="3354" t="s">
        <v>3866</v>
      </c>
      <c r="K25" s="3354" t="s">
        <v>3866</v>
      </c>
      <c r="L25" s="3589"/>
    </row>
    <row r="26" spans="1:12">
      <c r="A26" s="3493">
        <v>25</v>
      </c>
      <c r="B26" s="3589"/>
      <c r="C26" s="3589"/>
      <c r="D26" s="3588"/>
      <c r="E26" s="3493" t="s">
        <v>3571</v>
      </c>
      <c r="F26" s="3493" t="s">
        <v>3591</v>
      </c>
      <c r="G26" s="3391" t="s">
        <v>3589</v>
      </c>
      <c r="H26" s="3493">
        <v>208.83</v>
      </c>
      <c r="I26" s="3391">
        <f t="shared" si="0"/>
        <v>208.83</v>
      </c>
      <c r="J26" s="3354" t="s">
        <v>3866</v>
      </c>
      <c r="K26" s="3354" t="s">
        <v>3866</v>
      </c>
      <c r="L26" s="3589"/>
    </row>
    <row r="27" spans="1:12" ht="36">
      <c r="A27" s="3493">
        <v>26</v>
      </c>
      <c r="B27" s="3589"/>
      <c r="C27" s="3589"/>
      <c r="D27" s="3494" t="s">
        <v>3882</v>
      </c>
      <c r="E27" s="3493" t="s">
        <v>3571</v>
      </c>
      <c r="F27" s="3493" t="s">
        <v>3592</v>
      </c>
      <c r="G27" s="3391" t="s">
        <v>3593</v>
      </c>
      <c r="H27" s="3493">
        <v>13512.13</v>
      </c>
      <c r="I27" s="3493">
        <f t="shared" si="0"/>
        <v>13512.13</v>
      </c>
      <c r="J27" s="3354" t="s">
        <v>3866</v>
      </c>
      <c r="K27" s="3354" t="s">
        <v>3866</v>
      </c>
      <c r="L27" s="3589"/>
    </row>
    <row r="28" spans="1:12" ht="13.5" customHeight="1">
      <c r="A28" s="3493">
        <v>27</v>
      </c>
      <c r="B28" s="3589"/>
      <c r="C28" s="3589"/>
      <c r="D28" s="3586" t="s">
        <v>3878</v>
      </c>
      <c r="E28" s="3493" t="s">
        <v>3571</v>
      </c>
      <c r="F28" s="3493" t="s">
        <v>3595</v>
      </c>
      <c r="G28" s="3391" t="s">
        <v>3589</v>
      </c>
      <c r="H28" s="3493">
        <v>115.19</v>
      </c>
      <c r="I28" s="3391">
        <f t="shared" si="0"/>
        <v>115.19</v>
      </c>
      <c r="J28" s="3354" t="s">
        <v>3866</v>
      </c>
      <c r="K28" s="3354" t="s">
        <v>3866</v>
      </c>
      <c r="L28" s="3589"/>
    </row>
    <row r="29" spans="1:12">
      <c r="A29" s="3493">
        <v>28</v>
      </c>
      <c r="B29" s="3589"/>
      <c r="C29" s="3589"/>
      <c r="D29" s="3587"/>
      <c r="E29" s="3493" t="s">
        <v>3571</v>
      </c>
      <c r="F29" s="3493" t="s">
        <v>3596</v>
      </c>
      <c r="G29" s="3391" t="s">
        <v>3597</v>
      </c>
      <c r="H29" s="3493">
        <v>1121.55</v>
      </c>
      <c r="I29" s="3391">
        <f t="shared" si="0"/>
        <v>1121.55</v>
      </c>
      <c r="J29" s="3354" t="s">
        <v>3866</v>
      </c>
      <c r="K29" s="3354" t="s">
        <v>3866</v>
      </c>
      <c r="L29" s="3589"/>
    </row>
    <row r="30" spans="1:12">
      <c r="A30" s="3493">
        <v>29</v>
      </c>
      <c r="B30" s="3589"/>
      <c r="C30" s="3589"/>
      <c r="D30" s="3587"/>
      <c r="E30" s="3493" t="s">
        <v>3571</v>
      </c>
      <c r="F30" s="3493" t="s">
        <v>3598</v>
      </c>
      <c r="G30" s="3391" t="s">
        <v>3589</v>
      </c>
      <c r="H30" s="3493">
        <v>90.39</v>
      </c>
      <c r="I30" s="3391">
        <f t="shared" si="0"/>
        <v>90.39</v>
      </c>
      <c r="J30" s="3354" t="s">
        <v>3866</v>
      </c>
      <c r="K30" s="3354" t="s">
        <v>3866</v>
      </c>
      <c r="L30" s="3589"/>
    </row>
    <row r="31" spans="1:12">
      <c r="A31" s="3493">
        <v>30</v>
      </c>
      <c r="B31" s="3589"/>
      <c r="C31" s="3589"/>
      <c r="D31" s="3588"/>
      <c r="E31" s="3493" t="s">
        <v>3571</v>
      </c>
      <c r="F31" s="3493" t="s">
        <v>3599</v>
      </c>
      <c r="G31" s="3391" t="s">
        <v>3597</v>
      </c>
      <c r="H31" s="3493">
        <v>1490.66</v>
      </c>
      <c r="I31" s="3493">
        <f t="shared" si="0"/>
        <v>1490.66</v>
      </c>
      <c r="J31" s="3354" t="s">
        <v>3866</v>
      </c>
      <c r="K31" s="3354" t="s">
        <v>3866</v>
      </c>
      <c r="L31" s="3589"/>
    </row>
    <row r="32" spans="1:12" ht="13.5" customHeight="1">
      <c r="A32" s="3493">
        <v>31</v>
      </c>
      <c r="B32" s="3589"/>
      <c r="C32" s="3589"/>
      <c r="D32" s="3586" t="s">
        <v>3891</v>
      </c>
      <c r="E32" s="3493" t="s">
        <v>3571</v>
      </c>
      <c r="F32" s="3493" t="s">
        <v>3600</v>
      </c>
      <c r="G32" s="3391" t="s">
        <v>3589</v>
      </c>
      <c r="H32" s="3493">
        <v>287.56</v>
      </c>
      <c r="I32" s="3354">
        <v>251.98</v>
      </c>
      <c r="J32" s="3354">
        <v>35.58</v>
      </c>
      <c r="K32" s="3354" t="s">
        <v>3866</v>
      </c>
      <c r="L32" s="3589"/>
    </row>
    <row r="33" spans="1:12">
      <c r="A33" s="3493">
        <v>32</v>
      </c>
      <c r="B33" s="3589"/>
      <c r="C33" s="3589"/>
      <c r="D33" s="3588"/>
      <c r="E33" s="3493" t="s">
        <v>3571</v>
      </c>
      <c r="F33" s="3493" t="s">
        <v>3601</v>
      </c>
      <c r="G33" s="3391" t="s">
        <v>3589</v>
      </c>
      <c r="H33" s="3493">
        <v>290.89999999999998</v>
      </c>
      <c r="I33" s="3493">
        <f>H33</f>
        <v>290.89999999999998</v>
      </c>
      <c r="J33" s="3354" t="s">
        <v>3866</v>
      </c>
      <c r="K33" s="3354" t="s">
        <v>3866</v>
      </c>
      <c r="L33" s="3589"/>
    </row>
    <row r="34" spans="1:12" ht="36">
      <c r="A34" s="3493">
        <v>33</v>
      </c>
      <c r="B34" s="3589"/>
      <c r="C34" s="3589"/>
      <c r="D34" s="3494" t="s">
        <v>3878</v>
      </c>
      <c r="E34" s="3493" t="s">
        <v>3571</v>
      </c>
      <c r="F34" s="3493" t="s">
        <v>3602</v>
      </c>
      <c r="G34" s="3391" t="s">
        <v>3573</v>
      </c>
      <c r="H34" s="3493">
        <v>623.49</v>
      </c>
      <c r="I34" s="3493">
        <f>H34</f>
        <v>623.49</v>
      </c>
      <c r="J34" s="3354" t="s">
        <v>3866</v>
      </c>
      <c r="K34" s="3354" t="s">
        <v>3866</v>
      </c>
      <c r="L34" s="3589"/>
    </row>
    <row r="35" spans="1:12" ht="36">
      <c r="A35" s="3493">
        <v>34</v>
      </c>
      <c r="B35" s="3589"/>
      <c r="C35" s="3589"/>
      <c r="D35" s="3494" t="s">
        <v>3891</v>
      </c>
      <c r="E35" s="3493" t="s">
        <v>3571</v>
      </c>
      <c r="F35" s="3493" t="s">
        <v>3603</v>
      </c>
      <c r="G35" s="3391" t="s">
        <v>3580</v>
      </c>
      <c r="H35" s="3493">
        <v>735.78</v>
      </c>
      <c r="I35" s="3391">
        <f>H35</f>
        <v>735.78</v>
      </c>
      <c r="J35" s="3354" t="s">
        <v>3866</v>
      </c>
      <c r="K35" s="3354" t="s">
        <v>3866</v>
      </c>
      <c r="L35" s="3589"/>
    </row>
    <row r="36" spans="1:12" ht="13.5" customHeight="1">
      <c r="A36" s="3493">
        <v>35</v>
      </c>
      <c r="B36" s="3589"/>
      <c r="C36" s="3589"/>
      <c r="D36" s="3586" t="s">
        <v>3878</v>
      </c>
      <c r="E36" s="3493" t="s">
        <v>3571</v>
      </c>
      <c r="F36" s="3493" t="s">
        <v>3604</v>
      </c>
      <c r="G36" s="3391" t="s">
        <v>3580</v>
      </c>
      <c r="H36" s="3493">
        <v>59.29</v>
      </c>
      <c r="I36" s="3493">
        <f>H36</f>
        <v>59.29</v>
      </c>
      <c r="J36" s="3354" t="s">
        <v>3866</v>
      </c>
      <c r="K36" s="3354" t="s">
        <v>3866</v>
      </c>
      <c r="L36" s="3589"/>
    </row>
    <row r="37" spans="1:12">
      <c r="A37" s="3493">
        <v>36</v>
      </c>
      <c r="B37" s="3589"/>
      <c r="C37" s="3589"/>
      <c r="D37" s="3588"/>
      <c r="E37" s="3493" t="s">
        <v>3571</v>
      </c>
      <c r="F37" s="3493" t="s">
        <v>3605</v>
      </c>
      <c r="G37" s="3391" t="s">
        <v>3606</v>
      </c>
      <c r="H37" s="3493">
        <v>89.72</v>
      </c>
      <c r="I37" s="3493">
        <f>H37</f>
        <v>89.72</v>
      </c>
      <c r="J37" s="3354" t="s">
        <v>3866</v>
      </c>
      <c r="K37" s="3354" t="s">
        <v>3866</v>
      </c>
      <c r="L37" s="3589"/>
    </row>
    <row r="38" spans="1:12" ht="36">
      <c r="A38" s="3493">
        <v>37</v>
      </c>
      <c r="B38" s="3589"/>
      <c r="C38" s="3589"/>
      <c r="D38" s="3494" t="s">
        <v>3872</v>
      </c>
      <c r="E38" s="3493" t="s">
        <v>3571</v>
      </c>
      <c r="F38" s="3493" t="s">
        <v>3866</v>
      </c>
      <c r="G38" s="3391" t="s">
        <v>3607</v>
      </c>
      <c r="H38" s="3391">
        <v>385.69</v>
      </c>
      <c r="I38" s="3391">
        <v>203.94</v>
      </c>
      <c r="J38" s="3391">
        <v>181.75</v>
      </c>
      <c r="K38" s="3354" t="s">
        <v>3866</v>
      </c>
      <c r="L38" s="3589"/>
    </row>
    <row r="39" spans="1:12" ht="36">
      <c r="A39" s="3493">
        <v>38</v>
      </c>
      <c r="B39" s="3589"/>
      <c r="C39" s="3589"/>
      <c r="D39" s="3494" t="s">
        <v>3873</v>
      </c>
      <c r="E39" s="3493" t="s">
        <v>3571</v>
      </c>
      <c r="F39" s="3493" t="s">
        <v>3866</v>
      </c>
      <c r="G39" s="3391" t="s">
        <v>3553</v>
      </c>
      <c r="H39" s="3391">
        <v>550.73</v>
      </c>
      <c r="I39" s="3391">
        <v>404.47</v>
      </c>
      <c r="J39" s="3391">
        <v>146.26</v>
      </c>
      <c r="K39" s="3354" t="s">
        <v>3866</v>
      </c>
      <c r="L39" s="3589"/>
    </row>
    <row r="40" spans="1:12" ht="36">
      <c r="A40" s="3493">
        <v>39</v>
      </c>
      <c r="B40" s="3589"/>
      <c r="C40" s="3581"/>
      <c r="D40" s="3494" t="s">
        <v>3872</v>
      </c>
      <c r="E40" s="3493" t="s">
        <v>3571</v>
      </c>
      <c r="F40" s="3493" t="s">
        <v>3866</v>
      </c>
      <c r="G40" s="3391" t="s">
        <v>3608</v>
      </c>
      <c r="H40" s="3391">
        <v>270.52</v>
      </c>
      <c r="I40" s="3391">
        <f>H40</f>
        <v>270.52</v>
      </c>
      <c r="J40" s="3354" t="s">
        <v>3866</v>
      </c>
      <c r="K40" s="3354" t="s">
        <v>3866</v>
      </c>
      <c r="L40" s="3589"/>
    </row>
    <row r="41" spans="1:12" ht="13.5" customHeight="1">
      <c r="A41" s="3493">
        <v>40</v>
      </c>
      <c r="B41" s="3589"/>
      <c r="C41" s="3611" t="s">
        <v>3865</v>
      </c>
      <c r="D41" s="3604" t="s">
        <v>3874</v>
      </c>
      <c r="E41" s="3493" t="s">
        <v>3866</v>
      </c>
      <c r="F41" s="3493" t="s">
        <v>3866</v>
      </c>
      <c r="G41" s="3391" t="s">
        <v>3841</v>
      </c>
      <c r="H41" s="3391">
        <v>702.53</v>
      </c>
      <c r="I41" s="3391">
        <v>577.4</v>
      </c>
      <c r="J41" s="3391">
        <v>125.13</v>
      </c>
      <c r="K41" s="3354" t="s">
        <v>3866</v>
      </c>
      <c r="L41" s="3589"/>
    </row>
    <row r="42" spans="1:12">
      <c r="A42" s="3493">
        <v>41</v>
      </c>
      <c r="B42" s="3589"/>
      <c r="C42" s="3589"/>
      <c r="D42" s="3602"/>
      <c r="E42" s="3493" t="s">
        <v>3866</v>
      </c>
      <c r="F42" s="3493" t="s">
        <v>3866</v>
      </c>
      <c r="G42" s="3391" t="s">
        <v>3842</v>
      </c>
      <c r="H42" s="3391">
        <v>568.79</v>
      </c>
      <c r="I42" s="3391">
        <v>568.79</v>
      </c>
      <c r="J42" s="3354" t="s">
        <v>3866</v>
      </c>
      <c r="K42" s="3354" t="s">
        <v>3866</v>
      </c>
      <c r="L42" s="3589"/>
    </row>
    <row r="43" spans="1:12">
      <c r="A43" s="3493">
        <v>42</v>
      </c>
      <c r="B43" s="3589"/>
      <c r="C43" s="3589"/>
      <c r="D43" s="3602"/>
      <c r="E43" s="3493" t="s">
        <v>3866</v>
      </c>
      <c r="F43" s="3493" t="s">
        <v>3866</v>
      </c>
      <c r="G43" s="3391" t="s">
        <v>3843</v>
      </c>
      <c r="H43" s="3391">
        <v>638.04</v>
      </c>
      <c r="I43" s="3391">
        <v>638.04</v>
      </c>
      <c r="J43" s="3354" t="s">
        <v>3866</v>
      </c>
      <c r="K43" s="3354" t="s">
        <v>3866</v>
      </c>
      <c r="L43" s="3589"/>
    </row>
    <row r="44" spans="1:12">
      <c r="A44" s="3493">
        <v>43</v>
      </c>
      <c r="B44" s="3589"/>
      <c r="C44" s="3589"/>
      <c r="D44" s="3602"/>
      <c r="E44" s="3493" t="s">
        <v>3866</v>
      </c>
      <c r="F44" s="3493" t="s">
        <v>3866</v>
      </c>
      <c r="G44" s="3391" t="s">
        <v>3844</v>
      </c>
      <c r="H44" s="3391">
        <v>456.97</v>
      </c>
      <c r="I44" s="3391">
        <v>456.97</v>
      </c>
      <c r="J44" s="3354" t="s">
        <v>3866</v>
      </c>
      <c r="K44" s="3354" t="s">
        <v>3866</v>
      </c>
      <c r="L44" s="3589"/>
    </row>
    <row r="45" spans="1:12">
      <c r="A45" s="3493">
        <v>44</v>
      </c>
      <c r="B45" s="3589"/>
      <c r="C45" s="3589"/>
      <c r="D45" s="3602"/>
      <c r="E45" s="3493" t="s">
        <v>3866</v>
      </c>
      <c r="F45" s="3493" t="s">
        <v>3866</v>
      </c>
      <c r="G45" s="3391" t="s">
        <v>3845</v>
      </c>
      <c r="H45" s="3391">
        <v>189.79</v>
      </c>
      <c r="I45" s="3391">
        <v>189.79</v>
      </c>
      <c r="J45" s="3354" t="s">
        <v>3866</v>
      </c>
      <c r="K45" s="3354" t="s">
        <v>3866</v>
      </c>
      <c r="L45" s="3589"/>
    </row>
    <row r="46" spans="1:12">
      <c r="A46" s="3493">
        <v>45</v>
      </c>
      <c r="B46" s="3589"/>
      <c r="C46" s="3589"/>
      <c r="D46" s="3602"/>
      <c r="E46" s="3493" t="s">
        <v>3866</v>
      </c>
      <c r="F46" s="3493" t="s">
        <v>3866</v>
      </c>
      <c r="G46" s="3391" t="s">
        <v>3846</v>
      </c>
      <c r="H46" s="3391">
        <v>363.06</v>
      </c>
      <c r="I46" s="3391">
        <v>363.06</v>
      </c>
      <c r="J46" s="3354" t="s">
        <v>3866</v>
      </c>
      <c r="K46" s="3354" t="s">
        <v>3866</v>
      </c>
      <c r="L46" s="3589"/>
    </row>
    <row r="47" spans="1:12">
      <c r="A47" s="3493">
        <v>46</v>
      </c>
      <c r="B47" s="3589"/>
      <c r="C47" s="3589"/>
      <c r="D47" s="3602"/>
      <c r="E47" s="3493" t="s">
        <v>3866</v>
      </c>
      <c r="F47" s="3493" t="s">
        <v>3866</v>
      </c>
      <c r="G47" s="3391" t="s">
        <v>3847</v>
      </c>
      <c r="H47" s="3391">
        <v>130.68</v>
      </c>
      <c r="I47" s="3391">
        <v>130.68</v>
      </c>
      <c r="J47" s="3354" t="s">
        <v>3866</v>
      </c>
      <c r="K47" s="3354" t="s">
        <v>3866</v>
      </c>
      <c r="L47" s="3589"/>
    </row>
    <row r="48" spans="1:12">
      <c r="A48" s="3493">
        <v>47</v>
      </c>
      <c r="B48" s="3589"/>
      <c r="C48" s="3589"/>
      <c r="D48" s="3602"/>
      <c r="E48" s="3493" t="s">
        <v>3866</v>
      </c>
      <c r="F48" s="3493" t="s">
        <v>3866</v>
      </c>
      <c r="G48" s="3493" t="s">
        <v>3858</v>
      </c>
      <c r="H48" s="3475">
        <v>18.72</v>
      </c>
      <c r="I48" s="3475">
        <v>18.72</v>
      </c>
      <c r="J48" s="3354" t="s">
        <v>3866</v>
      </c>
      <c r="K48" s="3354" t="s">
        <v>3866</v>
      </c>
      <c r="L48" s="3589"/>
    </row>
    <row r="49" spans="1:12">
      <c r="A49" s="3493">
        <v>48</v>
      </c>
      <c r="B49" s="3589"/>
      <c r="C49" s="3589"/>
      <c r="D49" s="3602"/>
      <c r="E49" s="3493" t="s">
        <v>3866</v>
      </c>
      <c r="F49" s="3493" t="s">
        <v>3866</v>
      </c>
      <c r="G49" s="3391" t="s">
        <v>3848</v>
      </c>
      <c r="H49" s="3391">
        <v>99.31</v>
      </c>
      <c r="I49" s="3391">
        <v>99.31</v>
      </c>
      <c r="J49" s="3354" t="s">
        <v>3866</v>
      </c>
      <c r="K49" s="3354" t="s">
        <v>3866</v>
      </c>
      <c r="L49" s="3589"/>
    </row>
    <row r="50" spans="1:12">
      <c r="A50" s="3493">
        <v>49</v>
      </c>
      <c r="B50" s="3589"/>
      <c r="C50" s="3589"/>
      <c r="D50" s="3602"/>
      <c r="E50" s="3493" t="s">
        <v>3866</v>
      </c>
      <c r="F50" s="3493" t="s">
        <v>3866</v>
      </c>
      <c r="G50" s="3391" t="s">
        <v>3849</v>
      </c>
      <c r="H50" s="3391">
        <v>1271.5999999999999</v>
      </c>
      <c r="I50" s="3391">
        <v>1091.68</v>
      </c>
      <c r="J50" s="3391">
        <v>179.92</v>
      </c>
      <c r="K50" s="3354" t="s">
        <v>3866</v>
      </c>
      <c r="L50" s="3589"/>
    </row>
    <row r="51" spans="1:12">
      <c r="A51" s="3493">
        <v>50</v>
      </c>
      <c r="B51" s="3589"/>
      <c r="C51" s="3589"/>
      <c r="D51" s="3602"/>
      <c r="E51" s="3493" t="s">
        <v>3866</v>
      </c>
      <c r="F51" s="3493" t="s">
        <v>3866</v>
      </c>
      <c r="G51" s="3391" t="s">
        <v>3850</v>
      </c>
      <c r="H51" s="3391">
        <v>711.04</v>
      </c>
      <c r="I51" s="3391">
        <v>711.04</v>
      </c>
      <c r="J51" s="3354" t="s">
        <v>3866</v>
      </c>
      <c r="K51" s="3354" t="s">
        <v>3866</v>
      </c>
      <c r="L51" s="3589"/>
    </row>
    <row r="52" spans="1:12">
      <c r="A52" s="3493">
        <v>51</v>
      </c>
      <c r="B52" s="3589"/>
      <c r="C52" s="3589"/>
      <c r="D52" s="3602"/>
      <c r="E52" s="3493" t="s">
        <v>3866</v>
      </c>
      <c r="F52" s="3493" t="s">
        <v>3866</v>
      </c>
      <c r="G52" s="3391" t="s">
        <v>3851</v>
      </c>
      <c r="H52" s="3391">
        <v>331.8</v>
      </c>
      <c r="I52" s="3391">
        <v>331.8</v>
      </c>
      <c r="J52" s="3354" t="s">
        <v>3866</v>
      </c>
      <c r="K52" s="3354" t="s">
        <v>3866</v>
      </c>
      <c r="L52" s="3589"/>
    </row>
    <row r="53" spans="1:12" ht="24">
      <c r="A53" s="3493">
        <v>52</v>
      </c>
      <c r="B53" s="3589"/>
      <c r="C53" s="3589"/>
      <c r="D53" s="3602"/>
      <c r="E53" s="3493" t="s">
        <v>3866</v>
      </c>
      <c r="F53" s="3493" t="s">
        <v>3866</v>
      </c>
      <c r="G53" s="3391" t="s">
        <v>3861</v>
      </c>
      <c r="H53" s="3391">
        <v>3317.62</v>
      </c>
      <c r="I53" s="3391">
        <v>3236.5</v>
      </c>
      <c r="J53" s="3391">
        <v>81.12</v>
      </c>
      <c r="K53" s="3354" t="s">
        <v>3866</v>
      </c>
      <c r="L53" s="3589"/>
    </row>
    <row r="54" spans="1:12">
      <c r="A54" s="3493">
        <v>53</v>
      </c>
      <c r="B54" s="3589"/>
      <c r="C54" s="3589"/>
      <c r="D54" s="3602"/>
      <c r="E54" s="3493" t="s">
        <v>3866</v>
      </c>
      <c r="F54" s="3493" t="s">
        <v>3866</v>
      </c>
      <c r="G54" s="3391" t="s">
        <v>3852</v>
      </c>
      <c r="H54" s="3391">
        <v>8921.83</v>
      </c>
      <c r="I54" s="3391">
        <v>8921.83</v>
      </c>
      <c r="J54" s="3354" t="s">
        <v>3866</v>
      </c>
      <c r="K54" s="3354" t="s">
        <v>3866</v>
      </c>
      <c r="L54" s="3589"/>
    </row>
    <row r="55" spans="1:12">
      <c r="A55" s="3493">
        <v>54</v>
      </c>
      <c r="B55" s="3589"/>
      <c r="C55" s="3589"/>
      <c r="D55" s="3602"/>
      <c r="E55" s="3493" t="s">
        <v>3866</v>
      </c>
      <c r="F55" s="3493" t="s">
        <v>3866</v>
      </c>
      <c r="G55" s="3391" t="s">
        <v>3853</v>
      </c>
      <c r="H55" s="3391">
        <v>70.819999999999993</v>
      </c>
      <c r="I55" s="3391">
        <v>70.819999999999993</v>
      </c>
      <c r="J55" s="3354" t="s">
        <v>3866</v>
      </c>
      <c r="K55" s="3354" t="s">
        <v>3866</v>
      </c>
      <c r="L55" s="3589"/>
    </row>
    <row r="56" spans="1:12">
      <c r="A56" s="3493">
        <v>55</v>
      </c>
      <c r="B56" s="3589"/>
      <c r="C56" s="3589"/>
      <c r="D56" s="3602"/>
      <c r="E56" s="3493" t="s">
        <v>3866</v>
      </c>
      <c r="F56" s="3493" t="s">
        <v>3866</v>
      </c>
      <c r="G56" s="3391" t="s">
        <v>3854</v>
      </c>
      <c r="H56" s="3391">
        <v>1886.1</v>
      </c>
      <c r="I56" s="3391">
        <v>1886.1</v>
      </c>
      <c r="J56" s="3354" t="s">
        <v>3866</v>
      </c>
      <c r="K56" s="3354" t="s">
        <v>3866</v>
      </c>
      <c r="L56" s="3589"/>
    </row>
    <row r="57" spans="1:12">
      <c r="A57" s="3493">
        <v>56</v>
      </c>
      <c r="B57" s="3589"/>
      <c r="C57" s="3589"/>
      <c r="D57" s="3602"/>
      <c r="E57" s="3493" t="s">
        <v>3866</v>
      </c>
      <c r="F57" s="3493" t="s">
        <v>3866</v>
      </c>
      <c r="G57" s="3493" t="s">
        <v>3859</v>
      </c>
      <c r="H57" s="3475">
        <v>108.07</v>
      </c>
      <c r="I57" s="3475">
        <v>108.07</v>
      </c>
      <c r="J57" s="3354" t="s">
        <v>3866</v>
      </c>
      <c r="K57" s="3354" t="s">
        <v>3866</v>
      </c>
      <c r="L57" s="3589"/>
    </row>
    <row r="58" spans="1:12" ht="24">
      <c r="A58" s="3493">
        <v>57</v>
      </c>
      <c r="B58" s="3589"/>
      <c r="C58" s="3589"/>
      <c r="D58" s="3602"/>
      <c r="E58" s="3493" t="s">
        <v>3866</v>
      </c>
      <c r="F58" s="3493" t="s">
        <v>3866</v>
      </c>
      <c r="G58" s="3391" t="s">
        <v>3855</v>
      </c>
      <c r="H58" s="3391">
        <v>26.11</v>
      </c>
      <c r="I58" s="3391">
        <v>26.11</v>
      </c>
      <c r="J58" s="3354" t="s">
        <v>3866</v>
      </c>
      <c r="K58" s="3354" t="s">
        <v>3866</v>
      </c>
      <c r="L58" s="3589"/>
    </row>
    <row r="59" spans="1:12">
      <c r="A59" s="3493">
        <v>58</v>
      </c>
      <c r="B59" s="3581"/>
      <c r="C59" s="3581"/>
      <c r="D59" s="3602"/>
      <c r="E59" s="3493" t="s">
        <v>3866</v>
      </c>
      <c r="F59" s="3493" t="s">
        <v>3866</v>
      </c>
      <c r="G59" s="3391" t="s">
        <v>3856</v>
      </c>
      <c r="H59" s="3391">
        <v>70.680000000000007</v>
      </c>
      <c r="I59" s="3391">
        <v>70.680000000000007</v>
      </c>
      <c r="J59" s="3354" t="s">
        <v>3866</v>
      </c>
      <c r="K59" s="3354" t="s">
        <v>3866</v>
      </c>
      <c r="L59" s="3581"/>
    </row>
    <row r="60" spans="1:12" ht="13.5" customHeight="1">
      <c r="A60" s="3493">
        <v>59</v>
      </c>
      <c r="B60" s="3611" t="s">
        <v>3609</v>
      </c>
      <c r="C60" s="3611" t="s">
        <v>3610</v>
      </c>
      <c r="D60" s="3586" t="s">
        <v>3877</v>
      </c>
      <c r="E60" s="3493" t="s">
        <v>3611</v>
      </c>
      <c r="F60" s="3493" t="s">
        <v>3612</v>
      </c>
      <c r="G60" s="3493" t="s">
        <v>3613</v>
      </c>
      <c r="H60" s="3391">
        <v>1068.23</v>
      </c>
      <c r="I60" s="3493">
        <f>H60</f>
        <v>1068.23</v>
      </c>
      <c r="J60" s="3354" t="s">
        <v>3866</v>
      </c>
      <c r="K60" s="3354" t="s">
        <v>3866</v>
      </c>
      <c r="L60" s="3583">
        <v>9222.06</v>
      </c>
    </row>
    <row r="61" spans="1:12">
      <c r="A61" s="3493">
        <v>60</v>
      </c>
      <c r="B61" s="3589"/>
      <c r="C61" s="3589"/>
      <c r="D61" s="3587"/>
      <c r="E61" s="3493" t="s">
        <v>3616</v>
      </c>
      <c r="F61" s="3493" t="s">
        <v>3617</v>
      </c>
      <c r="G61" s="3493" t="s">
        <v>3618</v>
      </c>
      <c r="H61" s="3391">
        <v>6490.2</v>
      </c>
      <c r="I61" s="3475">
        <v>6427.96</v>
      </c>
      <c r="J61" s="3354" t="s">
        <v>3866</v>
      </c>
      <c r="K61" s="3391">
        <v>62.24</v>
      </c>
      <c r="L61" s="3583"/>
    </row>
    <row r="62" spans="1:12">
      <c r="A62" s="3493">
        <v>61</v>
      </c>
      <c r="B62" s="3589"/>
      <c r="C62" s="3589"/>
      <c r="D62" s="3587"/>
      <c r="E62" s="3493" t="s">
        <v>3619</v>
      </c>
      <c r="F62" s="3493" t="s">
        <v>3620</v>
      </c>
      <c r="G62" s="3493" t="s">
        <v>3621</v>
      </c>
      <c r="H62" s="3391">
        <v>1545.47</v>
      </c>
      <c r="I62" s="3391">
        <f>H62</f>
        <v>1545.47</v>
      </c>
      <c r="J62" s="3354" t="s">
        <v>3866</v>
      </c>
      <c r="K62" s="3354" t="s">
        <v>3866</v>
      </c>
      <c r="L62" s="3583"/>
    </row>
    <row r="63" spans="1:12">
      <c r="A63" s="3493">
        <v>62</v>
      </c>
      <c r="B63" s="3581"/>
      <c r="C63" s="3581"/>
      <c r="D63" s="3588"/>
      <c r="E63" s="3493" t="s">
        <v>3619</v>
      </c>
      <c r="F63" s="3493" t="s">
        <v>3622</v>
      </c>
      <c r="G63" s="3493" t="s">
        <v>3623</v>
      </c>
      <c r="H63" s="3475">
        <v>631.99</v>
      </c>
      <c r="I63" s="3475">
        <v>415.68</v>
      </c>
      <c r="J63" s="3354" t="s">
        <v>3866</v>
      </c>
      <c r="K63" s="3391">
        <v>216.31</v>
      </c>
      <c r="L63" s="3583"/>
    </row>
    <row r="64" spans="1:12" ht="13.5" customHeight="1">
      <c r="A64" s="3493">
        <v>63</v>
      </c>
      <c r="B64" s="3611" t="s">
        <v>3624</v>
      </c>
      <c r="C64" s="3611" t="s">
        <v>3625</v>
      </c>
      <c r="D64" s="3590" t="s">
        <v>3883</v>
      </c>
      <c r="E64" s="3493" t="s">
        <v>3619</v>
      </c>
      <c r="F64" s="3493" t="s">
        <v>3626</v>
      </c>
      <c r="G64" s="3493" t="s">
        <v>3627</v>
      </c>
      <c r="H64" s="3493">
        <v>3806.68</v>
      </c>
      <c r="I64" s="3354">
        <v>2366.5500000000002</v>
      </c>
      <c r="J64" s="3354">
        <v>1440.13</v>
      </c>
      <c r="K64" s="3354" t="s">
        <v>3866</v>
      </c>
      <c r="L64" s="3583">
        <v>11268.82</v>
      </c>
    </row>
    <row r="65" spans="1:12">
      <c r="A65" s="3493">
        <v>64</v>
      </c>
      <c r="B65" s="3589"/>
      <c r="C65" s="3589"/>
      <c r="D65" s="3590"/>
      <c r="E65" s="3493" t="s">
        <v>3619</v>
      </c>
      <c r="F65" s="3493" t="s">
        <v>3628</v>
      </c>
      <c r="G65" s="3493" t="s">
        <v>3629</v>
      </c>
      <c r="H65" s="3493">
        <v>3918.53</v>
      </c>
      <c r="I65" s="3354">
        <v>3169.46</v>
      </c>
      <c r="J65" s="3354">
        <v>678.91</v>
      </c>
      <c r="K65" s="3354">
        <v>70.16</v>
      </c>
      <c r="L65" s="3583"/>
    </row>
    <row r="66" spans="1:12">
      <c r="A66" s="3493">
        <v>65</v>
      </c>
      <c r="B66" s="3581"/>
      <c r="C66" s="3581"/>
      <c r="D66" s="3590"/>
      <c r="E66" s="3493" t="s">
        <v>3619</v>
      </c>
      <c r="F66" s="3493" t="s">
        <v>3572</v>
      </c>
      <c r="G66" s="3493" t="s">
        <v>3630</v>
      </c>
      <c r="H66" s="3493">
        <v>3127.69</v>
      </c>
      <c r="I66" s="3354">
        <v>2009.55</v>
      </c>
      <c r="J66" s="3354">
        <v>981.75</v>
      </c>
      <c r="K66" s="3354">
        <v>136.38999999999999</v>
      </c>
      <c r="L66" s="3583"/>
    </row>
    <row r="67" spans="1:12" ht="13.5" customHeight="1">
      <c r="A67" s="3493">
        <v>66</v>
      </c>
      <c r="B67" s="3611" t="s">
        <v>3631</v>
      </c>
      <c r="C67" s="3611" t="s">
        <v>3632</v>
      </c>
      <c r="D67" s="3586" t="s">
        <v>3876</v>
      </c>
      <c r="E67" s="3493" t="s">
        <v>3633</v>
      </c>
      <c r="F67" s="3493" t="s">
        <v>3634</v>
      </c>
      <c r="G67" s="3493" t="s">
        <v>3635</v>
      </c>
      <c r="H67" s="3493">
        <v>710.55</v>
      </c>
      <c r="I67" s="3493">
        <f t="shared" ref="I67:I76" si="1">H67</f>
        <v>710.55</v>
      </c>
      <c r="J67" s="3354" t="s">
        <v>3866</v>
      </c>
      <c r="K67" s="3354" t="s">
        <v>3866</v>
      </c>
      <c r="L67" s="3583">
        <v>14777.01</v>
      </c>
    </row>
    <row r="68" spans="1:12">
      <c r="A68" s="3493">
        <v>67</v>
      </c>
      <c r="B68" s="3589"/>
      <c r="C68" s="3589"/>
      <c r="D68" s="3587"/>
      <c r="E68" s="3493" t="s">
        <v>3633</v>
      </c>
      <c r="F68" s="3493" t="s">
        <v>3184</v>
      </c>
      <c r="G68" s="3493" t="s">
        <v>3635</v>
      </c>
      <c r="H68" s="3493">
        <v>650.35</v>
      </c>
      <c r="I68" s="3493">
        <v>477.31</v>
      </c>
      <c r="J68" s="3354" t="s">
        <v>3866</v>
      </c>
      <c r="K68" s="3391">
        <v>173.04</v>
      </c>
      <c r="L68" s="3583"/>
    </row>
    <row r="69" spans="1:12">
      <c r="A69" s="3493">
        <v>68</v>
      </c>
      <c r="B69" s="3589"/>
      <c r="C69" s="3589"/>
      <c r="D69" s="3587"/>
      <c r="E69" s="3493" t="s">
        <v>3633</v>
      </c>
      <c r="F69" s="3493" t="s">
        <v>3185</v>
      </c>
      <c r="G69" s="3493" t="s">
        <v>3589</v>
      </c>
      <c r="H69" s="3493">
        <v>222.81</v>
      </c>
      <c r="I69" s="3493">
        <f t="shared" si="1"/>
        <v>222.81</v>
      </c>
      <c r="J69" s="3354" t="s">
        <v>3866</v>
      </c>
      <c r="K69" s="3354" t="s">
        <v>3866</v>
      </c>
      <c r="L69" s="3583"/>
    </row>
    <row r="70" spans="1:12">
      <c r="A70" s="3493">
        <v>69</v>
      </c>
      <c r="B70" s="3589"/>
      <c r="C70" s="3589"/>
      <c r="D70" s="3587"/>
      <c r="E70" s="3493" t="s">
        <v>3633</v>
      </c>
      <c r="F70" s="3493" t="s">
        <v>3622</v>
      </c>
      <c r="G70" s="3493" t="s">
        <v>3636</v>
      </c>
      <c r="H70" s="3493">
        <v>943.19</v>
      </c>
      <c r="I70" s="3493">
        <f t="shared" si="1"/>
        <v>943.19</v>
      </c>
      <c r="J70" s="3354" t="s">
        <v>3866</v>
      </c>
      <c r="K70" s="3354" t="s">
        <v>3866</v>
      </c>
      <c r="L70" s="3583"/>
    </row>
    <row r="71" spans="1:12">
      <c r="A71" s="3493">
        <v>70</v>
      </c>
      <c r="B71" s="3589"/>
      <c r="C71" s="3589"/>
      <c r="D71" s="3587"/>
      <c r="E71" s="3493" t="s">
        <v>3633</v>
      </c>
      <c r="F71" s="3493" t="s">
        <v>3626</v>
      </c>
      <c r="G71" s="3493" t="s">
        <v>3637</v>
      </c>
      <c r="H71" s="3493">
        <v>701.57</v>
      </c>
      <c r="I71" s="3493">
        <f t="shared" si="1"/>
        <v>701.57</v>
      </c>
      <c r="J71" s="3354" t="s">
        <v>3866</v>
      </c>
      <c r="K71" s="3354" t="s">
        <v>3866</v>
      </c>
      <c r="L71" s="3583"/>
    </row>
    <row r="72" spans="1:12">
      <c r="A72" s="3493">
        <v>71</v>
      </c>
      <c r="B72" s="3589"/>
      <c r="C72" s="3589"/>
      <c r="D72" s="3587"/>
      <c r="E72" s="3493" t="s">
        <v>3633</v>
      </c>
      <c r="F72" s="3493" t="s">
        <v>3628</v>
      </c>
      <c r="G72" s="3493" t="s">
        <v>3638</v>
      </c>
      <c r="H72" s="3493">
        <v>902.8</v>
      </c>
      <c r="I72" s="3493">
        <f t="shared" si="1"/>
        <v>902.8</v>
      </c>
      <c r="J72" s="3354" t="s">
        <v>3866</v>
      </c>
      <c r="K72" s="3354" t="s">
        <v>3866</v>
      </c>
      <c r="L72" s="3583"/>
    </row>
    <row r="73" spans="1:12">
      <c r="A73" s="3493">
        <v>72</v>
      </c>
      <c r="B73" s="3589"/>
      <c r="C73" s="3589"/>
      <c r="D73" s="3587"/>
      <c r="E73" s="3493" t="s">
        <v>3633</v>
      </c>
      <c r="F73" s="3493" t="s">
        <v>3572</v>
      </c>
      <c r="G73" s="3493" t="s">
        <v>3639</v>
      </c>
      <c r="H73" s="3493">
        <v>460.64</v>
      </c>
      <c r="I73" s="3493">
        <f t="shared" si="1"/>
        <v>460.64</v>
      </c>
      <c r="J73" s="3354" t="s">
        <v>3866</v>
      </c>
      <c r="K73" s="3354" t="s">
        <v>3866</v>
      </c>
      <c r="L73" s="3583"/>
    </row>
    <row r="74" spans="1:12">
      <c r="A74" s="3493">
        <v>73</v>
      </c>
      <c r="B74" s="3589"/>
      <c r="C74" s="3589"/>
      <c r="D74" s="3587"/>
      <c r="E74" s="3493" t="s">
        <v>3633</v>
      </c>
      <c r="F74" s="3493" t="s">
        <v>3640</v>
      </c>
      <c r="G74" s="3493" t="s">
        <v>3589</v>
      </c>
      <c r="H74" s="3493">
        <v>117.73</v>
      </c>
      <c r="I74" s="3493">
        <f t="shared" si="1"/>
        <v>117.73</v>
      </c>
      <c r="J74" s="3354" t="s">
        <v>3866</v>
      </c>
      <c r="K74" s="3354" t="s">
        <v>3866</v>
      </c>
      <c r="L74" s="3583"/>
    </row>
    <row r="75" spans="1:12" ht="24">
      <c r="A75" s="3493">
        <v>74</v>
      </c>
      <c r="B75" s="3589"/>
      <c r="C75" s="3589"/>
      <c r="D75" s="3587"/>
      <c r="E75" s="3493" t="s">
        <v>3633</v>
      </c>
      <c r="F75" s="3493" t="s">
        <v>3641</v>
      </c>
      <c r="G75" s="3493" t="s">
        <v>3642</v>
      </c>
      <c r="H75" s="3493">
        <v>629.61</v>
      </c>
      <c r="I75" s="3493">
        <f t="shared" si="1"/>
        <v>629.61</v>
      </c>
      <c r="J75" s="3354" t="s">
        <v>3866</v>
      </c>
      <c r="K75" s="3354" t="s">
        <v>3866</v>
      </c>
      <c r="L75" s="3583"/>
    </row>
    <row r="76" spans="1:12">
      <c r="A76" s="3493">
        <v>75</v>
      </c>
      <c r="B76" s="3589"/>
      <c r="C76" s="3589"/>
      <c r="D76" s="3587"/>
      <c r="E76" s="3493" t="s">
        <v>3633</v>
      </c>
      <c r="F76" s="3493" t="s">
        <v>3576</v>
      </c>
      <c r="G76" s="3493" t="s">
        <v>3643</v>
      </c>
      <c r="H76" s="3493">
        <v>57.59</v>
      </c>
      <c r="I76" s="3493">
        <f t="shared" si="1"/>
        <v>57.59</v>
      </c>
      <c r="J76" s="3354" t="s">
        <v>3866</v>
      </c>
      <c r="K76" s="3354" t="s">
        <v>3866</v>
      </c>
      <c r="L76" s="3583"/>
    </row>
    <row r="77" spans="1:12">
      <c r="A77" s="3493">
        <v>76</v>
      </c>
      <c r="B77" s="3589"/>
      <c r="C77" s="3589"/>
      <c r="D77" s="3587"/>
      <c r="E77" s="3493" t="s">
        <v>3633</v>
      </c>
      <c r="F77" s="3493" t="s">
        <v>3644</v>
      </c>
      <c r="G77" s="3493" t="s">
        <v>3589</v>
      </c>
      <c r="H77" s="3493">
        <v>103.98</v>
      </c>
      <c r="I77" s="3493">
        <f>H77</f>
        <v>103.98</v>
      </c>
      <c r="J77" s="3354" t="s">
        <v>3866</v>
      </c>
      <c r="K77" s="3354" t="s">
        <v>3866</v>
      </c>
      <c r="L77" s="3583"/>
    </row>
    <row r="78" spans="1:12" ht="24">
      <c r="A78" s="3493">
        <v>77</v>
      </c>
      <c r="B78" s="3589"/>
      <c r="C78" s="3589"/>
      <c r="D78" s="3587"/>
      <c r="E78" s="3493" t="s">
        <v>3633</v>
      </c>
      <c r="F78" s="3493" t="s">
        <v>3645</v>
      </c>
      <c r="G78" s="3493" t="s">
        <v>3646</v>
      </c>
      <c r="H78" s="3493">
        <v>282.62</v>
      </c>
      <c r="I78" s="3493">
        <f t="shared" ref="I78:I101" si="2">H78</f>
        <v>282.62</v>
      </c>
      <c r="J78" s="3354" t="s">
        <v>3866</v>
      </c>
      <c r="K78" s="3354" t="s">
        <v>3866</v>
      </c>
      <c r="L78" s="3583"/>
    </row>
    <row r="79" spans="1:12">
      <c r="A79" s="3493">
        <v>78</v>
      </c>
      <c r="B79" s="3589"/>
      <c r="C79" s="3589"/>
      <c r="D79" s="3587"/>
      <c r="E79" s="3493" t="s">
        <v>3633</v>
      </c>
      <c r="F79" s="3493" t="s">
        <v>3647</v>
      </c>
      <c r="G79" s="3493" t="s">
        <v>3589</v>
      </c>
      <c r="H79" s="3493">
        <v>159.41</v>
      </c>
      <c r="I79" s="3493">
        <f t="shared" si="2"/>
        <v>159.41</v>
      </c>
      <c r="J79" s="3354" t="s">
        <v>3866</v>
      </c>
      <c r="K79" s="3354" t="s">
        <v>3866</v>
      </c>
      <c r="L79" s="3583"/>
    </row>
    <row r="80" spans="1:12">
      <c r="A80" s="3493">
        <v>79</v>
      </c>
      <c r="B80" s="3589"/>
      <c r="C80" s="3589"/>
      <c r="D80" s="3587"/>
      <c r="E80" s="3493" t="s">
        <v>3633</v>
      </c>
      <c r="F80" s="3493" t="s">
        <v>3579</v>
      </c>
      <c r="G80" s="3493" t="s">
        <v>3648</v>
      </c>
      <c r="H80" s="3493">
        <v>927.76</v>
      </c>
      <c r="I80" s="3493">
        <f t="shared" si="2"/>
        <v>927.76</v>
      </c>
      <c r="J80" s="3354" t="s">
        <v>3866</v>
      </c>
      <c r="K80" s="3354" t="s">
        <v>3866</v>
      </c>
      <c r="L80" s="3583"/>
    </row>
    <row r="81" spans="1:12">
      <c r="A81" s="3493">
        <v>80</v>
      </c>
      <c r="B81" s="3589"/>
      <c r="C81" s="3589"/>
      <c r="D81" s="3587"/>
      <c r="E81" s="3493" t="s">
        <v>3633</v>
      </c>
      <c r="F81" s="3493" t="s">
        <v>3649</v>
      </c>
      <c r="G81" s="3493" t="s">
        <v>3589</v>
      </c>
      <c r="H81" s="3493">
        <v>578.5</v>
      </c>
      <c r="I81" s="3493">
        <f t="shared" si="2"/>
        <v>578.5</v>
      </c>
      <c r="J81" s="3354" t="s">
        <v>3866</v>
      </c>
      <c r="K81" s="3354" t="s">
        <v>3866</v>
      </c>
      <c r="L81" s="3583"/>
    </row>
    <row r="82" spans="1:12">
      <c r="A82" s="3493">
        <v>81</v>
      </c>
      <c r="B82" s="3589"/>
      <c r="C82" s="3589"/>
      <c r="D82" s="3587"/>
      <c r="E82" s="3493" t="s">
        <v>3633</v>
      </c>
      <c r="F82" s="3493" t="s">
        <v>3581</v>
      </c>
      <c r="G82" s="3493" t="s">
        <v>3650</v>
      </c>
      <c r="H82" s="3493">
        <v>511.23</v>
      </c>
      <c r="I82" s="3493">
        <f t="shared" si="2"/>
        <v>511.23</v>
      </c>
      <c r="J82" s="3354" t="s">
        <v>3866</v>
      </c>
      <c r="K82" s="3354" t="s">
        <v>3866</v>
      </c>
      <c r="L82" s="3583"/>
    </row>
    <row r="83" spans="1:12">
      <c r="A83" s="3493">
        <v>82</v>
      </c>
      <c r="B83" s="3589"/>
      <c r="C83" s="3589"/>
      <c r="D83" s="3587"/>
      <c r="E83" s="3493" t="s">
        <v>3633</v>
      </c>
      <c r="F83" s="3493" t="s">
        <v>3651</v>
      </c>
      <c r="G83" s="3493" t="s">
        <v>3652</v>
      </c>
      <c r="H83" s="3493">
        <v>1737.72</v>
      </c>
      <c r="I83" s="3493">
        <f t="shared" si="2"/>
        <v>1737.72</v>
      </c>
      <c r="J83" s="3354" t="s">
        <v>3866</v>
      </c>
      <c r="K83" s="3354" t="s">
        <v>3866</v>
      </c>
      <c r="L83" s="3583"/>
    </row>
    <row r="84" spans="1:12">
      <c r="A84" s="3493">
        <v>83</v>
      </c>
      <c r="B84" s="3589"/>
      <c r="C84" s="3589"/>
      <c r="D84" s="3587"/>
      <c r="E84" s="3493" t="s">
        <v>3633</v>
      </c>
      <c r="F84" s="3493" t="s">
        <v>3653</v>
      </c>
      <c r="G84" s="3493" t="s">
        <v>3654</v>
      </c>
      <c r="H84" s="3493">
        <v>285.33999999999997</v>
      </c>
      <c r="I84" s="3493">
        <f t="shared" si="2"/>
        <v>285.33999999999997</v>
      </c>
      <c r="J84" s="3354" t="s">
        <v>3866</v>
      </c>
      <c r="K84" s="3354" t="s">
        <v>3866</v>
      </c>
      <c r="L84" s="3583"/>
    </row>
    <row r="85" spans="1:12">
      <c r="A85" s="3493">
        <v>84</v>
      </c>
      <c r="B85" s="3589"/>
      <c r="C85" s="3589"/>
      <c r="D85" s="3587"/>
      <c r="E85" s="3493" t="s">
        <v>3633</v>
      </c>
      <c r="F85" s="3493" t="s">
        <v>3655</v>
      </c>
      <c r="G85" s="3493" t="s">
        <v>3589</v>
      </c>
      <c r="H85" s="3493">
        <v>97.47</v>
      </c>
      <c r="I85" s="3493">
        <f t="shared" si="2"/>
        <v>97.47</v>
      </c>
      <c r="J85" s="3354" t="s">
        <v>3866</v>
      </c>
      <c r="K85" s="3354" t="s">
        <v>3866</v>
      </c>
      <c r="L85" s="3583"/>
    </row>
    <row r="86" spans="1:12">
      <c r="A86" s="3493">
        <v>85</v>
      </c>
      <c r="B86" s="3589"/>
      <c r="C86" s="3589"/>
      <c r="D86" s="3587"/>
      <c r="E86" s="3493" t="s">
        <v>3633</v>
      </c>
      <c r="F86" s="3493" t="s">
        <v>3656</v>
      </c>
      <c r="G86" s="3493" t="s">
        <v>3589</v>
      </c>
      <c r="H86" s="3493">
        <v>182.32</v>
      </c>
      <c r="I86" s="3493">
        <f t="shared" si="2"/>
        <v>182.32</v>
      </c>
      <c r="J86" s="3354" t="s">
        <v>3866</v>
      </c>
      <c r="K86" s="3354" t="s">
        <v>3866</v>
      </c>
      <c r="L86" s="3583"/>
    </row>
    <row r="87" spans="1:12">
      <c r="A87" s="3493">
        <v>86</v>
      </c>
      <c r="B87" s="3589"/>
      <c r="C87" s="3589"/>
      <c r="D87" s="3587"/>
      <c r="E87" s="3493" t="s">
        <v>3633</v>
      </c>
      <c r="F87" s="3493" t="s">
        <v>3657</v>
      </c>
      <c r="G87" s="3493" t="s">
        <v>3589</v>
      </c>
      <c r="H87" s="3493">
        <v>462.08</v>
      </c>
      <c r="I87" s="3493">
        <f t="shared" si="2"/>
        <v>462.08</v>
      </c>
      <c r="J87" s="3354" t="s">
        <v>3866</v>
      </c>
      <c r="K87" s="3354" t="s">
        <v>3866</v>
      </c>
      <c r="L87" s="3583"/>
    </row>
    <row r="88" spans="1:12">
      <c r="A88" s="3493">
        <v>87</v>
      </c>
      <c r="B88" s="3589"/>
      <c r="C88" s="3589"/>
      <c r="D88" s="3587"/>
      <c r="E88" s="3493" t="s">
        <v>3633</v>
      </c>
      <c r="F88" s="3493" t="s">
        <v>3583</v>
      </c>
      <c r="G88" s="3493" t="s">
        <v>3589</v>
      </c>
      <c r="H88" s="3493">
        <v>169.07</v>
      </c>
      <c r="I88" s="3493">
        <f t="shared" si="2"/>
        <v>169.07</v>
      </c>
      <c r="J88" s="3354" t="s">
        <v>3866</v>
      </c>
      <c r="K88" s="3354" t="s">
        <v>3866</v>
      </c>
      <c r="L88" s="3583"/>
    </row>
    <row r="89" spans="1:12">
      <c r="A89" s="3493">
        <v>88</v>
      </c>
      <c r="B89" s="3589"/>
      <c r="C89" s="3589"/>
      <c r="D89" s="3587"/>
      <c r="E89" s="3493" t="s">
        <v>3633</v>
      </c>
      <c r="F89" s="3493" t="s">
        <v>3584</v>
      </c>
      <c r="G89" s="3493" t="s">
        <v>3658</v>
      </c>
      <c r="H89" s="3493">
        <v>417.56</v>
      </c>
      <c r="I89" s="3493">
        <f t="shared" si="2"/>
        <v>417.56</v>
      </c>
      <c r="J89" s="3354" t="s">
        <v>3866</v>
      </c>
      <c r="K89" s="3354" t="s">
        <v>3866</v>
      </c>
      <c r="L89" s="3583"/>
    </row>
    <row r="90" spans="1:12">
      <c r="A90" s="3493">
        <v>89</v>
      </c>
      <c r="B90" s="3589"/>
      <c r="C90" s="3589"/>
      <c r="D90" s="3587"/>
      <c r="E90" s="3493" t="s">
        <v>3633</v>
      </c>
      <c r="F90" s="3493" t="s">
        <v>3585</v>
      </c>
      <c r="G90" s="3493" t="s">
        <v>3589</v>
      </c>
      <c r="H90" s="3493">
        <v>120.16</v>
      </c>
      <c r="I90" s="3493">
        <f t="shared" si="2"/>
        <v>120.16</v>
      </c>
      <c r="J90" s="3354" t="s">
        <v>3866</v>
      </c>
      <c r="K90" s="3354" t="s">
        <v>3866</v>
      </c>
      <c r="L90" s="3583"/>
    </row>
    <row r="91" spans="1:12">
      <c r="A91" s="3493">
        <v>90</v>
      </c>
      <c r="B91" s="3589"/>
      <c r="C91" s="3589"/>
      <c r="D91" s="3587"/>
      <c r="E91" s="3493" t="s">
        <v>3633</v>
      </c>
      <c r="F91" s="3493" t="s">
        <v>3586</v>
      </c>
      <c r="G91" s="3493" t="s">
        <v>3659</v>
      </c>
      <c r="H91" s="3493">
        <v>408.8</v>
      </c>
      <c r="I91" s="3493">
        <f t="shared" si="2"/>
        <v>408.8</v>
      </c>
      <c r="J91" s="3354" t="s">
        <v>3866</v>
      </c>
      <c r="K91" s="3354" t="s">
        <v>3866</v>
      </c>
      <c r="L91" s="3583"/>
    </row>
    <row r="92" spans="1:12">
      <c r="A92" s="3493">
        <v>91</v>
      </c>
      <c r="B92" s="3589"/>
      <c r="C92" s="3589"/>
      <c r="D92" s="3587"/>
      <c r="E92" s="3493" t="s">
        <v>3633</v>
      </c>
      <c r="F92" s="3493" t="s">
        <v>3660</v>
      </c>
      <c r="G92" s="3493" t="s">
        <v>3589</v>
      </c>
      <c r="H92" s="3493">
        <v>180.44</v>
      </c>
      <c r="I92" s="3493">
        <f t="shared" si="2"/>
        <v>180.44</v>
      </c>
      <c r="J92" s="3354" t="s">
        <v>3866</v>
      </c>
      <c r="K92" s="3354" t="s">
        <v>3866</v>
      </c>
      <c r="L92" s="3583"/>
    </row>
    <row r="93" spans="1:12">
      <c r="A93" s="3493">
        <v>92</v>
      </c>
      <c r="B93" s="3581"/>
      <c r="C93" s="3581"/>
      <c r="D93" s="3588"/>
      <c r="E93" s="3493" t="s">
        <v>3633</v>
      </c>
      <c r="F93" s="3493" t="s">
        <v>3662</v>
      </c>
      <c r="G93" s="3493" t="s">
        <v>3589</v>
      </c>
      <c r="H93" s="3493">
        <v>176.64</v>
      </c>
      <c r="I93" s="3493">
        <f t="shared" si="2"/>
        <v>176.64</v>
      </c>
      <c r="J93" s="3354" t="s">
        <v>3866</v>
      </c>
      <c r="K93" s="3354" t="s">
        <v>3866</v>
      </c>
      <c r="L93" s="3583"/>
    </row>
    <row r="94" spans="1:12" ht="13.5" customHeight="1">
      <c r="A94" s="3493">
        <v>93</v>
      </c>
      <c r="B94" s="3611" t="s">
        <v>3663</v>
      </c>
      <c r="C94" s="3611" t="s">
        <v>3664</v>
      </c>
      <c r="D94" s="3586" t="s">
        <v>3876</v>
      </c>
      <c r="E94" s="3493" t="s">
        <v>3665</v>
      </c>
      <c r="F94" s="3493" t="s">
        <v>3634</v>
      </c>
      <c r="G94" s="3493" t="s">
        <v>3589</v>
      </c>
      <c r="H94" s="3493">
        <v>46.47</v>
      </c>
      <c r="I94" s="3493">
        <f t="shared" si="2"/>
        <v>46.47</v>
      </c>
      <c r="J94" s="3354" t="s">
        <v>3866</v>
      </c>
      <c r="K94" s="3354" t="s">
        <v>3866</v>
      </c>
      <c r="L94" s="3583">
        <v>18256.3</v>
      </c>
    </row>
    <row r="95" spans="1:12">
      <c r="A95" s="3493">
        <v>94</v>
      </c>
      <c r="B95" s="3589"/>
      <c r="C95" s="3589"/>
      <c r="D95" s="3587"/>
      <c r="E95" s="3493" t="s">
        <v>3665</v>
      </c>
      <c r="F95" s="3493" t="s">
        <v>3617</v>
      </c>
      <c r="G95" s="3493" t="s">
        <v>3580</v>
      </c>
      <c r="H95" s="3493">
        <v>37.39</v>
      </c>
      <c r="I95" s="3493">
        <f t="shared" si="2"/>
        <v>37.39</v>
      </c>
      <c r="J95" s="3354" t="s">
        <v>3866</v>
      </c>
      <c r="K95" s="3354" t="s">
        <v>3866</v>
      </c>
      <c r="L95" s="3583"/>
    </row>
    <row r="96" spans="1:12">
      <c r="A96" s="3493">
        <v>95</v>
      </c>
      <c r="B96" s="3589"/>
      <c r="C96" s="3589"/>
      <c r="D96" s="3587"/>
      <c r="E96" s="3493" t="s">
        <v>3665</v>
      </c>
      <c r="F96" s="3493" t="s">
        <v>3620</v>
      </c>
      <c r="G96" s="3493" t="s">
        <v>3580</v>
      </c>
      <c r="H96" s="3493">
        <v>66.56</v>
      </c>
      <c r="I96" s="3493">
        <f t="shared" si="2"/>
        <v>66.56</v>
      </c>
      <c r="J96" s="3354" t="s">
        <v>3866</v>
      </c>
      <c r="K96" s="3354" t="s">
        <v>3866</v>
      </c>
      <c r="L96" s="3583"/>
    </row>
    <row r="97" spans="1:12">
      <c r="A97" s="3493">
        <v>96</v>
      </c>
      <c r="B97" s="3589"/>
      <c r="C97" s="3589"/>
      <c r="D97" s="3587"/>
      <c r="E97" s="3493" t="s">
        <v>3665</v>
      </c>
      <c r="F97" s="3493" t="s">
        <v>3622</v>
      </c>
      <c r="G97" s="3493" t="s">
        <v>3666</v>
      </c>
      <c r="H97" s="3493">
        <v>167.2</v>
      </c>
      <c r="I97" s="3493">
        <f t="shared" si="2"/>
        <v>167.2</v>
      </c>
      <c r="J97" s="3354" t="s">
        <v>3866</v>
      </c>
      <c r="K97" s="3354" t="s">
        <v>3866</v>
      </c>
      <c r="L97" s="3583"/>
    </row>
    <row r="98" spans="1:12">
      <c r="A98" s="3493">
        <v>97</v>
      </c>
      <c r="B98" s="3589"/>
      <c r="C98" s="3589"/>
      <c r="D98" s="3587"/>
      <c r="E98" s="3493" t="s">
        <v>3665</v>
      </c>
      <c r="F98" s="3493" t="s">
        <v>3626</v>
      </c>
      <c r="G98" s="3493" t="s">
        <v>3580</v>
      </c>
      <c r="H98" s="3493">
        <v>25.68</v>
      </c>
      <c r="I98" s="3493">
        <f t="shared" si="2"/>
        <v>25.68</v>
      </c>
      <c r="J98" s="3354" t="s">
        <v>3866</v>
      </c>
      <c r="K98" s="3354" t="s">
        <v>3866</v>
      </c>
      <c r="L98" s="3583"/>
    </row>
    <row r="99" spans="1:12">
      <c r="A99" s="3493">
        <v>98</v>
      </c>
      <c r="B99" s="3589"/>
      <c r="C99" s="3589"/>
      <c r="D99" s="3587"/>
      <c r="E99" s="3493" t="s">
        <v>3665</v>
      </c>
      <c r="F99" s="3493" t="s">
        <v>3628</v>
      </c>
      <c r="G99" s="3493" t="s">
        <v>3580</v>
      </c>
      <c r="H99" s="3493">
        <v>57.62</v>
      </c>
      <c r="I99" s="3493">
        <f t="shared" si="2"/>
        <v>57.62</v>
      </c>
      <c r="J99" s="3354" t="s">
        <v>3866</v>
      </c>
      <c r="K99" s="3354" t="s">
        <v>3866</v>
      </c>
      <c r="L99" s="3583"/>
    </row>
    <row r="100" spans="1:12">
      <c r="A100" s="3493">
        <v>99</v>
      </c>
      <c r="B100" s="3589"/>
      <c r="C100" s="3589"/>
      <c r="D100" s="3587"/>
      <c r="E100" s="3493" t="s">
        <v>3665</v>
      </c>
      <c r="F100" s="3493" t="s">
        <v>3572</v>
      </c>
      <c r="G100" s="3493" t="s">
        <v>3580</v>
      </c>
      <c r="H100" s="3493">
        <v>44.05</v>
      </c>
      <c r="I100" s="3493">
        <f t="shared" si="2"/>
        <v>44.05</v>
      </c>
      <c r="J100" s="3354" t="s">
        <v>3866</v>
      </c>
      <c r="K100" s="3354" t="s">
        <v>3866</v>
      </c>
      <c r="L100" s="3583"/>
    </row>
    <row r="101" spans="1:12">
      <c r="A101" s="3493">
        <v>100</v>
      </c>
      <c r="B101" s="3589"/>
      <c r="C101" s="3589"/>
      <c r="D101" s="3587"/>
      <c r="E101" s="3493" t="s">
        <v>3665</v>
      </c>
      <c r="F101" s="3493" t="s">
        <v>3640</v>
      </c>
      <c r="G101" s="3493" t="s">
        <v>3667</v>
      </c>
      <c r="H101" s="3493">
        <v>39.1</v>
      </c>
      <c r="I101" s="3493">
        <f t="shared" si="2"/>
        <v>39.1</v>
      </c>
      <c r="J101" s="3354" t="s">
        <v>3866</v>
      </c>
      <c r="K101" s="3354" t="s">
        <v>3866</v>
      </c>
      <c r="L101" s="3583"/>
    </row>
    <row r="102" spans="1:12">
      <c r="A102" s="3493">
        <v>101</v>
      </c>
      <c r="B102" s="3589"/>
      <c r="C102" s="3589"/>
      <c r="D102" s="3597"/>
      <c r="E102" s="3493" t="s">
        <v>3665</v>
      </c>
      <c r="F102" s="3493" t="s">
        <v>3641</v>
      </c>
      <c r="G102" s="3493" t="s">
        <v>3659</v>
      </c>
      <c r="H102" s="3493">
        <v>3319.32</v>
      </c>
      <c r="I102" s="3354">
        <v>2821.28</v>
      </c>
      <c r="J102" s="3354">
        <v>498.04</v>
      </c>
      <c r="K102" s="3354" t="s">
        <v>3866</v>
      </c>
      <c r="L102" s="3583"/>
    </row>
    <row r="103" spans="1:12">
      <c r="A103" s="3493">
        <v>102</v>
      </c>
      <c r="B103" s="3589"/>
      <c r="C103" s="3589"/>
      <c r="D103" s="3587"/>
      <c r="E103" s="3493" t="s">
        <v>3665</v>
      </c>
      <c r="F103" s="3493" t="s">
        <v>3576</v>
      </c>
      <c r="G103" s="3493" t="s">
        <v>3580</v>
      </c>
      <c r="H103" s="3493">
        <v>117.24</v>
      </c>
      <c r="I103" s="3493">
        <f t="shared" ref="I103:I109" si="3">H103</f>
        <v>117.24</v>
      </c>
      <c r="J103" s="3354" t="s">
        <v>3866</v>
      </c>
      <c r="K103" s="3354" t="s">
        <v>3866</v>
      </c>
      <c r="L103" s="3583"/>
    </row>
    <row r="104" spans="1:12">
      <c r="A104" s="3493">
        <v>103</v>
      </c>
      <c r="B104" s="3589"/>
      <c r="C104" s="3589"/>
      <c r="D104" s="3587"/>
      <c r="E104" s="3493" t="s">
        <v>3665</v>
      </c>
      <c r="F104" s="3493" t="s">
        <v>3644</v>
      </c>
      <c r="G104" s="3493" t="s">
        <v>3580</v>
      </c>
      <c r="H104" s="3493">
        <v>113.68</v>
      </c>
      <c r="I104" s="3493">
        <f t="shared" si="3"/>
        <v>113.68</v>
      </c>
      <c r="J104" s="3354" t="s">
        <v>3866</v>
      </c>
      <c r="K104" s="3354" t="s">
        <v>3866</v>
      </c>
      <c r="L104" s="3583"/>
    </row>
    <row r="105" spans="1:12">
      <c r="A105" s="3493">
        <v>104</v>
      </c>
      <c r="B105" s="3589"/>
      <c r="C105" s="3589"/>
      <c r="D105" s="3587"/>
      <c r="E105" s="3493" t="s">
        <v>3665</v>
      </c>
      <c r="F105" s="3493" t="s">
        <v>3645</v>
      </c>
      <c r="G105" s="3493" t="s">
        <v>3580</v>
      </c>
      <c r="H105" s="3493">
        <v>66.099999999999994</v>
      </c>
      <c r="I105" s="3493">
        <f t="shared" si="3"/>
        <v>66.099999999999994</v>
      </c>
      <c r="J105" s="3354" t="s">
        <v>3866</v>
      </c>
      <c r="K105" s="3354" t="s">
        <v>3866</v>
      </c>
      <c r="L105" s="3583"/>
    </row>
    <row r="106" spans="1:12">
      <c r="A106" s="3493">
        <v>105</v>
      </c>
      <c r="B106" s="3589"/>
      <c r="C106" s="3589"/>
      <c r="D106" s="3587"/>
      <c r="E106" s="3493" t="s">
        <v>3665</v>
      </c>
      <c r="F106" s="3493" t="s">
        <v>3647</v>
      </c>
      <c r="G106" s="3493" t="s">
        <v>3580</v>
      </c>
      <c r="H106" s="3493">
        <v>67.849999999999994</v>
      </c>
      <c r="I106" s="3493">
        <f t="shared" si="3"/>
        <v>67.849999999999994</v>
      </c>
      <c r="J106" s="3354" t="s">
        <v>3866</v>
      </c>
      <c r="K106" s="3354" t="s">
        <v>3866</v>
      </c>
      <c r="L106" s="3583"/>
    </row>
    <row r="107" spans="1:12">
      <c r="A107" s="3493">
        <v>106</v>
      </c>
      <c r="B107" s="3589"/>
      <c r="C107" s="3589"/>
      <c r="D107" s="3587"/>
      <c r="E107" s="3493" t="s">
        <v>3665</v>
      </c>
      <c r="F107" s="3493" t="s">
        <v>3579</v>
      </c>
      <c r="G107" s="3493" t="s">
        <v>3580</v>
      </c>
      <c r="H107" s="3493">
        <v>128.80000000000001</v>
      </c>
      <c r="I107" s="3493">
        <f t="shared" si="3"/>
        <v>128.80000000000001</v>
      </c>
      <c r="J107" s="3354" t="s">
        <v>3866</v>
      </c>
      <c r="K107" s="3354" t="s">
        <v>3866</v>
      </c>
      <c r="L107" s="3583"/>
    </row>
    <row r="108" spans="1:12">
      <c r="A108" s="3493">
        <v>107</v>
      </c>
      <c r="B108" s="3589"/>
      <c r="C108" s="3589"/>
      <c r="D108" s="3587"/>
      <c r="E108" s="3493" t="s">
        <v>3665</v>
      </c>
      <c r="F108" s="3493" t="s">
        <v>3649</v>
      </c>
      <c r="G108" s="3493" t="s">
        <v>3668</v>
      </c>
      <c r="H108" s="3493">
        <v>233.41</v>
      </c>
      <c r="I108" s="3493">
        <f t="shared" si="3"/>
        <v>233.41</v>
      </c>
      <c r="J108" s="3354" t="s">
        <v>3866</v>
      </c>
      <c r="K108" s="3354" t="s">
        <v>3866</v>
      </c>
      <c r="L108" s="3583"/>
    </row>
    <row r="109" spans="1:12">
      <c r="A109" s="3493">
        <v>108</v>
      </c>
      <c r="B109" s="3589"/>
      <c r="C109" s="3589"/>
      <c r="D109" s="3587"/>
      <c r="E109" s="3493" t="s">
        <v>3665</v>
      </c>
      <c r="F109" s="3493" t="s">
        <v>3581</v>
      </c>
      <c r="G109" s="3493" t="s">
        <v>3580</v>
      </c>
      <c r="H109" s="3493">
        <v>34.39</v>
      </c>
      <c r="I109" s="3493">
        <f t="shared" si="3"/>
        <v>34.39</v>
      </c>
      <c r="J109" s="3354" t="s">
        <v>3866</v>
      </c>
      <c r="K109" s="3354" t="s">
        <v>3866</v>
      </c>
      <c r="L109" s="3583"/>
    </row>
    <row r="110" spans="1:12">
      <c r="A110" s="3493">
        <v>109</v>
      </c>
      <c r="B110" s="3589"/>
      <c r="C110" s="3589"/>
      <c r="D110" s="3587"/>
      <c r="E110" s="3493" t="s">
        <v>3665</v>
      </c>
      <c r="F110" s="3493" t="s">
        <v>3651</v>
      </c>
      <c r="G110" s="3493" t="s">
        <v>3580</v>
      </c>
      <c r="H110" s="3493">
        <v>15.66</v>
      </c>
      <c r="I110" s="3493">
        <f>H110</f>
        <v>15.66</v>
      </c>
      <c r="J110" s="3354" t="s">
        <v>3866</v>
      </c>
      <c r="K110" s="3354" t="s">
        <v>3866</v>
      </c>
      <c r="L110" s="3583"/>
    </row>
    <row r="111" spans="1:12">
      <c r="A111" s="3493">
        <v>110</v>
      </c>
      <c r="B111" s="3589"/>
      <c r="C111" s="3589"/>
      <c r="D111" s="3587"/>
      <c r="E111" s="3493" t="s">
        <v>3665</v>
      </c>
      <c r="F111" s="3493" t="s">
        <v>3653</v>
      </c>
      <c r="G111" s="3493" t="s">
        <v>3669</v>
      </c>
      <c r="H111" s="3493">
        <v>54.4</v>
      </c>
      <c r="I111" s="3493">
        <f>H111</f>
        <v>54.4</v>
      </c>
      <c r="J111" s="3354" t="s">
        <v>3866</v>
      </c>
      <c r="K111" s="3354" t="s">
        <v>3866</v>
      </c>
      <c r="L111" s="3583"/>
    </row>
    <row r="112" spans="1:12">
      <c r="A112" s="3493">
        <v>111</v>
      </c>
      <c r="B112" s="3589"/>
      <c r="C112" s="3589"/>
      <c r="D112" s="3587"/>
      <c r="E112" s="3493" t="s">
        <v>3665</v>
      </c>
      <c r="F112" s="3493" t="s">
        <v>3655</v>
      </c>
      <c r="G112" s="3493" t="s">
        <v>3670</v>
      </c>
      <c r="H112" s="3493">
        <v>46.42</v>
      </c>
      <c r="I112" s="3493">
        <f t="shared" ref="I112:I125" si="4">H112</f>
        <v>46.42</v>
      </c>
      <c r="J112" s="3354" t="s">
        <v>3866</v>
      </c>
      <c r="K112" s="3354" t="s">
        <v>3866</v>
      </c>
      <c r="L112" s="3583"/>
    </row>
    <row r="113" spans="1:12">
      <c r="A113" s="3493">
        <v>112</v>
      </c>
      <c r="B113" s="3589"/>
      <c r="C113" s="3589"/>
      <c r="D113" s="3587"/>
      <c r="E113" s="3493" t="s">
        <v>3665</v>
      </c>
      <c r="F113" s="3493" t="s">
        <v>3656</v>
      </c>
      <c r="G113" s="3493" t="s">
        <v>3587</v>
      </c>
      <c r="H113" s="3493">
        <v>93.42</v>
      </c>
      <c r="I113" s="3493">
        <f t="shared" si="4"/>
        <v>93.42</v>
      </c>
      <c r="J113" s="3354" t="s">
        <v>3866</v>
      </c>
      <c r="K113" s="3354" t="s">
        <v>3866</v>
      </c>
      <c r="L113" s="3583"/>
    </row>
    <row r="114" spans="1:12">
      <c r="A114" s="3493">
        <v>113</v>
      </c>
      <c r="B114" s="3589"/>
      <c r="C114" s="3589"/>
      <c r="D114" s="3587"/>
      <c r="E114" s="3493" t="s">
        <v>3665</v>
      </c>
      <c r="F114" s="3493" t="s">
        <v>3657</v>
      </c>
      <c r="G114" s="3493" t="s">
        <v>3580</v>
      </c>
      <c r="H114" s="3493">
        <v>22.11</v>
      </c>
      <c r="I114" s="3493">
        <f t="shared" si="4"/>
        <v>22.11</v>
      </c>
      <c r="J114" s="3354" t="s">
        <v>3866</v>
      </c>
      <c r="K114" s="3354" t="s">
        <v>3866</v>
      </c>
      <c r="L114" s="3583"/>
    </row>
    <row r="115" spans="1:12">
      <c r="A115" s="3493">
        <v>114</v>
      </c>
      <c r="B115" s="3589"/>
      <c r="C115" s="3589"/>
      <c r="D115" s="3587"/>
      <c r="E115" s="3493" t="s">
        <v>3665</v>
      </c>
      <c r="F115" s="3493" t="s">
        <v>3583</v>
      </c>
      <c r="G115" s="3493" t="s">
        <v>3671</v>
      </c>
      <c r="H115" s="3493">
        <v>182.98</v>
      </c>
      <c r="I115" s="3493">
        <f t="shared" si="4"/>
        <v>182.98</v>
      </c>
      <c r="J115" s="3354" t="s">
        <v>3866</v>
      </c>
      <c r="K115" s="3354" t="s">
        <v>3866</v>
      </c>
      <c r="L115" s="3583"/>
    </row>
    <row r="116" spans="1:12">
      <c r="A116" s="3493">
        <v>115</v>
      </c>
      <c r="B116" s="3589"/>
      <c r="C116" s="3589"/>
      <c r="D116" s="3587"/>
      <c r="E116" s="3493" t="s">
        <v>3665</v>
      </c>
      <c r="F116" s="3493" t="s">
        <v>3584</v>
      </c>
      <c r="G116" s="3493" t="s">
        <v>3635</v>
      </c>
      <c r="H116" s="3493">
        <v>65.86</v>
      </c>
      <c r="I116" s="3493">
        <f t="shared" si="4"/>
        <v>65.86</v>
      </c>
      <c r="J116" s="3354" t="s">
        <v>3866</v>
      </c>
      <c r="K116" s="3354" t="s">
        <v>3866</v>
      </c>
      <c r="L116" s="3583"/>
    </row>
    <row r="117" spans="1:12">
      <c r="A117" s="3493">
        <v>116</v>
      </c>
      <c r="B117" s="3589"/>
      <c r="C117" s="3589"/>
      <c r="D117" s="3587"/>
      <c r="E117" s="3493" t="s">
        <v>3665</v>
      </c>
      <c r="F117" s="3493" t="s">
        <v>3585</v>
      </c>
      <c r="G117" s="3493" t="s">
        <v>3672</v>
      </c>
      <c r="H117" s="3493">
        <v>40.82</v>
      </c>
      <c r="I117" s="3493">
        <f t="shared" si="4"/>
        <v>40.82</v>
      </c>
      <c r="J117" s="3354" t="s">
        <v>3866</v>
      </c>
      <c r="K117" s="3354" t="s">
        <v>3866</v>
      </c>
      <c r="L117" s="3583"/>
    </row>
    <row r="118" spans="1:12">
      <c r="A118" s="3493">
        <v>117</v>
      </c>
      <c r="B118" s="3589"/>
      <c r="C118" s="3589"/>
      <c r="D118" s="3587"/>
      <c r="E118" s="3493" t="s">
        <v>3665</v>
      </c>
      <c r="F118" s="3493" t="s">
        <v>3586</v>
      </c>
      <c r="G118" s="3493" t="s">
        <v>3589</v>
      </c>
      <c r="H118" s="3493">
        <v>253.55</v>
      </c>
      <c r="I118" s="3493">
        <f t="shared" si="4"/>
        <v>253.55</v>
      </c>
      <c r="J118" s="3354" t="s">
        <v>3866</v>
      </c>
      <c r="K118" s="3354" t="s">
        <v>3866</v>
      </c>
      <c r="L118" s="3583"/>
    </row>
    <row r="119" spans="1:12">
      <c r="A119" s="3493">
        <v>118</v>
      </c>
      <c r="B119" s="3589"/>
      <c r="C119" s="3589"/>
      <c r="D119" s="3587"/>
      <c r="E119" s="3493" t="s">
        <v>3665</v>
      </c>
      <c r="F119" s="3493" t="s">
        <v>3660</v>
      </c>
      <c r="G119" s="3493" t="s">
        <v>3589</v>
      </c>
      <c r="H119" s="3493">
        <v>564.91</v>
      </c>
      <c r="I119" s="3493">
        <v>512.9</v>
      </c>
      <c r="J119" s="3354" t="s">
        <v>3866</v>
      </c>
      <c r="K119" s="3391">
        <v>52.01</v>
      </c>
      <c r="L119" s="3583"/>
    </row>
    <row r="120" spans="1:12">
      <c r="A120" s="3493">
        <v>119</v>
      </c>
      <c r="B120" s="3589"/>
      <c r="C120" s="3589"/>
      <c r="D120" s="3587"/>
      <c r="E120" s="3493" t="s">
        <v>3665</v>
      </c>
      <c r="F120" s="3493" t="s">
        <v>3662</v>
      </c>
      <c r="G120" s="3493" t="s">
        <v>3589</v>
      </c>
      <c r="H120" s="3493">
        <v>211.09</v>
      </c>
      <c r="I120" s="3493">
        <f t="shared" si="4"/>
        <v>211.09</v>
      </c>
      <c r="J120" s="3354" t="s">
        <v>3866</v>
      </c>
      <c r="K120" s="3354" t="s">
        <v>3866</v>
      </c>
      <c r="L120" s="3583"/>
    </row>
    <row r="121" spans="1:12">
      <c r="A121" s="3493">
        <v>120</v>
      </c>
      <c r="B121" s="3589"/>
      <c r="C121" s="3589"/>
      <c r="D121" s="3587"/>
      <c r="E121" s="3493" t="s">
        <v>3665</v>
      </c>
      <c r="F121" s="3493" t="s">
        <v>3673</v>
      </c>
      <c r="G121" s="3493" t="s">
        <v>3671</v>
      </c>
      <c r="H121" s="3493">
        <v>119.64</v>
      </c>
      <c r="I121" s="3493">
        <f t="shared" si="4"/>
        <v>119.64</v>
      </c>
      <c r="J121" s="3354" t="s">
        <v>3866</v>
      </c>
      <c r="K121" s="3354" t="s">
        <v>3866</v>
      </c>
      <c r="L121" s="3583"/>
    </row>
    <row r="122" spans="1:12">
      <c r="A122" s="3493">
        <v>121</v>
      </c>
      <c r="B122" s="3589"/>
      <c r="C122" s="3589"/>
      <c r="D122" s="3587"/>
      <c r="E122" s="3493" t="s">
        <v>3665</v>
      </c>
      <c r="F122" s="3493" t="s">
        <v>3674</v>
      </c>
      <c r="G122" s="3493" t="s">
        <v>3675</v>
      </c>
      <c r="H122" s="3493">
        <v>102.82</v>
      </c>
      <c r="I122" s="3493">
        <f t="shared" si="4"/>
        <v>102.82</v>
      </c>
      <c r="J122" s="3354" t="s">
        <v>3866</v>
      </c>
      <c r="K122" s="3354" t="s">
        <v>3866</v>
      </c>
      <c r="L122" s="3583"/>
    </row>
    <row r="123" spans="1:12">
      <c r="A123" s="3493">
        <v>122</v>
      </c>
      <c r="B123" s="3589"/>
      <c r="C123" s="3589"/>
      <c r="D123" s="3587"/>
      <c r="E123" s="3493" t="s">
        <v>3665</v>
      </c>
      <c r="F123" s="3493" t="s">
        <v>3588</v>
      </c>
      <c r="G123" s="3493" t="s">
        <v>3670</v>
      </c>
      <c r="H123" s="3493">
        <v>43.09</v>
      </c>
      <c r="I123" s="3493">
        <f t="shared" si="4"/>
        <v>43.09</v>
      </c>
      <c r="J123" s="3354" t="s">
        <v>3866</v>
      </c>
      <c r="K123" s="3354" t="s">
        <v>3866</v>
      </c>
      <c r="L123" s="3583"/>
    </row>
    <row r="124" spans="1:12">
      <c r="A124" s="3493">
        <v>123</v>
      </c>
      <c r="B124" s="3589"/>
      <c r="C124" s="3589"/>
      <c r="D124" s="3587"/>
      <c r="E124" s="3493" t="s">
        <v>3665</v>
      </c>
      <c r="F124" s="3493" t="s">
        <v>3676</v>
      </c>
      <c r="G124" s="3493" t="s">
        <v>3677</v>
      </c>
      <c r="H124" s="3493">
        <v>44.28</v>
      </c>
      <c r="I124" s="3493">
        <f t="shared" si="4"/>
        <v>44.28</v>
      </c>
      <c r="J124" s="3354" t="s">
        <v>3866</v>
      </c>
      <c r="K124" s="3354" t="s">
        <v>3866</v>
      </c>
      <c r="L124" s="3583"/>
    </row>
    <row r="125" spans="1:12">
      <c r="A125" s="3493">
        <v>124</v>
      </c>
      <c r="B125" s="3589"/>
      <c r="C125" s="3589"/>
      <c r="D125" s="3587"/>
      <c r="E125" s="3493" t="s">
        <v>3680</v>
      </c>
      <c r="F125" s="3493" t="s">
        <v>3681</v>
      </c>
      <c r="G125" s="3493" t="s">
        <v>3670</v>
      </c>
      <c r="H125" s="3493">
        <v>96.46</v>
      </c>
      <c r="I125" s="3493">
        <f t="shared" si="4"/>
        <v>96.46</v>
      </c>
      <c r="J125" s="3354" t="s">
        <v>3866</v>
      </c>
      <c r="K125" s="3354" t="s">
        <v>3866</v>
      </c>
      <c r="L125" s="3583"/>
    </row>
    <row r="126" spans="1:12">
      <c r="A126" s="3493">
        <v>125</v>
      </c>
      <c r="B126" s="3589"/>
      <c r="C126" s="3589"/>
      <c r="D126" s="3587"/>
      <c r="E126" s="3493" t="s">
        <v>3665</v>
      </c>
      <c r="F126" s="3493" t="s">
        <v>3682</v>
      </c>
      <c r="G126" s="3493" t="s">
        <v>3672</v>
      </c>
      <c r="H126" s="3493">
        <v>30.09</v>
      </c>
      <c r="I126" s="3493">
        <f>H126</f>
        <v>30.09</v>
      </c>
      <c r="J126" s="3354" t="s">
        <v>3866</v>
      </c>
      <c r="K126" s="3354" t="s">
        <v>3866</v>
      </c>
      <c r="L126" s="3583"/>
    </row>
    <row r="127" spans="1:12">
      <c r="A127" s="3493">
        <v>126</v>
      </c>
      <c r="B127" s="3589"/>
      <c r="C127" s="3589"/>
      <c r="D127" s="3587"/>
      <c r="E127" s="3493" t="s">
        <v>3680</v>
      </c>
      <c r="F127" s="3493" t="s">
        <v>3244</v>
      </c>
      <c r="G127" s="3493" t="s">
        <v>3670</v>
      </c>
      <c r="H127" s="3493">
        <v>53.4</v>
      </c>
      <c r="I127" s="3493">
        <f>H127</f>
        <v>53.4</v>
      </c>
      <c r="J127" s="3354" t="s">
        <v>3866</v>
      </c>
      <c r="K127" s="3354" t="s">
        <v>3866</v>
      </c>
      <c r="L127" s="3583"/>
    </row>
    <row r="128" spans="1:12">
      <c r="A128" s="3493">
        <v>127</v>
      </c>
      <c r="B128" s="3589"/>
      <c r="C128" s="3589"/>
      <c r="D128" s="3587"/>
      <c r="E128" s="3493" t="s">
        <v>3680</v>
      </c>
      <c r="F128" s="3493" t="s">
        <v>3684</v>
      </c>
      <c r="G128" s="3493" t="s">
        <v>3677</v>
      </c>
      <c r="H128" s="3493">
        <v>25.3</v>
      </c>
      <c r="I128" s="3493">
        <f>H128</f>
        <v>25.3</v>
      </c>
      <c r="J128" s="3354" t="s">
        <v>3866</v>
      </c>
      <c r="K128" s="3354" t="s">
        <v>3866</v>
      </c>
      <c r="L128" s="3583"/>
    </row>
    <row r="129" spans="1:12">
      <c r="A129" s="3493">
        <v>128</v>
      </c>
      <c r="B129" s="3589"/>
      <c r="C129" s="3589"/>
      <c r="D129" s="3597"/>
      <c r="E129" s="3493" t="s">
        <v>3665</v>
      </c>
      <c r="F129" s="3493" t="s">
        <v>3591</v>
      </c>
      <c r="G129" s="3493" t="s">
        <v>3685</v>
      </c>
      <c r="H129" s="3493">
        <v>184.15</v>
      </c>
      <c r="I129" s="3354">
        <v>106.12</v>
      </c>
      <c r="J129" s="3354">
        <v>78.03</v>
      </c>
      <c r="K129" s="3354" t="s">
        <v>3866</v>
      </c>
      <c r="L129" s="3583"/>
    </row>
    <row r="130" spans="1:12">
      <c r="A130" s="3493">
        <v>129</v>
      </c>
      <c r="B130" s="3589"/>
      <c r="C130" s="3589"/>
      <c r="D130" s="3587"/>
      <c r="E130" s="3493" t="s">
        <v>3665</v>
      </c>
      <c r="F130" s="3493" t="s">
        <v>3592</v>
      </c>
      <c r="G130" s="3493" t="s">
        <v>3686</v>
      </c>
      <c r="H130" s="3493">
        <v>108.81</v>
      </c>
      <c r="I130" s="3493">
        <f t="shared" ref="I130:I147" si="5">H130</f>
        <v>108.81</v>
      </c>
      <c r="J130" s="3354" t="s">
        <v>3866</v>
      </c>
      <c r="K130" s="3354" t="s">
        <v>3866</v>
      </c>
      <c r="L130" s="3583"/>
    </row>
    <row r="131" spans="1:12">
      <c r="A131" s="3493">
        <v>130</v>
      </c>
      <c r="B131" s="3589"/>
      <c r="C131" s="3589"/>
      <c r="D131" s="3587"/>
      <c r="E131" s="3493" t="s">
        <v>3665</v>
      </c>
      <c r="F131" s="3493" t="s">
        <v>3687</v>
      </c>
      <c r="G131" s="3493" t="s">
        <v>3688</v>
      </c>
      <c r="H131" s="3493">
        <v>51.21</v>
      </c>
      <c r="I131" s="3493">
        <f t="shared" si="5"/>
        <v>51.21</v>
      </c>
      <c r="J131" s="3354" t="s">
        <v>3866</v>
      </c>
      <c r="K131" s="3354" t="s">
        <v>3866</v>
      </c>
      <c r="L131" s="3583"/>
    </row>
    <row r="132" spans="1:12">
      <c r="A132" s="3493">
        <v>131</v>
      </c>
      <c r="B132" s="3589"/>
      <c r="C132" s="3589"/>
      <c r="D132" s="3587"/>
      <c r="E132" s="3493" t="s">
        <v>3665</v>
      </c>
      <c r="F132" s="3493" t="s">
        <v>3595</v>
      </c>
      <c r="G132" s="3493" t="s">
        <v>3689</v>
      </c>
      <c r="H132" s="3493">
        <v>45.6</v>
      </c>
      <c r="I132" s="3493">
        <f t="shared" si="5"/>
        <v>45.6</v>
      </c>
      <c r="J132" s="3354" t="s">
        <v>3866</v>
      </c>
      <c r="K132" s="3354" t="s">
        <v>3866</v>
      </c>
      <c r="L132" s="3583"/>
    </row>
    <row r="133" spans="1:12">
      <c r="A133" s="3493">
        <v>132</v>
      </c>
      <c r="B133" s="3589"/>
      <c r="C133" s="3589"/>
      <c r="D133" s="3587"/>
      <c r="E133" s="3493" t="s">
        <v>3665</v>
      </c>
      <c r="F133" s="3493" t="s">
        <v>3596</v>
      </c>
      <c r="G133" s="3493" t="s">
        <v>3670</v>
      </c>
      <c r="H133" s="3493">
        <v>50.14</v>
      </c>
      <c r="I133" s="3493">
        <f t="shared" si="5"/>
        <v>50.14</v>
      </c>
      <c r="J133" s="3354" t="s">
        <v>3866</v>
      </c>
      <c r="K133" s="3354" t="s">
        <v>3866</v>
      </c>
      <c r="L133" s="3583"/>
    </row>
    <row r="134" spans="1:12">
      <c r="A134" s="3493">
        <v>133</v>
      </c>
      <c r="B134" s="3589"/>
      <c r="C134" s="3589"/>
      <c r="D134" s="3587"/>
      <c r="E134" s="3493" t="s">
        <v>3665</v>
      </c>
      <c r="F134" s="3493" t="s">
        <v>3690</v>
      </c>
      <c r="G134" s="3493" t="s">
        <v>3659</v>
      </c>
      <c r="H134" s="3493">
        <v>853.5</v>
      </c>
      <c r="I134" s="3493">
        <f t="shared" si="5"/>
        <v>853.5</v>
      </c>
      <c r="J134" s="3354" t="s">
        <v>3866</v>
      </c>
      <c r="K134" s="3354" t="s">
        <v>3866</v>
      </c>
      <c r="L134" s="3583"/>
    </row>
    <row r="135" spans="1:12">
      <c r="A135" s="3493">
        <v>134</v>
      </c>
      <c r="B135" s="3589"/>
      <c r="C135" s="3589"/>
      <c r="D135" s="3587"/>
      <c r="E135" s="3493" t="s">
        <v>3665</v>
      </c>
      <c r="F135" s="3493" t="s">
        <v>3255</v>
      </c>
      <c r="G135" s="3493" t="s">
        <v>3639</v>
      </c>
      <c r="H135" s="3493">
        <v>100.26</v>
      </c>
      <c r="I135" s="3493">
        <f t="shared" si="5"/>
        <v>100.26</v>
      </c>
      <c r="J135" s="3354" t="s">
        <v>3866</v>
      </c>
      <c r="K135" s="3354" t="s">
        <v>3866</v>
      </c>
      <c r="L135" s="3583"/>
    </row>
    <row r="136" spans="1:12">
      <c r="A136" s="3493">
        <v>135</v>
      </c>
      <c r="B136" s="3589"/>
      <c r="C136" s="3589"/>
      <c r="D136" s="3587"/>
      <c r="E136" s="3493" t="s">
        <v>3665</v>
      </c>
      <c r="F136" s="3493" t="s">
        <v>3598</v>
      </c>
      <c r="G136" s="3493" t="s">
        <v>3691</v>
      </c>
      <c r="H136" s="3493">
        <v>131.41</v>
      </c>
      <c r="I136" s="3493">
        <f t="shared" si="5"/>
        <v>131.41</v>
      </c>
      <c r="J136" s="3354" t="s">
        <v>3866</v>
      </c>
      <c r="K136" s="3354" t="s">
        <v>3866</v>
      </c>
      <c r="L136" s="3583"/>
    </row>
    <row r="137" spans="1:12">
      <c r="A137" s="3493">
        <v>136</v>
      </c>
      <c r="B137" s="3589"/>
      <c r="C137" s="3589"/>
      <c r="D137" s="3587"/>
      <c r="E137" s="3493" t="s">
        <v>3665</v>
      </c>
      <c r="F137" s="3493" t="s">
        <v>3259</v>
      </c>
      <c r="G137" s="3493" t="s">
        <v>3692</v>
      </c>
      <c r="H137" s="3493">
        <v>54.83</v>
      </c>
      <c r="I137" s="3493">
        <f t="shared" si="5"/>
        <v>54.83</v>
      </c>
      <c r="J137" s="3354" t="s">
        <v>3866</v>
      </c>
      <c r="K137" s="3354" t="s">
        <v>3866</v>
      </c>
      <c r="L137" s="3583"/>
    </row>
    <row r="138" spans="1:12">
      <c r="A138" s="3493">
        <v>137</v>
      </c>
      <c r="B138" s="3589"/>
      <c r="C138" s="3589"/>
      <c r="D138" s="3587"/>
      <c r="E138" s="3493" t="s">
        <v>3665</v>
      </c>
      <c r="F138" s="3493" t="s">
        <v>3600</v>
      </c>
      <c r="G138" s="3493" t="s">
        <v>3693</v>
      </c>
      <c r="H138" s="3493">
        <v>54.84</v>
      </c>
      <c r="I138" s="3493">
        <f t="shared" si="5"/>
        <v>54.84</v>
      </c>
      <c r="J138" s="3354" t="s">
        <v>3866</v>
      </c>
      <c r="K138" s="3354" t="s">
        <v>3866</v>
      </c>
      <c r="L138" s="3583"/>
    </row>
    <row r="139" spans="1:12">
      <c r="A139" s="3493">
        <v>138</v>
      </c>
      <c r="B139" s="3589"/>
      <c r="C139" s="3589"/>
      <c r="D139" s="3587"/>
      <c r="E139" s="3493" t="s">
        <v>3665</v>
      </c>
      <c r="F139" s="3493" t="s">
        <v>3601</v>
      </c>
      <c r="G139" s="3493" t="s">
        <v>3587</v>
      </c>
      <c r="H139" s="3493">
        <v>227.13</v>
      </c>
      <c r="I139" s="3493">
        <f t="shared" si="5"/>
        <v>227.13</v>
      </c>
      <c r="J139" s="3354" t="s">
        <v>3866</v>
      </c>
      <c r="K139" s="3354" t="s">
        <v>3866</v>
      </c>
      <c r="L139" s="3583"/>
    </row>
    <row r="140" spans="1:12" ht="24">
      <c r="A140" s="3493">
        <v>139</v>
      </c>
      <c r="B140" s="3589"/>
      <c r="C140" s="3589"/>
      <c r="D140" s="3587"/>
      <c r="E140" s="3493" t="s">
        <v>3665</v>
      </c>
      <c r="F140" s="3493" t="s">
        <v>3602</v>
      </c>
      <c r="G140" s="3493" t="s">
        <v>3694</v>
      </c>
      <c r="H140" s="3493">
        <v>201.36</v>
      </c>
      <c r="I140" s="3493">
        <f t="shared" si="5"/>
        <v>201.36</v>
      </c>
      <c r="J140" s="3354" t="s">
        <v>3866</v>
      </c>
      <c r="K140" s="3354" t="s">
        <v>3866</v>
      </c>
      <c r="L140" s="3583"/>
    </row>
    <row r="141" spans="1:12">
      <c r="A141" s="3493">
        <v>140</v>
      </c>
      <c r="B141" s="3589"/>
      <c r="C141" s="3589"/>
      <c r="D141" s="3587"/>
      <c r="E141" s="3493" t="s">
        <v>3665</v>
      </c>
      <c r="F141" s="3493" t="s">
        <v>3603</v>
      </c>
      <c r="G141" s="3493" t="s">
        <v>3695</v>
      </c>
      <c r="H141" s="3493">
        <v>199.2</v>
      </c>
      <c r="I141" s="3493">
        <f t="shared" si="5"/>
        <v>199.2</v>
      </c>
      <c r="J141" s="3354" t="s">
        <v>3866</v>
      </c>
      <c r="K141" s="3354" t="s">
        <v>3866</v>
      </c>
      <c r="L141" s="3583"/>
    </row>
    <row r="142" spans="1:12">
      <c r="A142" s="3493">
        <v>141</v>
      </c>
      <c r="B142" s="3589"/>
      <c r="C142" s="3589"/>
      <c r="D142" s="3587"/>
      <c r="E142" s="3493" t="s">
        <v>3665</v>
      </c>
      <c r="F142" s="3493" t="s">
        <v>3604</v>
      </c>
      <c r="G142" s="3493" t="s">
        <v>3696</v>
      </c>
      <c r="H142" s="3493">
        <v>140.13999999999999</v>
      </c>
      <c r="I142" s="3493">
        <f t="shared" si="5"/>
        <v>140.13999999999999</v>
      </c>
      <c r="J142" s="3354" t="s">
        <v>3866</v>
      </c>
      <c r="K142" s="3354" t="s">
        <v>3866</v>
      </c>
      <c r="L142" s="3583"/>
    </row>
    <row r="143" spans="1:12">
      <c r="A143" s="3493">
        <v>142</v>
      </c>
      <c r="B143" s="3589"/>
      <c r="C143" s="3589"/>
      <c r="D143" s="3587"/>
      <c r="E143" s="3493" t="s">
        <v>3665</v>
      </c>
      <c r="F143" s="3493" t="s">
        <v>3697</v>
      </c>
      <c r="G143" s="3493" t="s">
        <v>3698</v>
      </c>
      <c r="H143" s="3493">
        <v>35.79</v>
      </c>
      <c r="I143" s="3493">
        <f t="shared" si="5"/>
        <v>35.79</v>
      </c>
      <c r="J143" s="3354" t="s">
        <v>3866</v>
      </c>
      <c r="K143" s="3354" t="s">
        <v>3866</v>
      </c>
      <c r="L143" s="3583"/>
    </row>
    <row r="144" spans="1:12">
      <c r="A144" s="3493">
        <v>143</v>
      </c>
      <c r="B144" s="3589"/>
      <c r="C144" s="3589"/>
      <c r="D144" s="3587"/>
      <c r="E144" s="3493" t="s">
        <v>3665</v>
      </c>
      <c r="F144" s="3493" t="s">
        <v>3269</v>
      </c>
      <c r="G144" s="3493" t="s">
        <v>3692</v>
      </c>
      <c r="H144" s="3493">
        <v>79.849999999999994</v>
      </c>
      <c r="I144" s="3493">
        <f t="shared" si="5"/>
        <v>79.849999999999994</v>
      </c>
      <c r="J144" s="3354" t="s">
        <v>3866</v>
      </c>
      <c r="K144" s="3354" t="s">
        <v>3866</v>
      </c>
      <c r="L144" s="3583"/>
    </row>
    <row r="145" spans="1:12">
      <c r="A145" s="3493">
        <v>144</v>
      </c>
      <c r="B145" s="3589"/>
      <c r="C145" s="3589"/>
      <c r="D145" s="3587"/>
      <c r="E145" s="3493" t="s">
        <v>3665</v>
      </c>
      <c r="F145" s="3493" t="s">
        <v>3699</v>
      </c>
      <c r="G145" s="3493" t="s">
        <v>3700</v>
      </c>
      <c r="H145" s="3493">
        <v>188.79</v>
      </c>
      <c r="I145" s="3493">
        <f t="shared" si="5"/>
        <v>188.79</v>
      </c>
      <c r="J145" s="3354" t="s">
        <v>3866</v>
      </c>
      <c r="K145" s="3354" t="s">
        <v>3866</v>
      </c>
      <c r="L145" s="3583"/>
    </row>
    <row r="146" spans="1:12">
      <c r="A146" s="3493">
        <v>145</v>
      </c>
      <c r="B146" s="3589"/>
      <c r="C146" s="3589"/>
      <c r="D146" s="3587"/>
      <c r="E146" s="3493" t="s">
        <v>3665</v>
      </c>
      <c r="F146" s="3493" t="s">
        <v>3701</v>
      </c>
      <c r="G146" s="3493" t="s">
        <v>3702</v>
      </c>
      <c r="H146" s="3493">
        <v>169.29</v>
      </c>
      <c r="I146" s="3493">
        <f t="shared" si="5"/>
        <v>169.29</v>
      </c>
      <c r="J146" s="3354" t="s">
        <v>3866</v>
      </c>
      <c r="K146" s="3354" t="s">
        <v>3866</v>
      </c>
      <c r="L146" s="3583"/>
    </row>
    <row r="147" spans="1:12">
      <c r="A147" s="3493">
        <v>146</v>
      </c>
      <c r="B147" s="3589"/>
      <c r="C147" s="3589"/>
      <c r="D147" s="3587"/>
      <c r="E147" s="3493" t="s">
        <v>3665</v>
      </c>
      <c r="F147" s="3493" t="s">
        <v>3703</v>
      </c>
      <c r="G147" s="3493" t="s">
        <v>3704</v>
      </c>
      <c r="H147" s="3493">
        <v>197.22</v>
      </c>
      <c r="I147" s="3493">
        <f t="shared" si="5"/>
        <v>197.22</v>
      </c>
      <c r="J147" s="3354" t="s">
        <v>3866</v>
      </c>
      <c r="K147" s="3354" t="s">
        <v>3866</v>
      </c>
      <c r="L147" s="3583"/>
    </row>
    <row r="148" spans="1:12">
      <c r="A148" s="3493">
        <v>147</v>
      </c>
      <c r="B148" s="3589"/>
      <c r="C148" s="3589"/>
      <c r="D148" s="3587"/>
      <c r="E148" s="3493" t="s">
        <v>3665</v>
      </c>
      <c r="F148" s="3493" t="s">
        <v>3705</v>
      </c>
      <c r="G148" s="3493" t="s">
        <v>3706</v>
      </c>
      <c r="H148" s="3493">
        <v>170.41</v>
      </c>
      <c r="I148" s="3493">
        <f>H148</f>
        <v>170.41</v>
      </c>
      <c r="J148" s="3354" t="s">
        <v>3866</v>
      </c>
      <c r="K148" s="3354" t="s">
        <v>3866</v>
      </c>
      <c r="L148" s="3583"/>
    </row>
    <row r="149" spans="1:12">
      <c r="A149" s="3493">
        <v>148</v>
      </c>
      <c r="B149" s="3589"/>
      <c r="C149" s="3589"/>
      <c r="D149" s="3587"/>
      <c r="E149" s="3493" t="s">
        <v>3665</v>
      </c>
      <c r="F149" s="3493" t="s">
        <v>3707</v>
      </c>
      <c r="G149" s="3493" t="s">
        <v>3708</v>
      </c>
      <c r="H149" s="3493">
        <v>87.28</v>
      </c>
      <c r="I149" s="3493">
        <f>H149</f>
        <v>87.28</v>
      </c>
      <c r="J149" s="3354" t="s">
        <v>3866</v>
      </c>
      <c r="K149" s="3354" t="s">
        <v>3866</v>
      </c>
      <c r="L149" s="3583"/>
    </row>
    <row r="150" spans="1:12">
      <c r="A150" s="3493">
        <v>149</v>
      </c>
      <c r="B150" s="3589"/>
      <c r="C150" s="3589"/>
      <c r="D150" s="3587"/>
      <c r="E150" s="3493" t="s">
        <v>3665</v>
      </c>
      <c r="F150" s="3493" t="s">
        <v>3709</v>
      </c>
      <c r="G150" s="3493" t="s">
        <v>3580</v>
      </c>
      <c r="H150" s="3493">
        <v>68.52</v>
      </c>
      <c r="I150" s="3493">
        <f>H150</f>
        <v>68.52</v>
      </c>
      <c r="J150" s="3354" t="s">
        <v>3866</v>
      </c>
      <c r="K150" s="3354" t="s">
        <v>3866</v>
      </c>
      <c r="L150" s="3583"/>
    </row>
    <row r="151" spans="1:12">
      <c r="A151" s="3493">
        <v>150</v>
      </c>
      <c r="B151" s="3589"/>
      <c r="C151" s="3589"/>
      <c r="D151" s="3587"/>
      <c r="E151" s="3493" t="s">
        <v>3665</v>
      </c>
      <c r="F151" s="3493" t="s">
        <v>3710</v>
      </c>
      <c r="G151" s="3493" t="s">
        <v>3711</v>
      </c>
      <c r="H151" s="3493">
        <v>53.03</v>
      </c>
      <c r="I151" s="3493">
        <f t="shared" ref="I151:I165" si="6">H151</f>
        <v>53.03</v>
      </c>
      <c r="J151" s="3354" t="s">
        <v>3866</v>
      </c>
      <c r="K151" s="3354" t="s">
        <v>3866</v>
      </c>
      <c r="L151" s="3583"/>
    </row>
    <row r="152" spans="1:12">
      <c r="A152" s="3493">
        <v>151</v>
      </c>
      <c r="B152" s="3589"/>
      <c r="C152" s="3589"/>
      <c r="D152" s="3587"/>
      <c r="E152" s="3493" t="s">
        <v>3665</v>
      </c>
      <c r="F152" s="3493" t="s">
        <v>3712</v>
      </c>
      <c r="G152" s="3493" t="s">
        <v>3693</v>
      </c>
      <c r="H152" s="3493">
        <v>75.34</v>
      </c>
      <c r="I152" s="3493">
        <f t="shared" si="6"/>
        <v>75.34</v>
      </c>
      <c r="J152" s="3354" t="s">
        <v>3866</v>
      </c>
      <c r="K152" s="3354" t="s">
        <v>3866</v>
      </c>
      <c r="L152" s="3583"/>
    </row>
    <row r="153" spans="1:12">
      <c r="A153" s="3493">
        <v>152</v>
      </c>
      <c r="B153" s="3589"/>
      <c r="C153" s="3589"/>
      <c r="D153" s="3587"/>
      <c r="E153" s="3493" t="s">
        <v>3665</v>
      </c>
      <c r="F153" s="3493" t="s">
        <v>3713</v>
      </c>
      <c r="G153" s="3493" t="s">
        <v>3688</v>
      </c>
      <c r="H153" s="3493">
        <v>216.77</v>
      </c>
      <c r="I153" s="3493">
        <f t="shared" si="6"/>
        <v>216.77</v>
      </c>
      <c r="J153" s="3354" t="s">
        <v>3866</v>
      </c>
      <c r="K153" s="3354" t="s">
        <v>3866</v>
      </c>
      <c r="L153" s="3583"/>
    </row>
    <row r="154" spans="1:12">
      <c r="A154" s="3493">
        <v>153</v>
      </c>
      <c r="B154" s="3589"/>
      <c r="C154" s="3589"/>
      <c r="D154" s="3587"/>
      <c r="E154" s="3493" t="s">
        <v>3665</v>
      </c>
      <c r="F154" s="3493" t="s">
        <v>3714</v>
      </c>
      <c r="G154" s="3493" t="s">
        <v>3715</v>
      </c>
      <c r="H154" s="3493">
        <v>103.71</v>
      </c>
      <c r="I154" s="3493">
        <f t="shared" si="6"/>
        <v>103.71</v>
      </c>
      <c r="J154" s="3354" t="s">
        <v>3866</v>
      </c>
      <c r="K154" s="3354" t="s">
        <v>3866</v>
      </c>
      <c r="L154" s="3583"/>
    </row>
    <row r="155" spans="1:12">
      <c r="A155" s="3493">
        <v>154</v>
      </c>
      <c r="B155" s="3589"/>
      <c r="C155" s="3589"/>
      <c r="D155" s="3587"/>
      <c r="E155" s="3493" t="s">
        <v>3665</v>
      </c>
      <c r="F155" s="3493" t="s">
        <v>3716</v>
      </c>
      <c r="G155" s="3493" t="s">
        <v>3288</v>
      </c>
      <c r="H155" s="3493">
        <v>26.23</v>
      </c>
      <c r="I155" s="3493">
        <f t="shared" si="6"/>
        <v>26.23</v>
      </c>
      <c r="J155" s="3354" t="s">
        <v>3866</v>
      </c>
      <c r="K155" s="3354" t="s">
        <v>3866</v>
      </c>
      <c r="L155" s="3583"/>
    </row>
    <row r="156" spans="1:12">
      <c r="A156" s="3493">
        <v>155</v>
      </c>
      <c r="B156" s="3589"/>
      <c r="C156" s="3589"/>
      <c r="D156" s="3587"/>
      <c r="E156" s="3493" t="s">
        <v>3665</v>
      </c>
      <c r="F156" s="3493" t="s">
        <v>3718</v>
      </c>
      <c r="G156" s="3493" t="s">
        <v>3288</v>
      </c>
      <c r="H156" s="3493">
        <v>79.010000000000005</v>
      </c>
      <c r="I156" s="3493">
        <f t="shared" si="6"/>
        <v>79.010000000000005</v>
      </c>
      <c r="J156" s="3354" t="s">
        <v>3866</v>
      </c>
      <c r="K156" s="3354" t="s">
        <v>3866</v>
      </c>
      <c r="L156" s="3583"/>
    </row>
    <row r="157" spans="1:12">
      <c r="A157" s="3493">
        <v>156</v>
      </c>
      <c r="B157" s="3589"/>
      <c r="C157" s="3589"/>
      <c r="D157" s="3587"/>
      <c r="E157" s="3493" t="s">
        <v>3665</v>
      </c>
      <c r="F157" s="3493" t="s">
        <v>3719</v>
      </c>
      <c r="G157" s="3493" t="s">
        <v>3288</v>
      </c>
      <c r="H157" s="3493">
        <v>35.130000000000003</v>
      </c>
      <c r="I157" s="3493">
        <f t="shared" si="6"/>
        <v>35.130000000000003</v>
      </c>
      <c r="J157" s="3354" t="s">
        <v>3866</v>
      </c>
      <c r="K157" s="3354" t="s">
        <v>3866</v>
      </c>
      <c r="L157" s="3583"/>
    </row>
    <row r="158" spans="1:12">
      <c r="A158" s="3493">
        <v>157</v>
      </c>
      <c r="B158" s="3589"/>
      <c r="C158" s="3589"/>
      <c r="D158" s="3587"/>
      <c r="E158" s="3493" t="s">
        <v>3665</v>
      </c>
      <c r="F158" s="3493" t="s">
        <v>3720</v>
      </c>
      <c r="G158" s="3493" t="s">
        <v>3654</v>
      </c>
      <c r="H158" s="3493">
        <v>80.36</v>
      </c>
      <c r="I158" s="3493">
        <f t="shared" si="6"/>
        <v>80.36</v>
      </c>
      <c r="J158" s="3354" t="s">
        <v>3866</v>
      </c>
      <c r="K158" s="3354" t="s">
        <v>3866</v>
      </c>
      <c r="L158" s="3583"/>
    </row>
    <row r="159" spans="1:12">
      <c r="A159" s="3493">
        <v>158</v>
      </c>
      <c r="B159" s="3589"/>
      <c r="C159" s="3589"/>
      <c r="D159" s="3587"/>
      <c r="E159" s="3493" t="s">
        <v>3665</v>
      </c>
      <c r="F159" s="3493" t="s">
        <v>3721</v>
      </c>
      <c r="G159" s="3493" t="s">
        <v>3722</v>
      </c>
      <c r="H159" s="3493">
        <v>128.96</v>
      </c>
      <c r="I159" s="3493">
        <f t="shared" si="6"/>
        <v>128.96</v>
      </c>
      <c r="J159" s="3354" t="s">
        <v>3866</v>
      </c>
      <c r="K159" s="3354" t="s">
        <v>3866</v>
      </c>
      <c r="L159" s="3583"/>
    </row>
    <row r="160" spans="1:12">
      <c r="A160" s="3493">
        <v>159</v>
      </c>
      <c r="B160" s="3589"/>
      <c r="C160" s="3589"/>
      <c r="D160" s="3587"/>
      <c r="E160" s="3493" t="s">
        <v>3665</v>
      </c>
      <c r="F160" s="3493" t="s">
        <v>3723</v>
      </c>
      <c r="G160" s="3493" t="s">
        <v>3589</v>
      </c>
      <c r="H160" s="3493">
        <v>169.05</v>
      </c>
      <c r="I160" s="3493">
        <f t="shared" si="6"/>
        <v>169.05</v>
      </c>
      <c r="J160" s="3354" t="s">
        <v>3866</v>
      </c>
      <c r="K160" s="3354" t="s">
        <v>3866</v>
      </c>
      <c r="L160" s="3583"/>
    </row>
    <row r="161" spans="1:12">
      <c r="A161" s="3493">
        <v>160</v>
      </c>
      <c r="B161" s="3589"/>
      <c r="C161" s="3589"/>
      <c r="D161" s="3587"/>
      <c r="E161" s="3493" t="s">
        <v>3665</v>
      </c>
      <c r="F161" s="3493" t="s">
        <v>3724</v>
      </c>
      <c r="G161" s="3493" t="s">
        <v>3589</v>
      </c>
      <c r="H161" s="3493">
        <v>185.43</v>
      </c>
      <c r="I161" s="3493">
        <f t="shared" si="6"/>
        <v>185.43</v>
      </c>
      <c r="J161" s="3354" t="s">
        <v>3866</v>
      </c>
      <c r="K161" s="3354" t="s">
        <v>3866</v>
      </c>
      <c r="L161" s="3583"/>
    </row>
    <row r="162" spans="1:12">
      <c r="A162" s="3493">
        <v>161</v>
      </c>
      <c r="B162" s="3589"/>
      <c r="C162" s="3589"/>
      <c r="D162" s="3587"/>
      <c r="E162" s="3493" t="s">
        <v>3665</v>
      </c>
      <c r="F162" s="3493" t="s">
        <v>3725</v>
      </c>
      <c r="G162" s="3493" t="s">
        <v>3589</v>
      </c>
      <c r="H162" s="3493">
        <v>25.62</v>
      </c>
      <c r="I162" s="3493">
        <f t="shared" si="6"/>
        <v>25.62</v>
      </c>
      <c r="J162" s="3354" t="s">
        <v>3866</v>
      </c>
      <c r="K162" s="3354" t="s">
        <v>3866</v>
      </c>
      <c r="L162" s="3583"/>
    </row>
    <row r="163" spans="1:12">
      <c r="A163" s="3493">
        <v>162</v>
      </c>
      <c r="B163" s="3581"/>
      <c r="C163" s="3581"/>
      <c r="D163" s="3588"/>
      <c r="E163" s="3493" t="s">
        <v>3665</v>
      </c>
      <c r="F163" s="3493" t="s">
        <v>3726</v>
      </c>
      <c r="G163" s="3493" t="s">
        <v>3589</v>
      </c>
      <c r="H163" s="3493">
        <v>226.68</v>
      </c>
      <c r="I163" s="3493">
        <f t="shared" si="6"/>
        <v>226.68</v>
      </c>
      <c r="J163" s="3354" t="s">
        <v>3866</v>
      </c>
      <c r="K163" s="3354" t="s">
        <v>3866</v>
      </c>
      <c r="L163" s="3583"/>
    </row>
    <row r="164" spans="1:12" ht="13.5" customHeight="1">
      <c r="A164" s="3493">
        <v>163</v>
      </c>
      <c r="B164" s="3611" t="s">
        <v>3727</v>
      </c>
      <c r="C164" s="3611" t="s">
        <v>3728</v>
      </c>
      <c r="D164" s="3586" t="s">
        <v>3891</v>
      </c>
      <c r="E164" s="3493" t="s">
        <v>3729</v>
      </c>
      <c r="F164" s="3493" t="s">
        <v>3634</v>
      </c>
      <c r="G164" s="3493" t="s">
        <v>3730</v>
      </c>
      <c r="H164" s="3391">
        <v>591.37</v>
      </c>
      <c r="I164" s="3391">
        <f t="shared" si="6"/>
        <v>591.37</v>
      </c>
      <c r="J164" s="3354" t="s">
        <v>3866</v>
      </c>
      <c r="K164" s="3354" t="s">
        <v>3866</v>
      </c>
      <c r="L164" s="3583">
        <v>10891.3</v>
      </c>
    </row>
    <row r="165" spans="1:12">
      <c r="A165" s="3493">
        <v>164</v>
      </c>
      <c r="B165" s="3589"/>
      <c r="C165" s="3589"/>
      <c r="D165" s="3587"/>
      <c r="E165" s="3493" t="s">
        <v>3729</v>
      </c>
      <c r="F165" s="3493" t="s">
        <v>3617</v>
      </c>
      <c r="G165" s="3493" t="s">
        <v>3731</v>
      </c>
      <c r="H165" s="3391">
        <v>807.83</v>
      </c>
      <c r="I165" s="3391">
        <f t="shared" si="6"/>
        <v>807.83</v>
      </c>
      <c r="J165" s="3354" t="s">
        <v>3866</v>
      </c>
      <c r="K165" s="3354" t="s">
        <v>3866</v>
      </c>
      <c r="L165" s="3583"/>
    </row>
    <row r="166" spans="1:12">
      <c r="A166" s="3493">
        <v>165</v>
      </c>
      <c r="B166" s="3589"/>
      <c r="C166" s="3589"/>
      <c r="D166" s="3597"/>
      <c r="E166" s="3493" t="s">
        <v>3729</v>
      </c>
      <c r="F166" s="3493" t="s">
        <v>3620</v>
      </c>
      <c r="G166" s="3493" t="s">
        <v>3730</v>
      </c>
      <c r="H166" s="3391">
        <v>1294.05</v>
      </c>
      <c r="I166" s="3354">
        <v>995.65</v>
      </c>
      <c r="J166" s="3354">
        <v>298.39999999999998</v>
      </c>
      <c r="K166" s="3354" t="s">
        <v>3866</v>
      </c>
      <c r="L166" s="3583"/>
    </row>
    <row r="167" spans="1:12">
      <c r="A167" s="3493">
        <v>166</v>
      </c>
      <c r="B167" s="3589"/>
      <c r="C167" s="3589"/>
      <c r="D167" s="3587"/>
      <c r="E167" s="3493" t="s">
        <v>3729</v>
      </c>
      <c r="F167" s="3493" t="s">
        <v>3622</v>
      </c>
      <c r="G167" s="3493" t="s">
        <v>3730</v>
      </c>
      <c r="H167" s="3391">
        <v>160.74</v>
      </c>
      <c r="I167" s="3391">
        <f>H167</f>
        <v>160.74</v>
      </c>
      <c r="J167" s="3354" t="s">
        <v>3866</v>
      </c>
      <c r="K167" s="3354" t="s">
        <v>3866</v>
      </c>
      <c r="L167" s="3583"/>
    </row>
    <row r="168" spans="1:12">
      <c r="A168" s="3493">
        <v>167</v>
      </c>
      <c r="B168" s="3589"/>
      <c r="C168" s="3589"/>
      <c r="D168" s="3587"/>
      <c r="E168" s="3493" t="s">
        <v>3729</v>
      </c>
      <c r="F168" s="3493" t="s">
        <v>3626</v>
      </c>
      <c r="G168" s="3493" t="s">
        <v>3730</v>
      </c>
      <c r="H168" s="3391">
        <v>117.15</v>
      </c>
      <c r="I168" s="3391">
        <f>H168</f>
        <v>117.15</v>
      </c>
      <c r="J168" s="3354" t="s">
        <v>3866</v>
      </c>
      <c r="K168" s="3354" t="s">
        <v>3866</v>
      </c>
      <c r="L168" s="3583"/>
    </row>
    <row r="169" spans="1:12">
      <c r="A169" s="3493">
        <v>168</v>
      </c>
      <c r="B169" s="3589"/>
      <c r="C169" s="3589"/>
      <c r="D169" s="3588"/>
      <c r="E169" s="3493" t="s">
        <v>3729</v>
      </c>
      <c r="F169" s="3493" t="s">
        <v>3628</v>
      </c>
      <c r="G169" s="3493" t="s">
        <v>3732</v>
      </c>
      <c r="H169" s="3391">
        <v>431.01</v>
      </c>
      <c r="I169" s="3391">
        <f>H169</f>
        <v>431.01</v>
      </c>
      <c r="J169" s="3354" t="s">
        <v>3866</v>
      </c>
      <c r="K169" s="3354" t="s">
        <v>3866</v>
      </c>
      <c r="L169" s="3583"/>
    </row>
    <row r="170" spans="1:12" ht="36">
      <c r="A170" s="3493">
        <v>169</v>
      </c>
      <c r="B170" s="3581"/>
      <c r="C170" s="3581"/>
      <c r="D170" s="3495" t="s">
        <v>3879</v>
      </c>
      <c r="E170" s="3493" t="s">
        <v>3729</v>
      </c>
      <c r="F170" s="3493" t="s">
        <v>3572</v>
      </c>
      <c r="G170" s="3493" t="s">
        <v>3733</v>
      </c>
      <c r="H170" s="3493">
        <v>12577.94</v>
      </c>
      <c r="I170" s="3354">
        <v>10776.73</v>
      </c>
      <c r="J170" s="3354">
        <v>1655.97</v>
      </c>
      <c r="K170" s="3354">
        <v>145.24</v>
      </c>
      <c r="L170" s="3583"/>
    </row>
    <row r="171" spans="1:12" ht="13.5" customHeight="1">
      <c r="A171" s="3493">
        <v>170</v>
      </c>
      <c r="B171" s="3611" t="s">
        <v>3734</v>
      </c>
      <c r="C171" s="3611" t="s">
        <v>3735</v>
      </c>
      <c r="D171" s="3590" t="s">
        <v>3889</v>
      </c>
      <c r="E171" s="3493" t="s">
        <v>3736</v>
      </c>
      <c r="F171" s="3493" t="s">
        <v>3622</v>
      </c>
      <c r="G171" s="3493" t="s">
        <v>3671</v>
      </c>
      <c r="H171" s="3493">
        <v>859.19</v>
      </c>
      <c r="I171" s="3493">
        <v>822.59</v>
      </c>
      <c r="J171" s="3354" t="s">
        <v>3866</v>
      </c>
      <c r="K171" s="3391">
        <v>36.6</v>
      </c>
      <c r="L171" s="3583">
        <v>31373.17</v>
      </c>
    </row>
    <row r="172" spans="1:12">
      <c r="A172" s="3493">
        <v>171</v>
      </c>
      <c r="B172" s="3589"/>
      <c r="C172" s="3589"/>
      <c r="D172" s="3590"/>
      <c r="E172" s="3493" t="s">
        <v>3736</v>
      </c>
      <c r="F172" s="3493" t="s">
        <v>3626</v>
      </c>
      <c r="G172" s="3493" t="s">
        <v>3671</v>
      </c>
      <c r="H172" s="3493">
        <v>859.19</v>
      </c>
      <c r="I172" s="3493">
        <v>822.59</v>
      </c>
      <c r="J172" s="3354" t="s">
        <v>3866</v>
      </c>
      <c r="K172" s="3391">
        <v>36.6</v>
      </c>
      <c r="L172" s="3583"/>
    </row>
    <row r="173" spans="1:12">
      <c r="A173" s="3493">
        <v>172</v>
      </c>
      <c r="B173" s="3589"/>
      <c r="C173" s="3589"/>
      <c r="D173" s="3590"/>
      <c r="E173" s="3493" t="s">
        <v>3736</v>
      </c>
      <c r="F173" s="3493" t="s">
        <v>3628</v>
      </c>
      <c r="G173" s="3493" t="s">
        <v>3671</v>
      </c>
      <c r="H173" s="3493">
        <v>859.19</v>
      </c>
      <c r="I173" s="3493">
        <v>822.59</v>
      </c>
      <c r="J173" s="3354" t="s">
        <v>3866</v>
      </c>
      <c r="K173" s="3391">
        <v>36.6</v>
      </c>
      <c r="L173" s="3583"/>
    </row>
    <row r="174" spans="1:12">
      <c r="A174" s="3493">
        <v>173</v>
      </c>
      <c r="B174" s="3589"/>
      <c r="C174" s="3589"/>
      <c r="D174" s="3590"/>
      <c r="E174" s="3493" t="s">
        <v>3736</v>
      </c>
      <c r="F174" s="3493" t="s">
        <v>3317</v>
      </c>
      <c r="G174" s="3493" t="s">
        <v>3671</v>
      </c>
      <c r="H174" s="3493">
        <v>859.19</v>
      </c>
      <c r="I174" s="3493">
        <v>822.59</v>
      </c>
      <c r="J174" s="3354" t="s">
        <v>3866</v>
      </c>
      <c r="K174" s="3391">
        <v>36.6</v>
      </c>
      <c r="L174" s="3583"/>
    </row>
    <row r="175" spans="1:12">
      <c r="A175" s="3493">
        <v>174</v>
      </c>
      <c r="B175" s="3589"/>
      <c r="C175" s="3589"/>
      <c r="D175" s="3590"/>
      <c r="E175" s="3493" t="s">
        <v>3736</v>
      </c>
      <c r="F175" s="3493" t="s">
        <v>3318</v>
      </c>
      <c r="G175" s="3493" t="s">
        <v>3671</v>
      </c>
      <c r="H175" s="3493">
        <v>859.19</v>
      </c>
      <c r="I175" s="3493">
        <v>822.59</v>
      </c>
      <c r="J175" s="3354" t="s">
        <v>3866</v>
      </c>
      <c r="K175" s="3391">
        <v>36.6</v>
      </c>
      <c r="L175" s="3583"/>
    </row>
    <row r="176" spans="1:12">
      <c r="A176" s="3493">
        <v>175</v>
      </c>
      <c r="B176" s="3589"/>
      <c r="C176" s="3589"/>
      <c r="D176" s="3590"/>
      <c r="E176" s="3493" t="s">
        <v>3736</v>
      </c>
      <c r="F176" s="3493" t="s">
        <v>3319</v>
      </c>
      <c r="G176" s="3493" t="s">
        <v>3671</v>
      </c>
      <c r="H176" s="3493">
        <v>859.19</v>
      </c>
      <c r="I176" s="3493">
        <v>822.59</v>
      </c>
      <c r="J176" s="3354" t="s">
        <v>3866</v>
      </c>
      <c r="K176" s="3391">
        <v>36.6</v>
      </c>
      <c r="L176" s="3583"/>
    </row>
    <row r="177" spans="1:12">
      <c r="A177" s="3493">
        <v>176</v>
      </c>
      <c r="B177" s="3589"/>
      <c r="C177" s="3589"/>
      <c r="D177" s="3590"/>
      <c r="E177" s="3493" t="s">
        <v>3736</v>
      </c>
      <c r="F177" s="3493" t="s">
        <v>3320</v>
      </c>
      <c r="G177" s="3493" t="s">
        <v>3671</v>
      </c>
      <c r="H177" s="3493">
        <v>859.19</v>
      </c>
      <c r="I177" s="3493">
        <v>822.59</v>
      </c>
      <c r="J177" s="3354" t="s">
        <v>3866</v>
      </c>
      <c r="K177" s="3391">
        <v>36.6</v>
      </c>
      <c r="L177" s="3583"/>
    </row>
    <row r="178" spans="1:12">
      <c r="A178" s="3493">
        <v>177</v>
      </c>
      <c r="B178" s="3589"/>
      <c r="C178" s="3589"/>
      <c r="D178" s="3590"/>
      <c r="E178" s="3493" t="s">
        <v>3736</v>
      </c>
      <c r="F178" s="3493" t="s">
        <v>3321</v>
      </c>
      <c r="G178" s="3493" t="s">
        <v>3671</v>
      </c>
      <c r="H178" s="3493">
        <v>859.19</v>
      </c>
      <c r="I178" s="3493">
        <v>822.59</v>
      </c>
      <c r="J178" s="3354" t="s">
        <v>3866</v>
      </c>
      <c r="K178" s="3391">
        <v>36.6</v>
      </c>
      <c r="L178" s="3583"/>
    </row>
    <row r="179" spans="1:12">
      <c r="A179" s="3493">
        <v>178</v>
      </c>
      <c r="B179" s="3581"/>
      <c r="C179" s="3581"/>
      <c r="D179" s="3599"/>
      <c r="E179" s="3493" t="s">
        <v>3736</v>
      </c>
      <c r="F179" s="3493" t="s">
        <v>3645</v>
      </c>
      <c r="G179" s="3493" t="s">
        <v>3737</v>
      </c>
      <c r="H179" s="3493">
        <v>3833.1</v>
      </c>
      <c r="I179" s="3354">
        <v>2419.02</v>
      </c>
      <c r="J179" s="3354">
        <v>1414.08</v>
      </c>
      <c r="K179" s="3354" t="s">
        <v>3866</v>
      </c>
      <c r="L179" s="3583"/>
    </row>
    <row r="180" spans="1:12" ht="13.5" customHeight="1">
      <c r="A180" s="3493">
        <v>179</v>
      </c>
      <c r="B180" s="3611" t="s">
        <v>3738</v>
      </c>
      <c r="C180" s="3611" t="s">
        <v>3324</v>
      </c>
      <c r="D180" s="3586" t="s">
        <v>3880</v>
      </c>
      <c r="E180" s="3493" t="s">
        <v>3327</v>
      </c>
      <c r="F180" s="3493" t="s">
        <v>3634</v>
      </c>
      <c r="G180" s="3493" t="s">
        <v>3589</v>
      </c>
      <c r="H180" s="3493">
        <v>76.36</v>
      </c>
      <c r="I180" s="3493">
        <f>H180</f>
        <v>76.36</v>
      </c>
      <c r="J180" s="3354" t="s">
        <v>3866</v>
      </c>
      <c r="K180" s="3354" t="s">
        <v>3866</v>
      </c>
      <c r="L180" s="3583">
        <v>32052.400000000001</v>
      </c>
    </row>
    <row r="181" spans="1:12">
      <c r="A181" s="3493">
        <v>180</v>
      </c>
      <c r="B181" s="3589"/>
      <c r="C181" s="3589"/>
      <c r="D181" s="3587"/>
      <c r="E181" s="3493" t="s">
        <v>3327</v>
      </c>
      <c r="F181" s="3493" t="s">
        <v>3617</v>
      </c>
      <c r="G181" s="3493" t="s">
        <v>3589</v>
      </c>
      <c r="H181" s="3493">
        <v>104.78</v>
      </c>
      <c r="I181" s="3493">
        <f>H181</f>
        <v>104.78</v>
      </c>
      <c r="J181" s="3354" t="s">
        <v>3866</v>
      </c>
      <c r="K181" s="3354" t="s">
        <v>3866</v>
      </c>
      <c r="L181" s="3583"/>
    </row>
    <row r="182" spans="1:12">
      <c r="A182" s="3493">
        <v>181</v>
      </c>
      <c r="B182" s="3589"/>
      <c r="C182" s="3589"/>
      <c r="D182" s="3587"/>
      <c r="E182" s="3493" t="s">
        <v>3327</v>
      </c>
      <c r="F182" s="3493" t="s">
        <v>3620</v>
      </c>
      <c r="G182" s="3493" t="s">
        <v>3589</v>
      </c>
      <c r="H182" s="3493">
        <v>118.9</v>
      </c>
      <c r="I182" s="3493">
        <f>H182</f>
        <v>118.9</v>
      </c>
      <c r="J182" s="3354" t="s">
        <v>3866</v>
      </c>
      <c r="K182" s="3354" t="s">
        <v>3866</v>
      </c>
      <c r="L182" s="3583"/>
    </row>
    <row r="183" spans="1:12">
      <c r="A183" s="3493">
        <v>182</v>
      </c>
      <c r="B183" s="3589"/>
      <c r="C183" s="3589"/>
      <c r="D183" s="3587"/>
      <c r="E183" s="3493" t="s">
        <v>3327</v>
      </c>
      <c r="F183" s="3493" t="s">
        <v>3622</v>
      </c>
      <c r="G183" s="3493" t="s">
        <v>3589</v>
      </c>
      <c r="H183" s="3493">
        <v>114.24</v>
      </c>
      <c r="I183" s="3493">
        <f>H183</f>
        <v>114.24</v>
      </c>
      <c r="J183" s="3354" t="s">
        <v>3866</v>
      </c>
      <c r="K183" s="3354" t="s">
        <v>3866</v>
      </c>
      <c r="L183" s="3583"/>
    </row>
    <row r="184" spans="1:12">
      <c r="A184" s="3493">
        <v>183</v>
      </c>
      <c r="B184" s="3589"/>
      <c r="C184" s="3589"/>
      <c r="D184" s="3587"/>
      <c r="E184" s="3493" t="s">
        <v>3742</v>
      </c>
      <c r="F184" s="3493" t="s">
        <v>3626</v>
      </c>
      <c r="G184" s="3493" t="s">
        <v>3744</v>
      </c>
      <c r="H184" s="3493">
        <v>65.83</v>
      </c>
      <c r="I184" s="3493">
        <f>H184</f>
        <v>65.83</v>
      </c>
      <c r="J184" s="3354" t="s">
        <v>3866</v>
      </c>
      <c r="K184" s="3354" t="s">
        <v>3866</v>
      </c>
      <c r="L184" s="3583"/>
    </row>
    <row r="185" spans="1:12">
      <c r="A185" s="3493">
        <v>184</v>
      </c>
      <c r="B185" s="3589"/>
      <c r="C185" s="3589"/>
      <c r="D185" s="3597"/>
      <c r="E185" s="3493" t="s">
        <v>3742</v>
      </c>
      <c r="F185" s="3493" t="s">
        <v>3567</v>
      </c>
      <c r="G185" s="3493" t="s">
        <v>3744</v>
      </c>
      <c r="H185" s="3493">
        <v>894.12</v>
      </c>
      <c r="I185" s="3354">
        <v>652.66</v>
      </c>
      <c r="J185" s="3354">
        <v>241.46</v>
      </c>
      <c r="K185" s="3354" t="s">
        <v>3866</v>
      </c>
      <c r="L185" s="3583"/>
    </row>
    <row r="186" spans="1:12">
      <c r="A186" s="3493">
        <v>185</v>
      </c>
      <c r="B186" s="3589"/>
      <c r="C186" s="3589"/>
      <c r="D186" s="3587"/>
      <c r="E186" s="3493" t="s">
        <v>3742</v>
      </c>
      <c r="F186" s="3493" t="s">
        <v>3745</v>
      </c>
      <c r="G186" s="3493" t="s">
        <v>3744</v>
      </c>
      <c r="H186" s="3493">
        <v>65.5</v>
      </c>
      <c r="I186" s="3493">
        <f t="shared" ref="I186:I219" si="7">H186</f>
        <v>65.5</v>
      </c>
      <c r="J186" s="3354" t="s">
        <v>3866</v>
      </c>
      <c r="K186" s="3354" t="s">
        <v>3866</v>
      </c>
      <c r="L186" s="3583"/>
    </row>
    <row r="187" spans="1:12">
      <c r="A187" s="3493">
        <v>186</v>
      </c>
      <c r="B187" s="3589"/>
      <c r="C187" s="3589"/>
      <c r="D187" s="3587"/>
      <c r="E187" s="3493" t="s">
        <v>3327</v>
      </c>
      <c r="F187" s="3493" t="s">
        <v>3640</v>
      </c>
      <c r="G187" s="3493" t="s">
        <v>3589</v>
      </c>
      <c r="H187" s="3493">
        <v>34.56</v>
      </c>
      <c r="I187" s="3493">
        <f t="shared" si="7"/>
        <v>34.56</v>
      </c>
      <c r="J187" s="3354" t="s">
        <v>3866</v>
      </c>
      <c r="K187" s="3354" t="s">
        <v>3866</v>
      </c>
      <c r="L187" s="3583"/>
    </row>
    <row r="188" spans="1:12">
      <c r="A188" s="3493">
        <v>187</v>
      </c>
      <c r="B188" s="3589"/>
      <c r="C188" s="3589"/>
      <c r="D188" s="3587"/>
      <c r="E188" s="3493" t="s">
        <v>3327</v>
      </c>
      <c r="F188" s="3493" t="s">
        <v>3641</v>
      </c>
      <c r="G188" s="3493" t="s">
        <v>3589</v>
      </c>
      <c r="H188" s="3493">
        <v>22.62</v>
      </c>
      <c r="I188" s="3493">
        <f t="shared" si="7"/>
        <v>22.62</v>
      </c>
      <c r="J188" s="3354" t="s">
        <v>3866</v>
      </c>
      <c r="K188" s="3354" t="s">
        <v>3866</v>
      </c>
      <c r="L188" s="3583"/>
    </row>
    <row r="189" spans="1:12">
      <c r="A189" s="3493">
        <v>188</v>
      </c>
      <c r="B189" s="3589"/>
      <c r="C189" s="3589"/>
      <c r="D189" s="3587"/>
      <c r="E189" s="3493" t="s">
        <v>3327</v>
      </c>
      <c r="F189" s="3493" t="s">
        <v>3576</v>
      </c>
      <c r="G189" s="3493" t="s">
        <v>3589</v>
      </c>
      <c r="H189" s="3493">
        <v>73.14</v>
      </c>
      <c r="I189" s="3493">
        <f t="shared" si="7"/>
        <v>73.14</v>
      </c>
      <c r="J189" s="3354" t="s">
        <v>3866</v>
      </c>
      <c r="K189" s="3354" t="s">
        <v>3866</v>
      </c>
      <c r="L189" s="3583"/>
    </row>
    <row r="190" spans="1:12">
      <c r="A190" s="3493">
        <v>189</v>
      </c>
      <c r="B190" s="3589"/>
      <c r="C190" s="3589"/>
      <c r="D190" s="3587"/>
      <c r="E190" s="3493" t="s">
        <v>3327</v>
      </c>
      <c r="F190" s="3493" t="s">
        <v>3321</v>
      </c>
      <c r="G190" s="3493" t="s">
        <v>3589</v>
      </c>
      <c r="H190" s="3493">
        <v>43.97</v>
      </c>
      <c r="I190" s="3493">
        <f t="shared" si="7"/>
        <v>43.97</v>
      </c>
      <c r="J190" s="3354" t="s">
        <v>3866</v>
      </c>
      <c r="K190" s="3354" t="s">
        <v>3866</v>
      </c>
      <c r="L190" s="3583"/>
    </row>
    <row r="191" spans="1:12">
      <c r="A191" s="3493">
        <v>190</v>
      </c>
      <c r="B191" s="3589"/>
      <c r="C191" s="3589"/>
      <c r="D191" s="3587"/>
      <c r="E191" s="3493" t="s">
        <v>3327</v>
      </c>
      <c r="F191" s="3493" t="s">
        <v>3645</v>
      </c>
      <c r="G191" s="3493" t="s">
        <v>3589</v>
      </c>
      <c r="H191" s="3493">
        <v>152.09</v>
      </c>
      <c r="I191" s="3493">
        <f t="shared" si="7"/>
        <v>152.09</v>
      </c>
      <c r="J191" s="3354" t="s">
        <v>3866</v>
      </c>
      <c r="K191" s="3354" t="s">
        <v>3866</v>
      </c>
      <c r="L191" s="3583"/>
    </row>
    <row r="192" spans="1:12">
      <c r="A192" s="3493">
        <v>191</v>
      </c>
      <c r="B192" s="3589"/>
      <c r="C192" s="3589"/>
      <c r="D192" s="3587"/>
      <c r="E192" s="3493" t="s">
        <v>3327</v>
      </c>
      <c r="F192" s="3493" t="s">
        <v>3647</v>
      </c>
      <c r="G192" s="3493" t="s">
        <v>3685</v>
      </c>
      <c r="H192" s="3493">
        <v>168.06</v>
      </c>
      <c r="I192" s="3493">
        <f t="shared" si="7"/>
        <v>168.06</v>
      </c>
      <c r="J192" s="3354" t="s">
        <v>3866</v>
      </c>
      <c r="K192" s="3354" t="s">
        <v>3866</v>
      </c>
      <c r="L192" s="3583"/>
    </row>
    <row r="193" spans="1:12">
      <c r="A193" s="3493">
        <v>192</v>
      </c>
      <c r="B193" s="3589"/>
      <c r="C193" s="3589"/>
      <c r="D193" s="3588"/>
      <c r="E193" s="3493" t="s">
        <v>3327</v>
      </c>
      <c r="F193" s="3493" t="s">
        <v>3579</v>
      </c>
      <c r="G193" s="3493" t="s">
        <v>3685</v>
      </c>
      <c r="H193" s="3493">
        <v>3594.23</v>
      </c>
      <c r="I193" s="3493">
        <f t="shared" si="7"/>
        <v>3594.23</v>
      </c>
      <c r="J193" s="3354" t="s">
        <v>3866</v>
      </c>
      <c r="K193" s="3354" t="s">
        <v>3866</v>
      </c>
      <c r="L193" s="3583"/>
    </row>
    <row r="194" spans="1:12" ht="13.5" customHeight="1">
      <c r="A194" s="3493">
        <v>193</v>
      </c>
      <c r="B194" s="3589"/>
      <c r="C194" s="3589"/>
      <c r="D194" s="3586" t="s">
        <v>3886</v>
      </c>
      <c r="E194" s="3493" t="s">
        <v>3327</v>
      </c>
      <c r="F194" s="3493" t="s">
        <v>3649</v>
      </c>
      <c r="G194" s="3493" t="s">
        <v>3746</v>
      </c>
      <c r="H194" s="3493">
        <v>49.5</v>
      </c>
      <c r="I194" s="3493">
        <f t="shared" si="7"/>
        <v>49.5</v>
      </c>
      <c r="J194" s="3354" t="s">
        <v>3866</v>
      </c>
      <c r="K194" s="3354" t="s">
        <v>3866</v>
      </c>
      <c r="L194" s="3583"/>
    </row>
    <row r="195" spans="1:12">
      <c r="A195" s="3493">
        <v>194</v>
      </c>
      <c r="B195" s="3589"/>
      <c r="C195" s="3589"/>
      <c r="D195" s="3588"/>
      <c r="E195" s="3493" t="s">
        <v>3327</v>
      </c>
      <c r="F195" s="3493" t="s">
        <v>3581</v>
      </c>
      <c r="G195" s="3493" t="s">
        <v>3747</v>
      </c>
      <c r="H195" s="3493">
        <v>1061.51</v>
      </c>
      <c r="I195" s="3493">
        <f t="shared" si="7"/>
        <v>1061.51</v>
      </c>
      <c r="J195" s="3354" t="s">
        <v>3866</v>
      </c>
      <c r="K195" s="3354" t="s">
        <v>3866</v>
      </c>
      <c r="L195" s="3583"/>
    </row>
    <row r="196" spans="1:12" ht="36">
      <c r="A196" s="3493">
        <v>195</v>
      </c>
      <c r="B196" s="3589"/>
      <c r="C196" s="3589"/>
      <c r="D196" s="3494" t="s">
        <v>3887</v>
      </c>
      <c r="E196" s="3493" t="s">
        <v>3327</v>
      </c>
      <c r="F196" s="3493" t="s">
        <v>3651</v>
      </c>
      <c r="G196" s="3493" t="s">
        <v>3580</v>
      </c>
      <c r="H196" s="3493">
        <v>81.900000000000006</v>
      </c>
      <c r="I196" s="3493">
        <f t="shared" si="7"/>
        <v>81.900000000000006</v>
      </c>
      <c r="J196" s="3354" t="s">
        <v>3866</v>
      </c>
      <c r="K196" s="3354" t="s">
        <v>3866</v>
      </c>
      <c r="L196" s="3583"/>
    </row>
    <row r="197" spans="1:12" ht="13.5" customHeight="1">
      <c r="A197" s="3493">
        <v>196</v>
      </c>
      <c r="B197" s="3589"/>
      <c r="C197" s="3589"/>
      <c r="D197" s="3586" t="s">
        <v>3880</v>
      </c>
      <c r="E197" s="3493" t="s">
        <v>3327</v>
      </c>
      <c r="F197" s="3493" t="s">
        <v>3653</v>
      </c>
      <c r="G197" s="3493" t="s">
        <v>3589</v>
      </c>
      <c r="H197" s="3493">
        <v>110.45</v>
      </c>
      <c r="I197" s="3493">
        <f t="shared" si="7"/>
        <v>110.45</v>
      </c>
      <c r="J197" s="3354" t="s">
        <v>3866</v>
      </c>
      <c r="K197" s="3354" t="s">
        <v>3866</v>
      </c>
      <c r="L197" s="3583"/>
    </row>
    <row r="198" spans="1:12">
      <c r="A198" s="3493">
        <v>197</v>
      </c>
      <c r="B198" s="3589"/>
      <c r="C198" s="3589"/>
      <c r="D198" s="3587"/>
      <c r="E198" s="3493" t="s">
        <v>3327</v>
      </c>
      <c r="F198" s="3493" t="s">
        <v>3341</v>
      </c>
      <c r="G198" s="3493" t="s">
        <v>3589</v>
      </c>
      <c r="H198" s="3493">
        <v>58.88</v>
      </c>
      <c r="I198" s="3493">
        <f t="shared" si="7"/>
        <v>58.88</v>
      </c>
      <c r="J198" s="3354" t="s">
        <v>3866</v>
      </c>
      <c r="K198" s="3354" t="s">
        <v>3866</v>
      </c>
      <c r="L198" s="3583"/>
    </row>
    <row r="199" spans="1:12">
      <c r="A199" s="3493">
        <v>198</v>
      </c>
      <c r="B199" s="3589"/>
      <c r="C199" s="3589"/>
      <c r="D199" s="3587"/>
      <c r="E199" s="3493" t="s">
        <v>3327</v>
      </c>
      <c r="F199" s="3493" t="s">
        <v>3656</v>
      </c>
      <c r="G199" s="3493" t="s">
        <v>3589</v>
      </c>
      <c r="H199" s="3493">
        <v>14.82</v>
      </c>
      <c r="I199" s="3493">
        <f t="shared" si="7"/>
        <v>14.82</v>
      </c>
      <c r="J199" s="3354" t="s">
        <v>3866</v>
      </c>
      <c r="K199" s="3354" t="s">
        <v>3866</v>
      </c>
      <c r="L199" s="3583"/>
    </row>
    <row r="200" spans="1:12">
      <c r="A200" s="3493">
        <v>199</v>
      </c>
      <c r="B200" s="3589"/>
      <c r="C200" s="3589"/>
      <c r="D200" s="3587"/>
      <c r="E200" s="3493" t="s">
        <v>3327</v>
      </c>
      <c r="F200" s="3493" t="s">
        <v>3657</v>
      </c>
      <c r="G200" s="3493" t="s">
        <v>3589</v>
      </c>
      <c r="H200" s="3493">
        <v>40.75</v>
      </c>
      <c r="I200" s="3493">
        <f t="shared" si="7"/>
        <v>40.75</v>
      </c>
      <c r="J200" s="3354" t="s">
        <v>3866</v>
      </c>
      <c r="K200" s="3354" t="s">
        <v>3866</v>
      </c>
      <c r="L200" s="3583"/>
    </row>
    <row r="201" spans="1:12">
      <c r="A201" s="3493">
        <v>200</v>
      </c>
      <c r="B201" s="3589"/>
      <c r="C201" s="3589"/>
      <c r="D201" s="3587"/>
      <c r="E201" s="3493" t="s">
        <v>3327</v>
      </c>
      <c r="F201" s="3493" t="s">
        <v>3342</v>
      </c>
      <c r="G201" s="3493" t="s">
        <v>3589</v>
      </c>
      <c r="H201" s="3493">
        <v>34.71</v>
      </c>
      <c r="I201" s="3493">
        <f t="shared" si="7"/>
        <v>34.71</v>
      </c>
      <c r="J201" s="3354" t="s">
        <v>3866</v>
      </c>
      <c r="K201" s="3354" t="s">
        <v>3866</v>
      </c>
      <c r="L201" s="3583"/>
    </row>
    <row r="202" spans="1:12">
      <c r="A202" s="3493">
        <v>201</v>
      </c>
      <c r="B202" s="3589"/>
      <c r="C202" s="3589"/>
      <c r="D202" s="3587"/>
      <c r="E202" s="3493" t="s">
        <v>3327</v>
      </c>
      <c r="F202" s="3493" t="s">
        <v>3343</v>
      </c>
      <c r="G202" s="3493" t="s">
        <v>3589</v>
      </c>
      <c r="H202" s="3493">
        <v>43.5</v>
      </c>
      <c r="I202" s="3493">
        <f t="shared" si="7"/>
        <v>43.5</v>
      </c>
      <c r="J202" s="3354" t="s">
        <v>3866</v>
      </c>
      <c r="K202" s="3354" t="s">
        <v>3866</v>
      </c>
      <c r="L202" s="3583"/>
    </row>
    <row r="203" spans="1:12">
      <c r="A203" s="3493">
        <v>202</v>
      </c>
      <c r="B203" s="3589"/>
      <c r="C203" s="3589"/>
      <c r="D203" s="3587"/>
      <c r="E203" s="3493" t="s">
        <v>3327</v>
      </c>
      <c r="F203" s="3493" t="s">
        <v>3585</v>
      </c>
      <c r="G203" s="3493" t="s">
        <v>3589</v>
      </c>
      <c r="H203" s="3493">
        <v>33.200000000000003</v>
      </c>
      <c r="I203" s="3493">
        <f t="shared" si="7"/>
        <v>33.200000000000003</v>
      </c>
      <c r="J203" s="3354" t="s">
        <v>3866</v>
      </c>
      <c r="K203" s="3354" t="s">
        <v>3866</v>
      </c>
      <c r="L203" s="3583"/>
    </row>
    <row r="204" spans="1:12">
      <c r="A204" s="3493">
        <v>203</v>
      </c>
      <c r="B204" s="3589"/>
      <c r="C204" s="3589"/>
      <c r="D204" s="3587"/>
      <c r="E204" s="3493" t="s">
        <v>3327</v>
      </c>
      <c r="F204" s="3493" t="s">
        <v>3344</v>
      </c>
      <c r="G204" s="3493" t="s">
        <v>3589</v>
      </c>
      <c r="H204" s="3493">
        <v>27.6</v>
      </c>
      <c r="I204" s="3493">
        <f t="shared" si="7"/>
        <v>27.6</v>
      </c>
      <c r="J204" s="3354" t="s">
        <v>3866</v>
      </c>
      <c r="K204" s="3354" t="s">
        <v>3866</v>
      </c>
      <c r="L204" s="3583"/>
    </row>
    <row r="205" spans="1:12">
      <c r="A205" s="3493">
        <v>204</v>
      </c>
      <c r="B205" s="3589"/>
      <c r="C205" s="3589"/>
      <c r="D205" s="3587"/>
      <c r="E205" s="3493" t="s">
        <v>3327</v>
      </c>
      <c r="F205" s="3493" t="s">
        <v>3660</v>
      </c>
      <c r="G205" s="3493" t="s">
        <v>3589</v>
      </c>
      <c r="H205" s="3493">
        <v>92.66</v>
      </c>
      <c r="I205" s="3493">
        <f t="shared" si="7"/>
        <v>92.66</v>
      </c>
      <c r="J205" s="3354" t="s">
        <v>3866</v>
      </c>
      <c r="K205" s="3354" t="s">
        <v>3866</v>
      </c>
      <c r="L205" s="3583"/>
    </row>
    <row r="206" spans="1:12">
      <c r="A206" s="3493">
        <v>205</v>
      </c>
      <c r="B206" s="3589"/>
      <c r="C206" s="3589"/>
      <c r="D206" s="3587"/>
      <c r="E206" s="3493" t="s">
        <v>3327</v>
      </c>
      <c r="F206" s="3493" t="s">
        <v>3135</v>
      </c>
      <c r="G206" s="3493" t="s">
        <v>3589</v>
      </c>
      <c r="H206" s="3493">
        <v>62.06</v>
      </c>
      <c r="I206" s="3493">
        <f t="shared" si="7"/>
        <v>62.06</v>
      </c>
      <c r="J206" s="3354" t="s">
        <v>3866</v>
      </c>
      <c r="K206" s="3354" t="s">
        <v>3866</v>
      </c>
      <c r="L206" s="3583"/>
    </row>
    <row r="207" spans="1:12">
      <c r="A207" s="3493">
        <v>206</v>
      </c>
      <c r="B207" s="3589"/>
      <c r="C207" s="3589"/>
      <c r="D207" s="3587"/>
      <c r="E207" s="3493" t="s">
        <v>3327</v>
      </c>
      <c r="F207" s="3493" t="s">
        <v>3136</v>
      </c>
      <c r="G207" s="3493" t="s">
        <v>3589</v>
      </c>
      <c r="H207" s="3493">
        <v>81.900000000000006</v>
      </c>
      <c r="I207" s="3493">
        <f t="shared" si="7"/>
        <v>81.900000000000006</v>
      </c>
      <c r="J207" s="3354" t="s">
        <v>3866</v>
      </c>
      <c r="K207" s="3354" t="s">
        <v>3866</v>
      </c>
      <c r="L207" s="3583"/>
    </row>
    <row r="208" spans="1:12">
      <c r="A208" s="3493">
        <v>207</v>
      </c>
      <c r="B208" s="3589"/>
      <c r="C208" s="3589"/>
      <c r="D208" s="3587"/>
      <c r="E208" s="3493" t="s">
        <v>3327</v>
      </c>
      <c r="F208" s="3493" t="s">
        <v>3137</v>
      </c>
      <c r="G208" s="3493" t="s">
        <v>3589</v>
      </c>
      <c r="H208" s="3493">
        <v>15.92</v>
      </c>
      <c r="I208" s="3493">
        <f t="shared" si="7"/>
        <v>15.92</v>
      </c>
      <c r="J208" s="3354" t="s">
        <v>3866</v>
      </c>
      <c r="K208" s="3354" t="s">
        <v>3866</v>
      </c>
      <c r="L208" s="3583"/>
    </row>
    <row r="209" spans="1:12">
      <c r="A209" s="3493">
        <v>208</v>
      </c>
      <c r="B209" s="3589"/>
      <c r="C209" s="3589"/>
      <c r="D209" s="3587"/>
      <c r="E209" s="3493" t="s">
        <v>3327</v>
      </c>
      <c r="F209" s="3493" t="s">
        <v>3345</v>
      </c>
      <c r="G209" s="3493" t="s">
        <v>3589</v>
      </c>
      <c r="H209" s="3493">
        <v>30.41</v>
      </c>
      <c r="I209" s="3493">
        <f t="shared" si="7"/>
        <v>30.41</v>
      </c>
      <c r="J209" s="3354" t="s">
        <v>3866</v>
      </c>
      <c r="K209" s="3354" t="s">
        <v>3866</v>
      </c>
      <c r="L209" s="3583"/>
    </row>
    <row r="210" spans="1:12">
      <c r="A210" s="3493">
        <v>209</v>
      </c>
      <c r="B210" s="3589"/>
      <c r="C210" s="3589"/>
      <c r="D210" s="3587"/>
      <c r="E210" s="3493" t="s">
        <v>3327</v>
      </c>
      <c r="F210" s="3493" t="s">
        <v>3748</v>
      </c>
      <c r="G210" s="3493" t="s">
        <v>3589</v>
      </c>
      <c r="H210" s="3493">
        <v>50.4</v>
      </c>
      <c r="I210" s="3493">
        <f t="shared" si="7"/>
        <v>50.4</v>
      </c>
      <c r="J210" s="3354" t="s">
        <v>3866</v>
      </c>
      <c r="K210" s="3354" t="s">
        <v>3866</v>
      </c>
      <c r="L210" s="3583"/>
    </row>
    <row r="211" spans="1:12">
      <c r="A211" s="3493">
        <v>210</v>
      </c>
      <c r="B211" s="3589"/>
      <c r="C211" s="3589"/>
      <c r="D211" s="3587"/>
      <c r="E211" s="3493" t="s">
        <v>3327</v>
      </c>
      <c r="F211" s="3493" t="s">
        <v>3346</v>
      </c>
      <c r="G211" s="3493" t="s">
        <v>3589</v>
      </c>
      <c r="H211" s="3493">
        <v>65.03</v>
      </c>
      <c r="I211" s="3493">
        <f t="shared" si="7"/>
        <v>65.03</v>
      </c>
      <c r="J211" s="3354" t="s">
        <v>3866</v>
      </c>
      <c r="K211" s="3354" t="s">
        <v>3866</v>
      </c>
      <c r="L211" s="3583"/>
    </row>
    <row r="212" spans="1:12">
      <c r="A212" s="3493">
        <v>211</v>
      </c>
      <c r="B212" s="3589"/>
      <c r="C212" s="3589"/>
      <c r="D212" s="3587"/>
      <c r="E212" s="3493" t="s">
        <v>3327</v>
      </c>
      <c r="F212" s="3493" t="s">
        <v>3347</v>
      </c>
      <c r="G212" s="3493" t="s">
        <v>3589</v>
      </c>
      <c r="H212" s="3493">
        <v>57.72</v>
      </c>
      <c r="I212" s="3493">
        <f t="shared" si="7"/>
        <v>57.72</v>
      </c>
      <c r="J212" s="3354" t="s">
        <v>3866</v>
      </c>
      <c r="K212" s="3354" t="s">
        <v>3866</v>
      </c>
      <c r="L212" s="3583"/>
    </row>
    <row r="213" spans="1:12">
      <c r="A213" s="3493">
        <v>212</v>
      </c>
      <c r="B213" s="3589"/>
      <c r="C213" s="3589"/>
      <c r="D213" s="3587"/>
      <c r="E213" s="3493" t="s">
        <v>3327</v>
      </c>
      <c r="F213" s="3493" t="s">
        <v>3348</v>
      </c>
      <c r="G213" s="3493" t="s">
        <v>3589</v>
      </c>
      <c r="H213" s="3493">
        <v>31.5</v>
      </c>
      <c r="I213" s="3493">
        <f t="shared" si="7"/>
        <v>31.5</v>
      </c>
      <c r="J213" s="3354" t="s">
        <v>3866</v>
      </c>
      <c r="K213" s="3354" t="s">
        <v>3866</v>
      </c>
      <c r="L213" s="3583"/>
    </row>
    <row r="214" spans="1:12">
      <c r="A214" s="3493">
        <v>213</v>
      </c>
      <c r="B214" s="3589"/>
      <c r="C214" s="3589"/>
      <c r="D214" s="3587"/>
      <c r="E214" s="3493" t="s">
        <v>3327</v>
      </c>
      <c r="F214" s="3493" t="s">
        <v>3349</v>
      </c>
      <c r="G214" s="3493" t="s">
        <v>3589</v>
      </c>
      <c r="H214" s="3493">
        <v>79.22</v>
      </c>
      <c r="I214" s="3493">
        <f t="shared" si="7"/>
        <v>79.22</v>
      </c>
      <c r="J214" s="3354" t="s">
        <v>3866</v>
      </c>
      <c r="K214" s="3354" t="s">
        <v>3866</v>
      </c>
      <c r="L214" s="3583"/>
    </row>
    <row r="215" spans="1:12">
      <c r="A215" s="3493">
        <v>214</v>
      </c>
      <c r="B215" s="3589"/>
      <c r="C215" s="3589"/>
      <c r="D215" s="3587"/>
      <c r="E215" s="3493" t="s">
        <v>3327</v>
      </c>
      <c r="F215" s="3493" t="s">
        <v>3350</v>
      </c>
      <c r="G215" s="3493" t="s">
        <v>3589</v>
      </c>
      <c r="H215" s="3493">
        <v>53.58</v>
      </c>
      <c r="I215" s="3493">
        <f t="shared" si="7"/>
        <v>53.58</v>
      </c>
      <c r="J215" s="3354" t="s">
        <v>3866</v>
      </c>
      <c r="K215" s="3354" t="s">
        <v>3866</v>
      </c>
      <c r="L215" s="3583"/>
    </row>
    <row r="216" spans="1:12">
      <c r="A216" s="3493">
        <v>215</v>
      </c>
      <c r="B216" s="3589"/>
      <c r="C216" s="3589"/>
      <c r="D216" s="3587"/>
      <c r="E216" s="3493" t="s">
        <v>3327</v>
      </c>
      <c r="F216" s="3493" t="s">
        <v>3351</v>
      </c>
      <c r="G216" s="3493" t="s">
        <v>3589</v>
      </c>
      <c r="H216" s="3493">
        <v>31.5</v>
      </c>
      <c r="I216" s="3493">
        <f t="shared" si="7"/>
        <v>31.5</v>
      </c>
      <c r="J216" s="3354" t="s">
        <v>3866</v>
      </c>
      <c r="K216" s="3354" t="s">
        <v>3866</v>
      </c>
      <c r="L216" s="3583"/>
    </row>
    <row r="217" spans="1:12">
      <c r="A217" s="3493">
        <v>216</v>
      </c>
      <c r="B217" s="3589"/>
      <c r="C217" s="3589"/>
      <c r="D217" s="3588"/>
      <c r="E217" s="3493" t="s">
        <v>3327</v>
      </c>
      <c r="F217" s="3493" t="s">
        <v>3687</v>
      </c>
      <c r="G217" s="3493" t="s">
        <v>3589</v>
      </c>
      <c r="H217" s="3493">
        <v>86.56</v>
      </c>
      <c r="I217" s="3493">
        <f t="shared" si="7"/>
        <v>86.56</v>
      </c>
      <c r="J217" s="3354" t="s">
        <v>3866</v>
      </c>
      <c r="K217" s="3354" t="s">
        <v>3866</v>
      </c>
      <c r="L217" s="3583"/>
    </row>
    <row r="218" spans="1:12" ht="36">
      <c r="A218" s="3493">
        <v>217</v>
      </c>
      <c r="B218" s="3589"/>
      <c r="C218" s="3589"/>
      <c r="D218" s="3494" t="s">
        <v>3888</v>
      </c>
      <c r="E218" s="3493" t="s">
        <v>3327</v>
      </c>
      <c r="F218" s="3493" t="s">
        <v>3595</v>
      </c>
      <c r="G218" s="3493" t="s">
        <v>3685</v>
      </c>
      <c r="H218" s="3493">
        <v>134.15</v>
      </c>
      <c r="I218" s="3493">
        <f t="shared" si="7"/>
        <v>134.15</v>
      </c>
      <c r="J218" s="3354" t="s">
        <v>3866</v>
      </c>
      <c r="K218" s="3354" t="s">
        <v>3866</v>
      </c>
      <c r="L218" s="3583"/>
    </row>
    <row r="219" spans="1:12" ht="36">
      <c r="A219" s="3493">
        <v>218</v>
      </c>
      <c r="B219" s="3589"/>
      <c r="C219" s="3589"/>
      <c r="D219" s="3494" t="s">
        <v>3884</v>
      </c>
      <c r="E219" s="3493" t="s">
        <v>3327</v>
      </c>
      <c r="F219" s="3493" t="s">
        <v>3596</v>
      </c>
      <c r="G219" s="3493" t="s">
        <v>3685</v>
      </c>
      <c r="H219" s="3493">
        <v>433.08</v>
      </c>
      <c r="I219" s="3493">
        <f t="shared" si="7"/>
        <v>433.08</v>
      </c>
      <c r="J219" s="3354" t="s">
        <v>3866</v>
      </c>
      <c r="K219" s="3354" t="s">
        <v>3866</v>
      </c>
      <c r="L219" s="3583"/>
    </row>
    <row r="220" spans="1:12" ht="13.5" customHeight="1">
      <c r="A220" s="3493">
        <v>219</v>
      </c>
      <c r="B220" s="3589"/>
      <c r="C220" s="3589"/>
      <c r="D220" s="3586" t="s">
        <v>3888</v>
      </c>
      <c r="E220" s="3493" t="s">
        <v>3327</v>
      </c>
      <c r="F220" s="3493" t="s">
        <v>3690</v>
      </c>
      <c r="G220" s="3493" t="s">
        <v>3749</v>
      </c>
      <c r="H220" s="3493">
        <v>133.19</v>
      </c>
      <c r="I220" s="3493">
        <f>H220</f>
        <v>133.19</v>
      </c>
      <c r="J220" s="3354" t="s">
        <v>3866</v>
      </c>
      <c r="K220" s="3354" t="s">
        <v>3866</v>
      </c>
      <c r="L220" s="3583"/>
    </row>
    <row r="221" spans="1:12">
      <c r="A221" s="3493">
        <v>220</v>
      </c>
      <c r="B221" s="3589"/>
      <c r="C221" s="3589"/>
      <c r="D221" s="3587"/>
      <c r="E221" s="3493" t="s">
        <v>3327</v>
      </c>
      <c r="F221" s="3493" t="s">
        <v>3750</v>
      </c>
      <c r="G221" s="3493" t="s">
        <v>3685</v>
      </c>
      <c r="H221" s="3493">
        <v>65.84</v>
      </c>
      <c r="I221" s="3493">
        <f>H221</f>
        <v>65.84</v>
      </c>
      <c r="J221" s="3354" t="s">
        <v>3866</v>
      </c>
      <c r="K221" s="3354" t="s">
        <v>3866</v>
      </c>
      <c r="L221" s="3583"/>
    </row>
    <row r="222" spans="1:12">
      <c r="A222" s="3493">
        <v>221</v>
      </c>
      <c r="B222" s="3589"/>
      <c r="C222" s="3589"/>
      <c r="D222" s="3587"/>
      <c r="E222" s="3493" t="s">
        <v>3742</v>
      </c>
      <c r="F222" s="3493" t="s">
        <v>3751</v>
      </c>
      <c r="G222" s="3493" t="s">
        <v>3575</v>
      </c>
      <c r="H222" s="3493">
        <v>15.75</v>
      </c>
      <c r="I222" s="3493">
        <f t="shared" ref="I222:I230" si="8">H222</f>
        <v>15.75</v>
      </c>
      <c r="J222" s="3354" t="s">
        <v>3866</v>
      </c>
      <c r="K222" s="3354" t="s">
        <v>3866</v>
      </c>
      <c r="L222" s="3583"/>
    </row>
    <row r="223" spans="1:12">
      <c r="A223" s="3493">
        <v>222</v>
      </c>
      <c r="B223" s="3589"/>
      <c r="C223" s="3589"/>
      <c r="D223" s="3587"/>
      <c r="E223" s="3493" t="s">
        <v>3327</v>
      </c>
      <c r="F223" s="3493" t="s">
        <v>3599</v>
      </c>
      <c r="G223" s="3493" t="s">
        <v>3580</v>
      </c>
      <c r="H223" s="3493">
        <v>20.3</v>
      </c>
      <c r="I223" s="3493">
        <f t="shared" si="8"/>
        <v>20.3</v>
      </c>
      <c r="J223" s="3354" t="s">
        <v>3866</v>
      </c>
      <c r="K223" s="3354" t="s">
        <v>3866</v>
      </c>
      <c r="L223" s="3583"/>
    </row>
    <row r="224" spans="1:12">
      <c r="A224" s="3493">
        <v>223</v>
      </c>
      <c r="B224" s="3589"/>
      <c r="C224" s="3589"/>
      <c r="D224" s="3587"/>
      <c r="E224" s="3493" t="s">
        <v>3327</v>
      </c>
      <c r="F224" s="3493" t="s">
        <v>3600</v>
      </c>
      <c r="G224" s="3493" t="s">
        <v>3580</v>
      </c>
      <c r="H224" s="3493">
        <v>54.12</v>
      </c>
      <c r="I224" s="3493">
        <f t="shared" si="8"/>
        <v>54.12</v>
      </c>
      <c r="J224" s="3354" t="s">
        <v>3866</v>
      </c>
      <c r="K224" s="3354" t="s">
        <v>3866</v>
      </c>
      <c r="L224" s="3583"/>
    </row>
    <row r="225" spans="1:12">
      <c r="A225" s="3493">
        <v>224</v>
      </c>
      <c r="B225" s="3589"/>
      <c r="C225" s="3589"/>
      <c r="D225" s="3587"/>
      <c r="E225" s="3493" t="s">
        <v>3327</v>
      </c>
      <c r="F225" s="3493" t="s">
        <v>3601</v>
      </c>
      <c r="G225" s="3493" t="s">
        <v>3580</v>
      </c>
      <c r="H225" s="3493">
        <v>29.8</v>
      </c>
      <c r="I225" s="3493">
        <f t="shared" si="8"/>
        <v>29.8</v>
      </c>
      <c r="J225" s="3354" t="s">
        <v>3866</v>
      </c>
      <c r="K225" s="3354" t="s">
        <v>3866</v>
      </c>
      <c r="L225" s="3583"/>
    </row>
    <row r="226" spans="1:12">
      <c r="A226" s="3493">
        <v>225</v>
      </c>
      <c r="B226" s="3589"/>
      <c r="C226" s="3589"/>
      <c r="D226" s="3587"/>
      <c r="E226" s="3493" t="s">
        <v>3327</v>
      </c>
      <c r="F226" s="3493" t="s">
        <v>3354</v>
      </c>
      <c r="G226" s="3493" t="s">
        <v>3580</v>
      </c>
      <c r="H226" s="3493">
        <v>29.57</v>
      </c>
      <c r="I226" s="3493">
        <f t="shared" si="8"/>
        <v>29.57</v>
      </c>
      <c r="J226" s="3354" t="s">
        <v>3866</v>
      </c>
      <c r="K226" s="3354" t="s">
        <v>3866</v>
      </c>
      <c r="L226" s="3583"/>
    </row>
    <row r="227" spans="1:12">
      <c r="A227" s="3493">
        <v>226</v>
      </c>
      <c r="B227" s="3589"/>
      <c r="C227" s="3589"/>
      <c r="D227" s="3587"/>
      <c r="E227" s="3493" t="s">
        <v>3327</v>
      </c>
      <c r="F227" s="3493" t="s">
        <v>3355</v>
      </c>
      <c r="G227" s="3493" t="s">
        <v>3580</v>
      </c>
      <c r="H227" s="3493">
        <v>28.34</v>
      </c>
      <c r="I227" s="3493">
        <f t="shared" si="8"/>
        <v>28.34</v>
      </c>
      <c r="J227" s="3354" t="s">
        <v>3866</v>
      </c>
      <c r="K227" s="3354" t="s">
        <v>3866</v>
      </c>
      <c r="L227" s="3583"/>
    </row>
    <row r="228" spans="1:12">
      <c r="A228" s="3493">
        <v>227</v>
      </c>
      <c r="B228" s="3589"/>
      <c r="C228" s="3589"/>
      <c r="D228" s="3587"/>
      <c r="E228" s="3493" t="s">
        <v>3327</v>
      </c>
      <c r="F228" s="3493" t="s">
        <v>3356</v>
      </c>
      <c r="G228" s="3493" t="s">
        <v>3580</v>
      </c>
      <c r="H228" s="3493">
        <v>43.12</v>
      </c>
      <c r="I228" s="3493">
        <f t="shared" si="8"/>
        <v>43.12</v>
      </c>
      <c r="J228" s="3354" t="s">
        <v>3866</v>
      </c>
      <c r="K228" s="3354" t="s">
        <v>3866</v>
      </c>
      <c r="L228" s="3583"/>
    </row>
    <row r="229" spans="1:12">
      <c r="A229" s="3493">
        <v>228</v>
      </c>
      <c r="B229" s="3589"/>
      <c r="C229" s="3589"/>
      <c r="D229" s="3587"/>
      <c r="E229" s="3493" t="s">
        <v>3327</v>
      </c>
      <c r="F229" s="3493" t="s">
        <v>3697</v>
      </c>
      <c r="G229" s="3493" t="s">
        <v>3580</v>
      </c>
      <c r="H229" s="3493">
        <v>8.06</v>
      </c>
      <c r="I229" s="3493">
        <f t="shared" si="8"/>
        <v>8.06</v>
      </c>
      <c r="J229" s="3354" t="s">
        <v>3866</v>
      </c>
      <c r="K229" s="3354" t="s">
        <v>3866</v>
      </c>
      <c r="L229" s="3583"/>
    </row>
    <row r="230" spans="1:12">
      <c r="A230" s="3493">
        <v>229</v>
      </c>
      <c r="B230" s="3589"/>
      <c r="C230" s="3589"/>
      <c r="D230" s="3588"/>
      <c r="E230" s="3493" t="s">
        <v>3327</v>
      </c>
      <c r="F230" s="3493" t="s">
        <v>3605</v>
      </c>
      <c r="G230" s="3493" t="s">
        <v>3580</v>
      </c>
      <c r="H230" s="3493">
        <v>149.32</v>
      </c>
      <c r="I230" s="3493">
        <f t="shared" si="8"/>
        <v>149.32</v>
      </c>
      <c r="J230" s="3354" t="s">
        <v>3866</v>
      </c>
      <c r="K230" s="3354" t="s">
        <v>3866</v>
      </c>
      <c r="L230" s="3583"/>
    </row>
    <row r="231" spans="1:12" ht="36">
      <c r="A231" s="3493">
        <v>230</v>
      </c>
      <c r="B231" s="3589"/>
      <c r="C231" s="3589"/>
      <c r="D231" s="3495" t="s">
        <v>3884</v>
      </c>
      <c r="E231" s="3493" t="s">
        <v>3327</v>
      </c>
      <c r="F231" s="3493" t="s">
        <v>3699</v>
      </c>
      <c r="G231" s="3493" t="s">
        <v>3752</v>
      </c>
      <c r="H231" s="3493">
        <v>328.6</v>
      </c>
      <c r="I231" s="3354">
        <v>292.69</v>
      </c>
      <c r="J231" s="3354">
        <v>35.909999999999997</v>
      </c>
      <c r="K231" s="3354" t="s">
        <v>3866</v>
      </c>
      <c r="L231" s="3583"/>
    </row>
    <row r="232" spans="1:12" ht="13.5" customHeight="1">
      <c r="A232" s="3493">
        <v>231</v>
      </c>
      <c r="B232" s="3589"/>
      <c r="C232" s="3589"/>
      <c r="D232" s="3586" t="s">
        <v>3887</v>
      </c>
      <c r="E232" s="3493" t="s">
        <v>3327</v>
      </c>
      <c r="F232" s="3493" t="s">
        <v>3701</v>
      </c>
      <c r="G232" s="3493" t="s">
        <v>3580</v>
      </c>
      <c r="H232" s="3493">
        <v>425.09</v>
      </c>
      <c r="I232" s="3493">
        <f t="shared" ref="I232:I254" si="9">H232</f>
        <v>425.09</v>
      </c>
      <c r="J232" s="3354" t="s">
        <v>3866</v>
      </c>
      <c r="K232" s="3354" t="s">
        <v>3866</v>
      </c>
      <c r="L232" s="3583"/>
    </row>
    <row r="233" spans="1:12">
      <c r="A233" s="3493">
        <v>232</v>
      </c>
      <c r="B233" s="3589"/>
      <c r="C233" s="3589"/>
      <c r="D233" s="3588"/>
      <c r="E233" s="3493" t="s">
        <v>3327</v>
      </c>
      <c r="F233" s="3493" t="s">
        <v>3703</v>
      </c>
      <c r="G233" s="3493" t="s">
        <v>3580</v>
      </c>
      <c r="H233" s="3493">
        <v>166.82</v>
      </c>
      <c r="I233" s="3493">
        <f t="shared" si="9"/>
        <v>166.82</v>
      </c>
      <c r="J233" s="3354" t="s">
        <v>3866</v>
      </c>
      <c r="K233" s="3354" t="s">
        <v>3866</v>
      </c>
      <c r="L233" s="3583"/>
    </row>
    <row r="234" spans="1:12" ht="36">
      <c r="A234" s="3493">
        <v>233</v>
      </c>
      <c r="B234" s="3589"/>
      <c r="C234" s="3589"/>
      <c r="D234" s="3494" t="s">
        <v>3884</v>
      </c>
      <c r="E234" s="3493" t="s">
        <v>3327</v>
      </c>
      <c r="F234" s="3493" t="s">
        <v>3705</v>
      </c>
      <c r="G234" s="3493" t="s">
        <v>3587</v>
      </c>
      <c r="H234" s="3493">
        <v>956.75</v>
      </c>
      <c r="I234" s="3493">
        <f t="shared" si="9"/>
        <v>956.75</v>
      </c>
      <c r="J234" s="3354" t="s">
        <v>3866</v>
      </c>
      <c r="K234" s="3354" t="s">
        <v>3866</v>
      </c>
      <c r="L234" s="3583"/>
    </row>
    <row r="235" spans="1:12" ht="13.5" customHeight="1">
      <c r="A235" s="3493">
        <v>234</v>
      </c>
      <c r="B235" s="3589"/>
      <c r="C235" s="3589"/>
      <c r="D235" s="3586" t="s">
        <v>3887</v>
      </c>
      <c r="E235" s="3493" t="s">
        <v>3327</v>
      </c>
      <c r="F235" s="3493" t="s">
        <v>3707</v>
      </c>
      <c r="G235" s="3493" t="s">
        <v>3580</v>
      </c>
      <c r="H235" s="3493">
        <v>30.42</v>
      </c>
      <c r="I235" s="3493">
        <f t="shared" si="9"/>
        <v>30.42</v>
      </c>
      <c r="J235" s="3354" t="s">
        <v>3866</v>
      </c>
      <c r="K235" s="3354" t="s">
        <v>3866</v>
      </c>
      <c r="L235" s="3583"/>
    </row>
    <row r="236" spans="1:12">
      <c r="A236" s="3493">
        <v>235</v>
      </c>
      <c r="B236" s="3589"/>
      <c r="C236" s="3589"/>
      <c r="D236" s="3587"/>
      <c r="E236" s="3493" t="s">
        <v>3327</v>
      </c>
      <c r="F236" s="3493" t="s">
        <v>3709</v>
      </c>
      <c r="G236" s="3493" t="s">
        <v>3580</v>
      </c>
      <c r="H236" s="3493">
        <v>190.63</v>
      </c>
      <c r="I236" s="3493">
        <f t="shared" si="9"/>
        <v>190.63</v>
      </c>
      <c r="J236" s="3354" t="s">
        <v>3866</v>
      </c>
      <c r="K236" s="3354" t="s">
        <v>3866</v>
      </c>
      <c r="L236" s="3583"/>
    </row>
    <row r="237" spans="1:12">
      <c r="A237" s="3493">
        <v>236</v>
      </c>
      <c r="B237" s="3589"/>
      <c r="C237" s="3589"/>
      <c r="D237" s="3587"/>
      <c r="E237" s="3493" t="s">
        <v>3327</v>
      </c>
      <c r="F237" s="3493" t="s">
        <v>3710</v>
      </c>
      <c r="G237" s="3493" t="s">
        <v>3580</v>
      </c>
      <c r="H237" s="3493">
        <v>165.1</v>
      </c>
      <c r="I237" s="3493">
        <f t="shared" si="9"/>
        <v>165.1</v>
      </c>
      <c r="J237" s="3354" t="s">
        <v>3866</v>
      </c>
      <c r="K237" s="3354" t="s">
        <v>3866</v>
      </c>
      <c r="L237" s="3583"/>
    </row>
    <row r="238" spans="1:12">
      <c r="A238" s="3493">
        <v>237</v>
      </c>
      <c r="B238" s="3589"/>
      <c r="C238" s="3589"/>
      <c r="D238" s="3587"/>
      <c r="E238" s="3493" t="s">
        <v>3327</v>
      </c>
      <c r="F238" s="3493" t="s">
        <v>3712</v>
      </c>
      <c r="G238" s="3493" t="s">
        <v>3580</v>
      </c>
      <c r="H238" s="3493">
        <v>15.14</v>
      </c>
      <c r="I238" s="3493">
        <f t="shared" si="9"/>
        <v>15.14</v>
      </c>
      <c r="J238" s="3354" t="s">
        <v>3866</v>
      </c>
      <c r="K238" s="3354" t="s">
        <v>3866</v>
      </c>
      <c r="L238" s="3583"/>
    </row>
    <row r="239" spans="1:12">
      <c r="A239" s="3493">
        <v>238</v>
      </c>
      <c r="B239" s="3589"/>
      <c r="C239" s="3589"/>
      <c r="D239" s="3587"/>
      <c r="E239" s="3493" t="s">
        <v>3327</v>
      </c>
      <c r="F239" s="3493" t="s">
        <v>3365</v>
      </c>
      <c r="G239" s="3493" t="s">
        <v>3580</v>
      </c>
      <c r="H239" s="3493">
        <v>53.9</v>
      </c>
      <c r="I239" s="3493">
        <f t="shared" si="9"/>
        <v>53.9</v>
      </c>
      <c r="J239" s="3354" t="s">
        <v>3866</v>
      </c>
      <c r="K239" s="3354" t="s">
        <v>3866</v>
      </c>
      <c r="L239" s="3583"/>
    </row>
    <row r="240" spans="1:12">
      <c r="A240" s="3493">
        <v>239</v>
      </c>
      <c r="B240" s="3589"/>
      <c r="C240" s="3589"/>
      <c r="D240" s="3587"/>
      <c r="E240" s="3493" t="s">
        <v>3327</v>
      </c>
      <c r="F240" s="3493" t="s">
        <v>3366</v>
      </c>
      <c r="G240" s="3493" t="s">
        <v>3580</v>
      </c>
      <c r="H240" s="3493">
        <v>44.27</v>
      </c>
      <c r="I240" s="3493">
        <f t="shared" si="9"/>
        <v>44.27</v>
      </c>
      <c r="J240" s="3354" t="s">
        <v>3866</v>
      </c>
      <c r="K240" s="3354" t="s">
        <v>3866</v>
      </c>
      <c r="L240" s="3583"/>
    </row>
    <row r="241" spans="1:12">
      <c r="A241" s="3493">
        <v>240</v>
      </c>
      <c r="B241" s="3589"/>
      <c r="C241" s="3589"/>
      <c r="D241" s="3587"/>
      <c r="E241" s="3493" t="s">
        <v>3327</v>
      </c>
      <c r="F241" s="3493" t="s">
        <v>3367</v>
      </c>
      <c r="G241" s="3493" t="s">
        <v>3580</v>
      </c>
      <c r="H241" s="3493">
        <v>46.46</v>
      </c>
      <c r="I241" s="3493">
        <f t="shared" si="9"/>
        <v>46.46</v>
      </c>
      <c r="J241" s="3354" t="s">
        <v>3866</v>
      </c>
      <c r="K241" s="3354" t="s">
        <v>3866</v>
      </c>
      <c r="L241" s="3583"/>
    </row>
    <row r="242" spans="1:12">
      <c r="A242" s="3493">
        <v>241</v>
      </c>
      <c r="B242" s="3589"/>
      <c r="C242" s="3589"/>
      <c r="D242" s="3587"/>
      <c r="E242" s="3493" t="s">
        <v>3327</v>
      </c>
      <c r="F242" s="3493" t="s">
        <v>3368</v>
      </c>
      <c r="G242" s="3493" t="s">
        <v>3580</v>
      </c>
      <c r="H242" s="3493">
        <v>80.28</v>
      </c>
      <c r="I242" s="3493">
        <f t="shared" si="9"/>
        <v>80.28</v>
      </c>
      <c r="J242" s="3354" t="s">
        <v>3866</v>
      </c>
      <c r="K242" s="3354" t="s">
        <v>3866</v>
      </c>
      <c r="L242" s="3583"/>
    </row>
    <row r="243" spans="1:12">
      <c r="A243" s="3493">
        <v>242</v>
      </c>
      <c r="B243" s="3589"/>
      <c r="C243" s="3589"/>
      <c r="D243" s="3587"/>
      <c r="E243" s="3493" t="s">
        <v>3327</v>
      </c>
      <c r="F243" s="3493" t="s">
        <v>3369</v>
      </c>
      <c r="G243" s="3493" t="s">
        <v>3580</v>
      </c>
      <c r="H243" s="3493">
        <v>87.97</v>
      </c>
      <c r="I243" s="3493">
        <f t="shared" si="9"/>
        <v>87.97</v>
      </c>
      <c r="J243" s="3354" t="s">
        <v>3866</v>
      </c>
      <c r="K243" s="3354" t="s">
        <v>3866</v>
      </c>
      <c r="L243" s="3583"/>
    </row>
    <row r="244" spans="1:12">
      <c r="A244" s="3493">
        <v>243</v>
      </c>
      <c r="B244" s="3589"/>
      <c r="C244" s="3589"/>
      <c r="D244" s="3587"/>
      <c r="E244" s="3493" t="s">
        <v>3327</v>
      </c>
      <c r="F244" s="3493" t="s">
        <v>3720</v>
      </c>
      <c r="G244" s="3493" t="s">
        <v>3580</v>
      </c>
      <c r="H244" s="3493">
        <v>50.29</v>
      </c>
      <c r="I244" s="3493">
        <f t="shared" si="9"/>
        <v>50.29</v>
      </c>
      <c r="J244" s="3354" t="s">
        <v>3866</v>
      </c>
      <c r="K244" s="3354" t="s">
        <v>3866</v>
      </c>
      <c r="L244" s="3583"/>
    </row>
    <row r="245" spans="1:12">
      <c r="A245" s="3493">
        <v>244</v>
      </c>
      <c r="B245" s="3589"/>
      <c r="C245" s="3589"/>
      <c r="D245" s="3587"/>
      <c r="E245" s="3493" t="s">
        <v>3327</v>
      </c>
      <c r="F245" s="3493" t="s">
        <v>3370</v>
      </c>
      <c r="G245" s="3493" t="s">
        <v>3580</v>
      </c>
      <c r="H245" s="3493">
        <v>33.32</v>
      </c>
      <c r="I245" s="3493">
        <f t="shared" si="9"/>
        <v>33.32</v>
      </c>
      <c r="J245" s="3354" t="s">
        <v>3866</v>
      </c>
      <c r="K245" s="3354" t="s">
        <v>3866</v>
      </c>
      <c r="L245" s="3583"/>
    </row>
    <row r="246" spans="1:12">
      <c r="A246" s="3493">
        <v>245</v>
      </c>
      <c r="B246" s="3589"/>
      <c r="C246" s="3589"/>
      <c r="D246" s="3587"/>
      <c r="E246" s="3493" t="s">
        <v>3327</v>
      </c>
      <c r="F246" s="3493" t="s">
        <v>3371</v>
      </c>
      <c r="G246" s="3493" t="s">
        <v>3580</v>
      </c>
      <c r="H246" s="3493">
        <v>37.71</v>
      </c>
      <c r="I246" s="3493">
        <f t="shared" si="9"/>
        <v>37.71</v>
      </c>
      <c r="J246" s="3354" t="s">
        <v>3866</v>
      </c>
      <c r="K246" s="3354" t="s">
        <v>3866</v>
      </c>
      <c r="L246" s="3583"/>
    </row>
    <row r="247" spans="1:12">
      <c r="A247" s="3493">
        <v>246</v>
      </c>
      <c r="B247" s="3589"/>
      <c r="C247" s="3589"/>
      <c r="D247" s="3587"/>
      <c r="E247" s="3493" t="s">
        <v>3327</v>
      </c>
      <c r="F247" s="3493" t="s">
        <v>3724</v>
      </c>
      <c r="G247" s="3493" t="s">
        <v>3580</v>
      </c>
      <c r="H247" s="3493">
        <v>75.22</v>
      </c>
      <c r="I247" s="3493">
        <f t="shared" si="9"/>
        <v>75.22</v>
      </c>
      <c r="J247" s="3354" t="s">
        <v>3866</v>
      </c>
      <c r="K247" s="3354" t="s">
        <v>3866</v>
      </c>
      <c r="L247" s="3583"/>
    </row>
    <row r="248" spans="1:12">
      <c r="A248" s="3493">
        <v>247</v>
      </c>
      <c r="B248" s="3589"/>
      <c r="C248" s="3589"/>
      <c r="D248" s="3587"/>
      <c r="E248" s="3493" t="s">
        <v>3327</v>
      </c>
      <c r="F248" s="3493" t="s">
        <v>3372</v>
      </c>
      <c r="G248" s="3493" t="s">
        <v>3580</v>
      </c>
      <c r="H248" s="3493">
        <v>140.6</v>
      </c>
      <c r="I248" s="3493">
        <f t="shared" si="9"/>
        <v>140.6</v>
      </c>
      <c r="J248" s="3354" t="s">
        <v>3866</v>
      </c>
      <c r="K248" s="3354" t="s">
        <v>3866</v>
      </c>
      <c r="L248" s="3583"/>
    </row>
    <row r="249" spans="1:12">
      <c r="A249" s="3493">
        <v>248</v>
      </c>
      <c r="B249" s="3589"/>
      <c r="C249" s="3589"/>
      <c r="D249" s="3587"/>
      <c r="E249" s="3493" t="s">
        <v>3327</v>
      </c>
      <c r="F249" s="3493" t="s">
        <v>3726</v>
      </c>
      <c r="G249" s="3493" t="s">
        <v>3580</v>
      </c>
      <c r="H249" s="3493">
        <v>192</v>
      </c>
      <c r="I249" s="3493">
        <f t="shared" si="9"/>
        <v>192</v>
      </c>
      <c r="J249" s="3354" t="s">
        <v>3866</v>
      </c>
      <c r="K249" s="3354" t="s">
        <v>3866</v>
      </c>
      <c r="L249" s="3583"/>
    </row>
    <row r="250" spans="1:12">
      <c r="A250" s="3493">
        <v>249</v>
      </c>
      <c r="B250" s="3589"/>
      <c r="C250" s="3589"/>
      <c r="D250" s="3588"/>
      <c r="E250" s="3493" t="s">
        <v>3327</v>
      </c>
      <c r="F250" s="3493" t="s">
        <v>3753</v>
      </c>
      <c r="G250" s="3493" t="s">
        <v>3754</v>
      </c>
      <c r="H250" s="3493">
        <v>113.1</v>
      </c>
      <c r="I250" s="3493">
        <f t="shared" si="9"/>
        <v>113.1</v>
      </c>
      <c r="J250" s="3354" t="s">
        <v>3866</v>
      </c>
      <c r="K250" s="3354" t="s">
        <v>3866</v>
      </c>
      <c r="L250" s="3583"/>
    </row>
    <row r="251" spans="1:12" ht="13.5" customHeight="1">
      <c r="A251" s="3493">
        <v>250</v>
      </c>
      <c r="B251" s="3589"/>
      <c r="C251" s="3589"/>
      <c r="D251" s="3586" t="s">
        <v>3880</v>
      </c>
      <c r="E251" s="3493" t="s">
        <v>3327</v>
      </c>
      <c r="F251" s="3493" t="s">
        <v>3755</v>
      </c>
      <c r="G251" s="3493" t="s">
        <v>3589</v>
      </c>
      <c r="H251" s="3493">
        <v>96.3</v>
      </c>
      <c r="I251" s="3493">
        <f t="shared" si="9"/>
        <v>96.3</v>
      </c>
      <c r="J251" s="3354" t="s">
        <v>3866</v>
      </c>
      <c r="K251" s="3354" t="s">
        <v>3866</v>
      </c>
      <c r="L251" s="3583"/>
    </row>
    <row r="252" spans="1:12">
      <c r="A252" s="3493">
        <v>251</v>
      </c>
      <c r="B252" s="3589"/>
      <c r="C252" s="3589"/>
      <c r="D252" s="3587"/>
      <c r="E252" s="3493" t="s">
        <v>3327</v>
      </c>
      <c r="F252" s="3493" t="s">
        <v>3756</v>
      </c>
      <c r="G252" s="3493" t="s">
        <v>3635</v>
      </c>
      <c r="H252" s="3493">
        <v>858.89</v>
      </c>
      <c r="I252" s="3493">
        <f t="shared" si="9"/>
        <v>858.89</v>
      </c>
      <c r="J252" s="3354" t="s">
        <v>3866</v>
      </c>
      <c r="K252" s="3354" t="s">
        <v>3866</v>
      </c>
      <c r="L252" s="3583"/>
    </row>
    <row r="253" spans="1:12">
      <c r="A253" s="3493">
        <v>252</v>
      </c>
      <c r="B253" s="3589"/>
      <c r="C253" s="3589"/>
      <c r="D253" s="3587"/>
      <c r="E253" s="3493" t="s">
        <v>3327</v>
      </c>
      <c r="F253" s="3493" t="s">
        <v>3757</v>
      </c>
      <c r="G253" s="3493" t="s">
        <v>3589</v>
      </c>
      <c r="H253" s="3493">
        <v>130.4</v>
      </c>
      <c r="I253" s="3493">
        <f t="shared" si="9"/>
        <v>130.4</v>
      </c>
      <c r="J253" s="3354" t="s">
        <v>3866</v>
      </c>
      <c r="K253" s="3354" t="s">
        <v>3866</v>
      </c>
      <c r="L253" s="3583"/>
    </row>
    <row r="254" spans="1:12">
      <c r="A254" s="3493">
        <v>253</v>
      </c>
      <c r="B254" s="3589"/>
      <c r="C254" s="3589"/>
      <c r="D254" s="3587"/>
      <c r="E254" s="3493" t="s">
        <v>3327</v>
      </c>
      <c r="F254" s="3493" t="s">
        <v>3758</v>
      </c>
      <c r="G254" s="3493" t="s">
        <v>3589</v>
      </c>
      <c r="H254" s="3493">
        <v>186.88</v>
      </c>
      <c r="I254" s="3493">
        <f t="shared" si="9"/>
        <v>186.88</v>
      </c>
      <c r="J254" s="3354" t="s">
        <v>3866</v>
      </c>
      <c r="K254" s="3354" t="s">
        <v>3866</v>
      </c>
      <c r="L254" s="3583"/>
    </row>
    <row r="255" spans="1:12">
      <c r="A255" s="3493">
        <v>254</v>
      </c>
      <c r="B255" s="3589"/>
      <c r="C255" s="3589"/>
      <c r="D255" s="3597"/>
      <c r="E255" s="3493" t="s">
        <v>3327</v>
      </c>
      <c r="F255" s="3493" t="s">
        <v>3759</v>
      </c>
      <c r="G255" s="3493" t="s">
        <v>3685</v>
      </c>
      <c r="H255" s="3493">
        <v>2283.92</v>
      </c>
      <c r="I255" s="3354">
        <v>1388.32</v>
      </c>
      <c r="J255" s="3354">
        <v>884.86</v>
      </c>
      <c r="K255" s="3354">
        <v>10.74</v>
      </c>
      <c r="L255" s="3583"/>
    </row>
    <row r="256" spans="1:12">
      <c r="A256" s="3493">
        <v>255</v>
      </c>
      <c r="B256" s="3589"/>
      <c r="C256" s="3589"/>
      <c r="D256" s="3587"/>
      <c r="E256" s="3493" t="s">
        <v>3327</v>
      </c>
      <c r="F256" s="3493" t="s">
        <v>3760</v>
      </c>
      <c r="G256" s="3493" t="s">
        <v>3685</v>
      </c>
      <c r="H256" s="3493">
        <v>560.38</v>
      </c>
      <c r="I256" s="3493">
        <f t="shared" ref="I256:I270" si="10">H256</f>
        <v>560.38</v>
      </c>
      <c r="J256" s="3354" t="s">
        <v>3866</v>
      </c>
      <c r="K256" s="3354" t="s">
        <v>3866</v>
      </c>
      <c r="L256" s="3583"/>
    </row>
    <row r="257" spans="1:12">
      <c r="A257" s="3493">
        <v>256</v>
      </c>
      <c r="B257" s="3589"/>
      <c r="C257" s="3589"/>
      <c r="D257" s="3587"/>
      <c r="E257" s="3493" t="s">
        <v>3327</v>
      </c>
      <c r="F257" s="3493" t="s">
        <v>3761</v>
      </c>
      <c r="G257" s="3493" t="s">
        <v>3589</v>
      </c>
      <c r="H257" s="3493">
        <v>183.88</v>
      </c>
      <c r="I257" s="3493">
        <f t="shared" si="10"/>
        <v>183.88</v>
      </c>
      <c r="J257" s="3354" t="s">
        <v>3866</v>
      </c>
      <c r="K257" s="3354" t="s">
        <v>3866</v>
      </c>
      <c r="L257" s="3583"/>
    </row>
    <row r="258" spans="1:12">
      <c r="A258" s="3493">
        <v>257</v>
      </c>
      <c r="B258" s="3589"/>
      <c r="C258" s="3589"/>
      <c r="D258" s="3587"/>
      <c r="E258" s="3493" t="s">
        <v>3327</v>
      </c>
      <c r="F258" s="3493" t="s">
        <v>3382</v>
      </c>
      <c r="G258" s="3493" t="s">
        <v>3589</v>
      </c>
      <c r="H258" s="3493">
        <v>100.58</v>
      </c>
      <c r="I258" s="3493">
        <v>50.29</v>
      </c>
      <c r="J258" s="3354" t="s">
        <v>3866</v>
      </c>
      <c r="K258" s="3391">
        <v>50.29</v>
      </c>
      <c r="L258" s="3583"/>
    </row>
    <row r="259" spans="1:12">
      <c r="A259" s="3493">
        <v>258</v>
      </c>
      <c r="B259" s="3589"/>
      <c r="C259" s="3589"/>
      <c r="D259" s="3587"/>
      <c r="E259" s="3493" t="s">
        <v>3327</v>
      </c>
      <c r="F259" s="3493" t="s">
        <v>3762</v>
      </c>
      <c r="G259" s="3493" t="s">
        <v>3589</v>
      </c>
      <c r="H259" s="3493">
        <v>98.86</v>
      </c>
      <c r="I259" s="3493">
        <v>49.43</v>
      </c>
      <c r="J259" s="3354" t="s">
        <v>3866</v>
      </c>
      <c r="K259" s="3391">
        <v>49.43</v>
      </c>
      <c r="L259" s="3583"/>
    </row>
    <row r="260" spans="1:12">
      <c r="A260" s="3493">
        <v>259</v>
      </c>
      <c r="B260" s="3589"/>
      <c r="C260" s="3589"/>
      <c r="D260" s="3587"/>
      <c r="E260" s="3493" t="s">
        <v>3327</v>
      </c>
      <c r="F260" s="3493" t="s">
        <v>3763</v>
      </c>
      <c r="G260" s="3493" t="s">
        <v>3589</v>
      </c>
      <c r="H260" s="3493">
        <v>28.52</v>
      </c>
      <c r="I260" s="3493">
        <f t="shared" si="10"/>
        <v>28.52</v>
      </c>
      <c r="J260" s="3354" t="s">
        <v>3866</v>
      </c>
      <c r="K260" s="3354" t="s">
        <v>3866</v>
      </c>
      <c r="L260" s="3583"/>
    </row>
    <row r="261" spans="1:12">
      <c r="A261" s="3493">
        <v>260</v>
      </c>
      <c r="B261" s="3589"/>
      <c r="C261" s="3589"/>
      <c r="D261" s="3587"/>
      <c r="E261" s="3493" t="s">
        <v>3327</v>
      </c>
      <c r="F261" s="3493" t="s">
        <v>3764</v>
      </c>
      <c r="G261" s="3493" t="s">
        <v>3765</v>
      </c>
      <c r="H261" s="3493">
        <v>85.47</v>
      </c>
      <c r="I261" s="3493">
        <f t="shared" si="10"/>
        <v>85.47</v>
      </c>
      <c r="J261" s="3354" t="s">
        <v>3866</v>
      </c>
      <c r="K261" s="3354" t="s">
        <v>3866</v>
      </c>
      <c r="L261" s="3583"/>
    </row>
    <row r="262" spans="1:12">
      <c r="A262" s="3493">
        <v>261</v>
      </c>
      <c r="B262" s="3589"/>
      <c r="C262" s="3589"/>
      <c r="D262" s="3587"/>
      <c r="E262" s="3493" t="s">
        <v>3327</v>
      </c>
      <c r="F262" s="3493" t="s">
        <v>3387</v>
      </c>
      <c r="G262" s="3493" t="s">
        <v>3589</v>
      </c>
      <c r="H262" s="3493">
        <v>73.8</v>
      </c>
      <c r="I262" s="3493">
        <f t="shared" si="10"/>
        <v>73.8</v>
      </c>
      <c r="J262" s="3354" t="s">
        <v>3866</v>
      </c>
      <c r="K262" s="3354" t="s">
        <v>3866</v>
      </c>
      <c r="L262" s="3583"/>
    </row>
    <row r="263" spans="1:12">
      <c r="A263" s="3493">
        <v>262</v>
      </c>
      <c r="B263" s="3589"/>
      <c r="C263" s="3589"/>
      <c r="D263" s="3587"/>
      <c r="E263" s="3493" t="s">
        <v>3327</v>
      </c>
      <c r="F263" s="3493" t="s">
        <v>3766</v>
      </c>
      <c r="G263" s="3493" t="s">
        <v>3589</v>
      </c>
      <c r="H263" s="3493">
        <v>110</v>
      </c>
      <c r="I263" s="3493">
        <f t="shared" si="10"/>
        <v>110</v>
      </c>
      <c r="J263" s="3354" t="s">
        <v>3866</v>
      </c>
      <c r="K263" s="3354" t="s">
        <v>3866</v>
      </c>
      <c r="L263" s="3583"/>
    </row>
    <row r="264" spans="1:12">
      <c r="A264" s="3493">
        <v>263</v>
      </c>
      <c r="B264" s="3589"/>
      <c r="C264" s="3589"/>
      <c r="D264" s="3587"/>
      <c r="E264" s="3493" t="s">
        <v>3327</v>
      </c>
      <c r="F264" s="3493" t="s">
        <v>3767</v>
      </c>
      <c r="G264" s="3493" t="s">
        <v>3589</v>
      </c>
      <c r="H264" s="3493">
        <v>51.83</v>
      </c>
      <c r="I264" s="3493">
        <f t="shared" si="10"/>
        <v>51.83</v>
      </c>
      <c r="J264" s="3354" t="s">
        <v>3866</v>
      </c>
      <c r="K264" s="3354" t="s">
        <v>3866</v>
      </c>
      <c r="L264" s="3583"/>
    </row>
    <row r="265" spans="1:12">
      <c r="A265" s="3493">
        <v>264</v>
      </c>
      <c r="B265" s="3589"/>
      <c r="C265" s="3589"/>
      <c r="D265" s="3587"/>
      <c r="E265" s="3493" t="s">
        <v>3327</v>
      </c>
      <c r="F265" s="3493" t="s">
        <v>3390</v>
      </c>
      <c r="G265" s="3493" t="s">
        <v>3589</v>
      </c>
      <c r="H265" s="3493">
        <v>89.23</v>
      </c>
      <c r="I265" s="3493">
        <f t="shared" si="10"/>
        <v>89.23</v>
      </c>
      <c r="J265" s="3354" t="s">
        <v>3866</v>
      </c>
      <c r="K265" s="3354" t="s">
        <v>3866</v>
      </c>
      <c r="L265" s="3583"/>
    </row>
    <row r="266" spans="1:12">
      <c r="A266" s="3493">
        <v>265</v>
      </c>
      <c r="B266" s="3589"/>
      <c r="C266" s="3589"/>
      <c r="D266" s="3587"/>
      <c r="E266" s="3493" t="s">
        <v>3327</v>
      </c>
      <c r="F266" s="3493" t="s">
        <v>3391</v>
      </c>
      <c r="G266" s="3493" t="s">
        <v>3589</v>
      </c>
      <c r="H266" s="3493">
        <v>31.52</v>
      </c>
      <c r="I266" s="3493">
        <f t="shared" si="10"/>
        <v>31.52</v>
      </c>
      <c r="J266" s="3354" t="s">
        <v>3866</v>
      </c>
      <c r="K266" s="3354" t="s">
        <v>3866</v>
      </c>
      <c r="L266" s="3583"/>
    </row>
    <row r="267" spans="1:12">
      <c r="A267" s="3493">
        <v>266</v>
      </c>
      <c r="B267" s="3589"/>
      <c r="C267" s="3589"/>
      <c r="D267" s="3587"/>
      <c r="E267" s="3493" t="s">
        <v>3327</v>
      </c>
      <c r="F267" s="3493" t="s">
        <v>3392</v>
      </c>
      <c r="G267" s="3493" t="s">
        <v>3589</v>
      </c>
      <c r="H267" s="3493">
        <v>108.34</v>
      </c>
      <c r="I267" s="3493">
        <f t="shared" si="10"/>
        <v>108.34</v>
      </c>
      <c r="J267" s="3354" t="s">
        <v>3866</v>
      </c>
      <c r="K267" s="3354" t="s">
        <v>3866</v>
      </c>
      <c r="L267" s="3583"/>
    </row>
    <row r="268" spans="1:12">
      <c r="A268" s="3493">
        <v>267</v>
      </c>
      <c r="B268" s="3589"/>
      <c r="C268" s="3589"/>
      <c r="D268" s="3587"/>
      <c r="E268" s="3493" t="s">
        <v>3327</v>
      </c>
      <c r="F268" s="3493" t="s">
        <v>3393</v>
      </c>
      <c r="G268" s="3493" t="s">
        <v>3589</v>
      </c>
      <c r="H268" s="3493">
        <v>31.66</v>
      </c>
      <c r="I268" s="3493">
        <f t="shared" si="10"/>
        <v>31.66</v>
      </c>
      <c r="J268" s="3354" t="s">
        <v>3866</v>
      </c>
      <c r="K268" s="3354" t="s">
        <v>3866</v>
      </c>
      <c r="L268" s="3583"/>
    </row>
    <row r="269" spans="1:12">
      <c r="A269" s="3493">
        <v>268</v>
      </c>
      <c r="B269" s="3589"/>
      <c r="C269" s="3589"/>
      <c r="D269" s="3587"/>
      <c r="E269" s="3493" t="s">
        <v>3327</v>
      </c>
      <c r="F269" s="3493" t="s">
        <v>3768</v>
      </c>
      <c r="G269" s="3493" t="s">
        <v>3589</v>
      </c>
      <c r="H269" s="3493">
        <v>106.59</v>
      </c>
      <c r="I269" s="3493">
        <f t="shared" si="10"/>
        <v>106.59</v>
      </c>
      <c r="J269" s="3354" t="s">
        <v>3866</v>
      </c>
      <c r="K269" s="3354" t="s">
        <v>3866</v>
      </c>
      <c r="L269" s="3583"/>
    </row>
    <row r="270" spans="1:12">
      <c r="A270" s="3493">
        <v>269</v>
      </c>
      <c r="B270" s="3589"/>
      <c r="C270" s="3589"/>
      <c r="D270" s="3587"/>
      <c r="E270" s="3493" t="s">
        <v>3327</v>
      </c>
      <c r="F270" s="3493" t="s">
        <v>3395</v>
      </c>
      <c r="G270" s="3493" t="s">
        <v>3589</v>
      </c>
      <c r="H270" s="3493">
        <v>43.5</v>
      </c>
      <c r="I270" s="3493">
        <f t="shared" si="10"/>
        <v>43.5</v>
      </c>
      <c r="J270" s="3354" t="s">
        <v>3866</v>
      </c>
      <c r="K270" s="3354" t="s">
        <v>3866</v>
      </c>
      <c r="L270" s="3583"/>
    </row>
    <row r="271" spans="1:12">
      <c r="A271" s="3493">
        <v>270</v>
      </c>
      <c r="B271" s="3589"/>
      <c r="C271" s="3589"/>
      <c r="D271" s="3587"/>
      <c r="E271" s="3493" t="s">
        <v>3327</v>
      </c>
      <c r="F271" s="3493" t="s">
        <v>3396</v>
      </c>
      <c r="G271" s="3493" t="s">
        <v>3589</v>
      </c>
      <c r="H271" s="3493">
        <v>68.900000000000006</v>
      </c>
      <c r="I271" s="3493">
        <f>H271</f>
        <v>68.900000000000006</v>
      </c>
      <c r="J271" s="3354" t="s">
        <v>3866</v>
      </c>
      <c r="K271" s="3354" t="s">
        <v>3866</v>
      </c>
      <c r="L271" s="3583"/>
    </row>
    <row r="272" spans="1:12">
      <c r="A272" s="3493">
        <v>271</v>
      </c>
      <c r="B272" s="3589"/>
      <c r="C272" s="3589"/>
      <c r="D272" s="3597"/>
      <c r="E272" s="3493" t="s">
        <v>3327</v>
      </c>
      <c r="F272" s="3493" t="s">
        <v>3769</v>
      </c>
      <c r="G272" s="3493" t="s">
        <v>3752</v>
      </c>
      <c r="H272" s="3493">
        <v>544.79999999999995</v>
      </c>
      <c r="I272" s="3354">
        <v>491.93</v>
      </c>
      <c r="J272" s="3354">
        <v>52.87</v>
      </c>
      <c r="K272" s="3354" t="s">
        <v>3866</v>
      </c>
      <c r="L272" s="3583"/>
    </row>
    <row r="273" spans="1:12">
      <c r="A273" s="3493">
        <v>272</v>
      </c>
      <c r="B273" s="3589"/>
      <c r="C273" s="3589"/>
      <c r="D273" s="3587"/>
      <c r="E273" s="3493" t="s">
        <v>3327</v>
      </c>
      <c r="F273" s="3493" t="s">
        <v>3770</v>
      </c>
      <c r="G273" s="3493" t="s">
        <v>3685</v>
      </c>
      <c r="H273" s="3493">
        <v>177.15</v>
      </c>
      <c r="I273" s="3493">
        <f>H273</f>
        <v>177.15</v>
      </c>
      <c r="J273" s="3354" t="s">
        <v>3866</v>
      </c>
      <c r="K273" s="3354" t="s">
        <v>3866</v>
      </c>
      <c r="L273" s="3583"/>
    </row>
    <row r="274" spans="1:12">
      <c r="A274" s="3493">
        <v>273</v>
      </c>
      <c r="B274" s="3589"/>
      <c r="C274" s="3589"/>
      <c r="D274" s="3588"/>
      <c r="E274" s="3493" t="s">
        <v>3327</v>
      </c>
      <c r="F274" s="3493" t="s">
        <v>3400</v>
      </c>
      <c r="G274" s="3493" t="s">
        <v>3771</v>
      </c>
      <c r="H274" s="3493">
        <v>240.91</v>
      </c>
      <c r="I274" s="3493">
        <f>H274</f>
        <v>240.91</v>
      </c>
      <c r="J274" s="3354" t="s">
        <v>3866</v>
      </c>
      <c r="K274" s="3354" t="s">
        <v>3866</v>
      </c>
      <c r="L274" s="3583"/>
    </row>
    <row r="275" spans="1:12" ht="36">
      <c r="A275" s="3493">
        <v>274</v>
      </c>
      <c r="B275" s="3589"/>
      <c r="C275" s="3589"/>
      <c r="D275" s="3494" t="s">
        <v>3885</v>
      </c>
      <c r="E275" s="3493" t="s">
        <v>3742</v>
      </c>
      <c r="F275" s="3493" t="s">
        <v>3772</v>
      </c>
      <c r="G275" s="3493" t="s">
        <v>3773</v>
      </c>
      <c r="H275" s="3493">
        <v>35.71</v>
      </c>
      <c r="I275" s="3493">
        <f>H275</f>
        <v>35.71</v>
      </c>
      <c r="J275" s="3354" t="s">
        <v>3866</v>
      </c>
      <c r="K275" s="3354" t="s">
        <v>3866</v>
      </c>
      <c r="L275" s="3583"/>
    </row>
    <row r="276" spans="1:12" ht="13.5" customHeight="1">
      <c r="A276" s="3493">
        <v>275</v>
      </c>
      <c r="B276" s="3589"/>
      <c r="C276" s="3589"/>
      <c r="D276" s="3586" t="s">
        <v>3887</v>
      </c>
      <c r="E276" s="3493" t="s">
        <v>3742</v>
      </c>
      <c r="F276" s="3493" t="s">
        <v>3774</v>
      </c>
      <c r="G276" s="3493" t="s">
        <v>3773</v>
      </c>
      <c r="H276" s="3493">
        <v>98.89</v>
      </c>
      <c r="I276" s="3493">
        <f t="shared" ref="I276:I291" si="11">H276</f>
        <v>98.89</v>
      </c>
      <c r="J276" s="3354" t="s">
        <v>3866</v>
      </c>
      <c r="K276" s="3354" t="s">
        <v>3866</v>
      </c>
      <c r="L276" s="3583"/>
    </row>
    <row r="277" spans="1:12">
      <c r="A277" s="3493">
        <v>276</v>
      </c>
      <c r="B277" s="3589"/>
      <c r="C277" s="3589"/>
      <c r="D277" s="3588"/>
      <c r="E277" s="3493" t="s">
        <v>3327</v>
      </c>
      <c r="F277" s="3493" t="s">
        <v>3404</v>
      </c>
      <c r="G277" s="3493" t="s">
        <v>3246</v>
      </c>
      <c r="H277" s="3493">
        <v>35.15</v>
      </c>
      <c r="I277" s="3493">
        <f t="shared" si="11"/>
        <v>35.15</v>
      </c>
      <c r="J277" s="3354" t="s">
        <v>3866</v>
      </c>
      <c r="K277" s="3354" t="s">
        <v>3866</v>
      </c>
      <c r="L277" s="3583"/>
    </row>
    <row r="278" spans="1:12" ht="13.5" customHeight="1">
      <c r="A278" s="3493">
        <v>277</v>
      </c>
      <c r="B278" s="3589"/>
      <c r="C278" s="3589"/>
      <c r="D278" s="3586" t="s">
        <v>3880</v>
      </c>
      <c r="E278" s="3493" t="s">
        <v>3327</v>
      </c>
      <c r="F278" s="3493" t="s">
        <v>3405</v>
      </c>
      <c r="G278" s="3493" t="s">
        <v>3139</v>
      </c>
      <c r="H278" s="3493">
        <v>118.03</v>
      </c>
      <c r="I278" s="3493">
        <f t="shared" si="11"/>
        <v>118.03</v>
      </c>
      <c r="J278" s="3354" t="s">
        <v>3866</v>
      </c>
      <c r="K278" s="3354" t="s">
        <v>3866</v>
      </c>
      <c r="L278" s="3583"/>
    </row>
    <row r="279" spans="1:12">
      <c r="A279" s="3493">
        <v>278</v>
      </c>
      <c r="B279" s="3589"/>
      <c r="C279" s="3589"/>
      <c r="D279" s="3587"/>
      <c r="E279" s="3493" t="s">
        <v>3327</v>
      </c>
      <c r="F279" s="3493" t="s">
        <v>3406</v>
      </c>
      <c r="G279" s="3493" t="s">
        <v>3139</v>
      </c>
      <c r="H279" s="3493">
        <v>82.72</v>
      </c>
      <c r="I279" s="3493">
        <f t="shared" si="11"/>
        <v>82.72</v>
      </c>
      <c r="J279" s="3354" t="s">
        <v>3866</v>
      </c>
      <c r="K279" s="3354" t="s">
        <v>3866</v>
      </c>
      <c r="L279" s="3583"/>
    </row>
    <row r="280" spans="1:12">
      <c r="A280" s="3493">
        <v>279</v>
      </c>
      <c r="B280" s="3589"/>
      <c r="C280" s="3589"/>
      <c r="D280" s="3587"/>
      <c r="E280" s="3493" t="s">
        <v>3327</v>
      </c>
      <c r="F280" s="3493" t="s">
        <v>3776</v>
      </c>
      <c r="G280" s="3493" t="s">
        <v>3139</v>
      </c>
      <c r="H280" s="3493">
        <v>82.8</v>
      </c>
      <c r="I280" s="3493">
        <f t="shared" si="11"/>
        <v>82.8</v>
      </c>
      <c r="J280" s="3354" t="s">
        <v>3866</v>
      </c>
      <c r="K280" s="3354" t="s">
        <v>3866</v>
      </c>
      <c r="L280" s="3583"/>
    </row>
    <row r="281" spans="1:12">
      <c r="A281" s="3493">
        <v>280</v>
      </c>
      <c r="B281" s="3589"/>
      <c r="C281" s="3589"/>
      <c r="D281" s="3587"/>
      <c r="E281" s="3493" t="s">
        <v>3327</v>
      </c>
      <c r="F281" s="3493" t="s">
        <v>3408</v>
      </c>
      <c r="G281" s="3493" t="s">
        <v>3139</v>
      </c>
      <c r="H281" s="3493">
        <v>57.23</v>
      </c>
      <c r="I281" s="3493">
        <f t="shared" si="11"/>
        <v>57.23</v>
      </c>
      <c r="J281" s="3354" t="s">
        <v>3866</v>
      </c>
      <c r="K281" s="3354" t="s">
        <v>3866</v>
      </c>
      <c r="L281" s="3583"/>
    </row>
    <row r="282" spans="1:12">
      <c r="A282" s="3493">
        <v>281</v>
      </c>
      <c r="B282" s="3589"/>
      <c r="C282" s="3589"/>
      <c r="D282" s="3587"/>
      <c r="E282" s="3493" t="s">
        <v>3327</v>
      </c>
      <c r="F282" s="3493" t="s">
        <v>3409</v>
      </c>
      <c r="G282" s="3493" t="s">
        <v>3139</v>
      </c>
      <c r="H282" s="3493">
        <v>98.67</v>
      </c>
      <c r="I282" s="3493">
        <f t="shared" si="11"/>
        <v>98.67</v>
      </c>
      <c r="J282" s="3354" t="s">
        <v>3866</v>
      </c>
      <c r="K282" s="3354" t="s">
        <v>3866</v>
      </c>
      <c r="L282" s="3583"/>
    </row>
    <row r="283" spans="1:12">
      <c r="A283" s="3493">
        <v>282</v>
      </c>
      <c r="B283" s="3589"/>
      <c r="C283" s="3589"/>
      <c r="D283" s="3587"/>
      <c r="E283" s="3493" t="s">
        <v>3327</v>
      </c>
      <c r="F283" s="3493" t="s">
        <v>3410</v>
      </c>
      <c r="G283" s="3493" t="s">
        <v>3139</v>
      </c>
      <c r="H283" s="3493">
        <v>15.63</v>
      </c>
      <c r="I283" s="3493">
        <f t="shared" si="11"/>
        <v>15.63</v>
      </c>
      <c r="J283" s="3354" t="s">
        <v>3866</v>
      </c>
      <c r="K283" s="3354" t="s">
        <v>3866</v>
      </c>
      <c r="L283" s="3583"/>
    </row>
    <row r="284" spans="1:12">
      <c r="A284" s="3493">
        <v>283</v>
      </c>
      <c r="B284" s="3589"/>
      <c r="C284" s="3589"/>
      <c r="D284" s="3587"/>
      <c r="E284" s="3493" t="s">
        <v>3327</v>
      </c>
      <c r="F284" s="3493" t="s">
        <v>3411</v>
      </c>
      <c r="G284" s="3493" t="s">
        <v>3386</v>
      </c>
      <c r="H284" s="3493">
        <v>111.26</v>
      </c>
      <c r="I284" s="3493">
        <f t="shared" si="11"/>
        <v>111.26</v>
      </c>
      <c r="J284" s="3354" t="s">
        <v>3866</v>
      </c>
      <c r="K284" s="3354" t="s">
        <v>3866</v>
      </c>
      <c r="L284" s="3583"/>
    </row>
    <row r="285" spans="1:12">
      <c r="A285" s="3493">
        <v>284</v>
      </c>
      <c r="B285" s="3589"/>
      <c r="C285" s="3589"/>
      <c r="D285" s="3587"/>
      <c r="E285" s="3493" t="s">
        <v>3327</v>
      </c>
      <c r="F285" s="3493" t="s">
        <v>3413</v>
      </c>
      <c r="G285" s="3493" t="s">
        <v>3139</v>
      </c>
      <c r="H285" s="3493">
        <v>24.61</v>
      </c>
      <c r="I285" s="3493">
        <f t="shared" si="11"/>
        <v>24.61</v>
      </c>
      <c r="J285" s="3354" t="s">
        <v>3866</v>
      </c>
      <c r="K285" s="3354" t="s">
        <v>3866</v>
      </c>
      <c r="L285" s="3583"/>
    </row>
    <row r="286" spans="1:12">
      <c r="A286" s="3493">
        <v>285</v>
      </c>
      <c r="B286" s="3589"/>
      <c r="C286" s="3589"/>
      <c r="D286" s="3587"/>
      <c r="E286" s="3493" t="s">
        <v>3327</v>
      </c>
      <c r="F286" s="3493" t="s">
        <v>3414</v>
      </c>
      <c r="G286" s="3493" t="s">
        <v>3139</v>
      </c>
      <c r="H286" s="3493">
        <v>81.45</v>
      </c>
      <c r="I286" s="3493">
        <f t="shared" si="11"/>
        <v>81.45</v>
      </c>
      <c r="J286" s="3354" t="s">
        <v>3866</v>
      </c>
      <c r="K286" s="3354" t="s">
        <v>3866</v>
      </c>
      <c r="L286" s="3583"/>
    </row>
    <row r="287" spans="1:12">
      <c r="A287" s="3493">
        <v>286</v>
      </c>
      <c r="B287" s="3589"/>
      <c r="C287" s="3589"/>
      <c r="D287" s="3587"/>
      <c r="E287" s="3493" t="s">
        <v>3327</v>
      </c>
      <c r="F287" s="3493" t="s">
        <v>3415</v>
      </c>
      <c r="G287" s="3493" t="s">
        <v>3139</v>
      </c>
      <c r="H287" s="3493">
        <v>44.83</v>
      </c>
      <c r="I287" s="3493">
        <f t="shared" si="11"/>
        <v>44.83</v>
      </c>
      <c r="J287" s="3354" t="s">
        <v>3866</v>
      </c>
      <c r="K287" s="3354" t="s">
        <v>3866</v>
      </c>
      <c r="L287" s="3583"/>
    </row>
    <row r="288" spans="1:12">
      <c r="A288" s="3493">
        <v>287</v>
      </c>
      <c r="B288" s="3589"/>
      <c r="C288" s="3589"/>
      <c r="D288" s="3587"/>
      <c r="E288" s="3493" t="s">
        <v>3327</v>
      </c>
      <c r="F288" s="3493" t="s">
        <v>3416</v>
      </c>
      <c r="G288" s="3493" t="s">
        <v>3139</v>
      </c>
      <c r="H288" s="3493">
        <v>328.08</v>
      </c>
      <c r="I288" s="3493">
        <f t="shared" si="11"/>
        <v>328.08</v>
      </c>
      <c r="J288" s="3354" t="s">
        <v>3866</v>
      </c>
      <c r="K288" s="3354" t="s">
        <v>3866</v>
      </c>
      <c r="L288" s="3583"/>
    </row>
    <row r="289" spans="1:12">
      <c r="A289" s="3493">
        <v>288</v>
      </c>
      <c r="B289" s="3589"/>
      <c r="C289" s="3589"/>
      <c r="D289" s="3587"/>
      <c r="E289" s="3493" t="s">
        <v>3327</v>
      </c>
      <c r="F289" s="3493" t="s">
        <v>3417</v>
      </c>
      <c r="G289" s="3493" t="s">
        <v>3139</v>
      </c>
      <c r="H289" s="3493">
        <v>51.11</v>
      </c>
      <c r="I289" s="3493">
        <f t="shared" si="11"/>
        <v>51.11</v>
      </c>
      <c r="J289" s="3354" t="s">
        <v>3866</v>
      </c>
      <c r="K289" s="3354" t="s">
        <v>3866</v>
      </c>
      <c r="L289" s="3583"/>
    </row>
    <row r="290" spans="1:12">
      <c r="A290" s="3493">
        <v>289</v>
      </c>
      <c r="B290" s="3589"/>
      <c r="C290" s="3589"/>
      <c r="D290" s="3587"/>
      <c r="E290" s="3493" t="s">
        <v>3327</v>
      </c>
      <c r="F290" s="3493" t="s">
        <v>3418</v>
      </c>
      <c r="G290" s="3493" t="s">
        <v>3139</v>
      </c>
      <c r="H290" s="3493">
        <v>60.67</v>
      </c>
      <c r="I290" s="3493">
        <f t="shared" si="11"/>
        <v>60.67</v>
      </c>
      <c r="J290" s="3354" t="s">
        <v>3866</v>
      </c>
      <c r="K290" s="3354" t="s">
        <v>3866</v>
      </c>
      <c r="L290" s="3583"/>
    </row>
    <row r="291" spans="1:12">
      <c r="A291" s="3493">
        <v>290</v>
      </c>
      <c r="B291" s="3589"/>
      <c r="C291" s="3589"/>
      <c r="D291" s="3588"/>
      <c r="E291" s="3493" t="s">
        <v>3327</v>
      </c>
      <c r="F291" s="3493" t="s">
        <v>3419</v>
      </c>
      <c r="G291" s="3493" t="s">
        <v>3139</v>
      </c>
      <c r="H291" s="3493">
        <v>44.88</v>
      </c>
      <c r="I291" s="3493">
        <f t="shared" si="11"/>
        <v>44.88</v>
      </c>
      <c r="J291" s="3354" t="s">
        <v>3866</v>
      </c>
      <c r="K291" s="3354" t="s">
        <v>3866</v>
      </c>
      <c r="L291" s="3583"/>
    </row>
    <row r="292" spans="1:12" ht="13.5" customHeight="1">
      <c r="A292" s="3493">
        <v>291</v>
      </c>
      <c r="B292" s="3589"/>
      <c r="C292" s="3589"/>
      <c r="D292" s="3586" t="s">
        <v>3887</v>
      </c>
      <c r="E292" s="3493" t="s">
        <v>3327</v>
      </c>
      <c r="F292" s="3493" t="s">
        <v>3777</v>
      </c>
      <c r="G292" s="3493" t="s">
        <v>3117</v>
      </c>
      <c r="H292" s="3493">
        <v>489.48</v>
      </c>
      <c r="I292" s="3493">
        <v>342.93</v>
      </c>
      <c r="J292" s="3493">
        <v>146.55000000000001</v>
      </c>
      <c r="K292" s="3354" t="s">
        <v>3866</v>
      </c>
      <c r="L292" s="3583"/>
    </row>
    <row r="293" spans="1:12">
      <c r="A293" s="3493">
        <v>292</v>
      </c>
      <c r="B293" s="3589"/>
      <c r="C293" s="3589"/>
      <c r="D293" s="3587"/>
      <c r="E293" s="3493" t="s">
        <v>3327</v>
      </c>
      <c r="F293" s="3493" t="s">
        <v>3421</v>
      </c>
      <c r="G293" s="3493" t="s">
        <v>3246</v>
      </c>
      <c r="H293" s="3493">
        <v>70.650000000000006</v>
      </c>
      <c r="I293" s="3493">
        <f>H293</f>
        <v>70.650000000000006</v>
      </c>
      <c r="J293" s="3354" t="s">
        <v>3866</v>
      </c>
      <c r="K293" s="3354" t="s">
        <v>3866</v>
      </c>
      <c r="L293" s="3583"/>
    </row>
    <row r="294" spans="1:12">
      <c r="A294" s="3493">
        <v>293</v>
      </c>
      <c r="B294" s="3589"/>
      <c r="C294" s="3589"/>
      <c r="D294" s="3587"/>
      <c r="E294" s="3493" t="s">
        <v>3327</v>
      </c>
      <c r="F294" s="3493" t="s">
        <v>3422</v>
      </c>
      <c r="G294" s="3493" t="s">
        <v>3246</v>
      </c>
      <c r="H294" s="3493">
        <v>70.650000000000006</v>
      </c>
      <c r="I294" s="3493">
        <f t="shared" ref="I294:I313" si="12">H294</f>
        <v>70.650000000000006</v>
      </c>
      <c r="J294" s="3354" t="s">
        <v>3866</v>
      </c>
      <c r="K294" s="3354" t="s">
        <v>3866</v>
      </c>
      <c r="L294" s="3583"/>
    </row>
    <row r="295" spans="1:12">
      <c r="A295" s="3493">
        <v>294</v>
      </c>
      <c r="B295" s="3589"/>
      <c r="C295" s="3589"/>
      <c r="D295" s="3587"/>
      <c r="E295" s="3493" t="s">
        <v>3327</v>
      </c>
      <c r="F295" s="3493" t="s">
        <v>3423</v>
      </c>
      <c r="G295" s="3493" t="s">
        <v>3424</v>
      </c>
      <c r="H295" s="3493">
        <v>67.069999999999993</v>
      </c>
      <c r="I295" s="3493">
        <f t="shared" si="12"/>
        <v>67.069999999999993</v>
      </c>
      <c r="J295" s="3354" t="s">
        <v>3866</v>
      </c>
      <c r="K295" s="3354" t="s">
        <v>3866</v>
      </c>
      <c r="L295" s="3583"/>
    </row>
    <row r="296" spans="1:12">
      <c r="A296" s="3493">
        <v>295</v>
      </c>
      <c r="B296" s="3589"/>
      <c r="C296" s="3589"/>
      <c r="D296" s="3587"/>
      <c r="E296" s="3493" t="s">
        <v>3327</v>
      </c>
      <c r="F296" s="3493" t="s">
        <v>3425</v>
      </c>
      <c r="G296" s="3493" t="s">
        <v>3246</v>
      </c>
      <c r="H296" s="3493">
        <v>91.09</v>
      </c>
      <c r="I296" s="3493">
        <f t="shared" si="12"/>
        <v>91.09</v>
      </c>
      <c r="J296" s="3354" t="s">
        <v>3866</v>
      </c>
      <c r="K296" s="3354" t="s">
        <v>3866</v>
      </c>
      <c r="L296" s="3583"/>
    </row>
    <row r="297" spans="1:12">
      <c r="A297" s="3493">
        <v>296</v>
      </c>
      <c r="B297" s="3589"/>
      <c r="C297" s="3589"/>
      <c r="D297" s="3587"/>
      <c r="E297" s="3493" t="s">
        <v>3327</v>
      </c>
      <c r="F297" s="3493" t="s">
        <v>3426</v>
      </c>
      <c r="G297" s="3493" t="s">
        <v>3246</v>
      </c>
      <c r="H297" s="3493">
        <v>130.15</v>
      </c>
      <c r="I297" s="3493">
        <f t="shared" si="12"/>
        <v>130.15</v>
      </c>
      <c r="J297" s="3354" t="s">
        <v>3866</v>
      </c>
      <c r="K297" s="3354" t="s">
        <v>3866</v>
      </c>
      <c r="L297" s="3583"/>
    </row>
    <row r="298" spans="1:12">
      <c r="A298" s="3493">
        <v>297</v>
      </c>
      <c r="B298" s="3589"/>
      <c r="C298" s="3589"/>
      <c r="D298" s="3588"/>
      <c r="E298" s="3493" t="s">
        <v>3327</v>
      </c>
      <c r="F298" s="3493" t="s">
        <v>3427</v>
      </c>
      <c r="G298" s="3493" t="s">
        <v>3117</v>
      </c>
      <c r="H298" s="3493">
        <v>23.86</v>
      </c>
      <c r="I298" s="3493">
        <f t="shared" si="12"/>
        <v>23.86</v>
      </c>
      <c r="J298" s="3354" t="s">
        <v>3866</v>
      </c>
      <c r="K298" s="3354" t="s">
        <v>3866</v>
      </c>
      <c r="L298" s="3583"/>
    </row>
    <row r="299" spans="1:12" ht="13.5" customHeight="1">
      <c r="A299" s="3493">
        <v>298</v>
      </c>
      <c r="B299" s="3589"/>
      <c r="C299" s="3589"/>
      <c r="D299" s="3586" t="s">
        <v>3880</v>
      </c>
      <c r="E299" s="3493" t="s">
        <v>3327</v>
      </c>
      <c r="F299" s="3493" t="s">
        <v>3779</v>
      </c>
      <c r="G299" s="3493" t="s">
        <v>3139</v>
      </c>
      <c r="H299" s="3493">
        <v>88.85</v>
      </c>
      <c r="I299" s="3493">
        <f t="shared" si="12"/>
        <v>88.85</v>
      </c>
      <c r="J299" s="3354" t="s">
        <v>3866</v>
      </c>
      <c r="K299" s="3354" t="s">
        <v>3866</v>
      </c>
      <c r="L299" s="3583"/>
    </row>
    <row r="300" spans="1:12">
      <c r="A300" s="3493">
        <v>299</v>
      </c>
      <c r="B300" s="3589"/>
      <c r="C300" s="3589"/>
      <c r="D300" s="3587"/>
      <c r="E300" s="3493" t="s">
        <v>3327</v>
      </c>
      <c r="F300" s="3493" t="s">
        <v>3430</v>
      </c>
      <c r="G300" s="3493" t="s">
        <v>3139</v>
      </c>
      <c r="H300" s="3493">
        <v>147.24</v>
      </c>
      <c r="I300" s="3493">
        <f t="shared" si="12"/>
        <v>147.24</v>
      </c>
      <c r="J300" s="3354" t="s">
        <v>3866</v>
      </c>
      <c r="K300" s="3354" t="s">
        <v>3866</v>
      </c>
      <c r="L300" s="3583"/>
    </row>
    <row r="301" spans="1:12">
      <c r="A301" s="3493">
        <v>300</v>
      </c>
      <c r="B301" s="3589"/>
      <c r="C301" s="3589"/>
      <c r="D301" s="3587"/>
      <c r="E301" s="3493" t="s">
        <v>3327</v>
      </c>
      <c r="F301" s="3493" t="s">
        <v>3780</v>
      </c>
      <c r="G301" s="3493" t="s">
        <v>3139</v>
      </c>
      <c r="H301" s="3493">
        <v>93.56</v>
      </c>
      <c r="I301" s="3493">
        <f t="shared" si="12"/>
        <v>93.56</v>
      </c>
      <c r="J301" s="3354" t="s">
        <v>3866</v>
      </c>
      <c r="K301" s="3354" t="s">
        <v>3866</v>
      </c>
      <c r="L301" s="3583"/>
    </row>
    <row r="302" spans="1:12">
      <c r="A302" s="3493">
        <v>301</v>
      </c>
      <c r="B302" s="3589"/>
      <c r="C302" s="3589"/>
      <c r="D302" s="3587"/>
      <c r="E302" s="3493" t="s">
        <v>3327</v>
      </c>
      <c r="F302" s="3493" t="s">
        <v>3781</v>
      </c>
      <c r="G302" s="3493" t="s">
        <v>3139</v>
      </c>
      <c r="H302" s="3493">
        <v>30.6</v>
      </c>
      <c r="I302" s="3493">
        <f t="shared" si="12"/>
        <v>30.6</v>
      </c>
      <c r="J302" s="3354" t="s">
        <v>3866</v>
      </c>
      <c r="K302" s="3354" t="s">
        <v>3866</v>
      </c>
      <c r="L302" s="3583"/>
    </row>
    <row r="303" spans="1:12">
      <c r="A303" s="3493">
        <v>302</v>
      </c>
      <c r="B303" s="3589"/>
      <c r="C303" s="3589"/>
      <c r="D303" s="3587"/>
      <c r="E303" s="3493" t="s">
        <v>3327</v>
      </c>
      <c r="F303" s="3493" t="s">
        <v>3433</v>
      </c>
      <c r="G303" s="3493" t="s">
        <v>3139</v>
      </c>
      <c r="H303" s="3493">
        <v>90.81</v>
      </c>
      <c r="I303" s="3493">
        <f t="shared" si="12"/>
        <v>90.81</v>
      </c>
      <c r="J303" s="3354" t="s">
        <v>3866</v>
      </c>
      <c r="K303" s="3354" t="s">
        <v>3866</v>
      </c>
      <c r="L303" s="3583"/>
    </row>
    <row r="304" spans="1:12">
      <c r="A304" s="3493">
        <v>303</v>
      </c>
      <c r="B304" s="3589"/>
      <c r="C304" s="3589"/>
      <c r="D304" s="3587"/>
      <c r="E304" s="3493" t="s">
        <v>3327</v>
      </c>
      <c r="F304" s="3493" t="s">
        <v>3434</v>
      </c>
      <c r="G304" s="3493" t="s">
        <v>3139</v>
      </c>
      <c r="H304" s="3493">
        <v>60.48</v>
      </c>
      <c r="I304" s="3493">
        <f t="shared" si="12"/>
        <v>60.48</v>
      </c>
      <c r="J304" s="3354" t="s">
        <v>3866</v>
      </c>
      <c r="K304" s="3354" t="s">
        <v>3866</v>
      </c>
      <c r="L304" s="3583"/>
    </row>
    <row r="305" spans="1:12">
      <c r="A305" s="3493">
        <v>304</v>
      </c>
      <c r="B305" s="3589"/>
      <c r="C305" s="3589"/>
      <c r="D305" s="3587"/>
      <c r="E305" s="3493" t="s">
        <v>3327</v>
      </c>
      <c r="F305" s="3493" t="s">
        <v>3435</v>
      </c>
      <c r="G305" s="3493" t="s">
        <v>3139</v>
      </c>
      <c r="H305" s="3493">
        <v>72.650000000000006</v>
      </c>
      <c r="I305" s="3493">
        <f t="shared" si="12"/>
        <v>72.650000000000006</v>
      </c>
      <c r="J305" s="3354" t="s">
        <v>3866</v>
      </c>
      <c r="K305" s="3354" t="s">
        <v>3866</v>
      </c>
      <c r="L305" s="3583"/>
    </row>
    <row r="306" spans="1:12">
      <c r="A306" s="3493">
        <v>305</v>
      </c>
      <c r="B306" s="3589"/>
      <c r="C306" s="3589"/>
      <c r="D306" s="3588"/>
      <c r="E306" s="3493" t="s">
        <v>3327</v>
      </c>
      <c r="F306" s="3493" t="s">
        <v>3436</v>
      </c>
      <c r="G306" s="3493" t="s">
        <v>3139</v>
      </c>
      <c r="H306" s="3493">
        <v>13.88</v>
      </c>
      <c r="I306" s="3493">
        <f t="shared" si="12"/>
        <v>13.88</v>
      </c>
      <c r="J306" s="3354" t="s">
        <v>3866</v>
      </c>
      <c r="K306" s="3354" t="s">
        <v>3866</v>
      </c>
      <c r="L306" s="3583"/>
    </row>
    <row r="307" spans="1:12" ht="13.5" customHeight="1">
      <c r="A307" s="3493">
        <v>306</v>
      </c>
      <c r="B307" s="3589"/>
      <c r="C307" s="3589"/>
      <c r="D307" s="3586" t="s">
        <v>3887</v>
      </c>
      <c r="E307" s="3493" t="s">
        <v>3327</v>
      </c>
      <c r="F307" s="3493" t="s">
        <v>3782</v>
      </c>
      <c r="G307" s="3493" t="s">
        <v>3246</v>
      </c>
      <c r="H307" s="3493">
        <v>195.82</v>
      </c>
      <c r="I307" s="3493">
        <f t="shared" si="12"/>
        <v>195.82</v>
      </c>
      <c r="J307" s="3354" t="s">
        <v>3866</v>
      </c>
      <c r="K307" s="3354" t="s">
        <v>3866</v>
      </c>
      <c r="L307" s="3583"/>
    </row>
    <row r="308" spans="1:12">
      <c r="A308" s="3493">
        <v>307</v>
      </c>
      <c r="B308" s="3589"/>
      <c r="C308" s="3589"/>
      <c r="D308" s="3587"/>
      <c r="E308" s="3493" t="s">
        <v>3327</v>
      </c>
      <c r="F308" s="3493" t="s">
        <v>3783</v>
      </c>
      <c r="G308" s="3493" t="s">
        <v>3246</v>
      </c>
      <c r="H308" s="3493">
        <v>50.35</v>
      </c>
      <c r="I308" s="3493">
        <f t="shared" si="12"/>
        <v>50.35</v>
      </c>
      <c r="J308" s="3354" t="s">
        <v>3866</v>
      </c>
      <c r="K308" s="3354" t="s">
        <v>3866</v>
      </c>
      <c r="L308" s="3583"/>
    </row>
    <row r="309" spans="1:12">
      <c r="A309" s="3493">
        <v>308</v>
      </c>
      <c r="B309" s="3589"/>
      <c r="C309" s="3589"/>
      <c r="D309" s="3587"/>
      <c r="E309" s="3493" t="s">
        <v>3327</v>
      </c>
      <c r="F309" s="3493" t="s">
        <v>3439</v>
      </c>
      <c r="G309" s="3493" t="s">
        <v>3246</v>
      </c>
      <c r="H309" s="3493">
        <v>70.59</v>
      </c>
      <c r="I309" s="3493">
        <f t="shared" si="12"/>
        <v>70.59</v>
      </c>
      <c r="J309" s="3354" t="s">
        <v>3866</v>
      </c>
      <c r="K309" s="3354" t="s">
        <v>3866</v>
      </c>
      <c r="L309" s="3583"/>
    </row>
    <row r="310" spans="1:12">
      <c r="A310" s="3493">
        <v>309</v>
      </c>
      <c r="B310" s="3589"/>
      <c r="C310" s="3589"/>
      <c r="D310" s="3588"/>
      <c r="E310" s="3493" t="s">
        <v>3327</v>
      </c>
      <c r="F310" s="3493" t="s">
        <v>3440</v>
      </c>
      <c r="G310" s="3493" t="s">
        <v>3246</v>
      </c>
      <c r="H310" s="3493">
        <v>59.79</v>
      </c>
      <c r="I310" s="3493">
        <f t="shared" si="12"/>
        <v>59.79</v>
      </c>
      <c r="J310" s="3354" t="s">
        <v>3866</v>
      </c>
      <c r="K310" s="3354" t="s">
        <v>3866</v>
      </c>
      <c r="L310" s="3583"/>
    </row>
    <row r="311" spans="1:12" ht="36">
      <c r="A311" s="3493">
        <v>310</v>
      </c>
      <c r="B311" s="3589"/>
      <c r="C311" s="3589"/>
      <c r="D311" s="3494" t="s">
        <v>3880</v>
      </c>
      <c r="E311" s="3493" t="s">
        <v>3327</v>
      </c>
      <c r="F311" s="3493" t="s">
        <v>3441</v>
      </c>
      <c r="G311" s="3493" t="s">
        <v>3442</v>
      </c>
      <c r="H311" s="3493">
        <v>155.80000000000001</v>
      </c>
      <c r="I311" s="3493">
        <f t="shared" si="12"/>
        <v>155.80000000000001</v>
      </c>
      <c r="J311" s="3354" t="s">
        <v>3866</v>
      </c>
      <c r="K311" s="3354" t="s">
        <v>3866</v>
      </c>
      <c r="L311" s="3583"/>
    </row>
    <row r="312" spans="1:12" ht="36">
      <c r="A312" s="3493">
        <v>311</v>
      </c>
      <c r="B312" s="3589"/>
      <c r="C312" s="3589"/>
      <c r="D312" s="3494" t="s">
        <v>3884</v>
      </c>
      <c r="E312" s="3493" t="s">
        <v>3327</v>
      </c>
      <c r="F312" s="3493" t="s">
        <v>3784</v>
      </c>
      <c r="G312" s="3493" t="s">
        <v>3246</v>
      </c>
      <c r="H312" s="3493">
        <v>26.11</v>
      </c>
      <c r="I312" s="3493">
        <f t="shared" si="12"/>
        <v>26.11</v>
      </c>
      <c r="J312" s="3354" t="s">
        <v>3866</v>
      </c>
      <c r="K312" s="3354" t="s">
        <v>3866</v>
      </c>
      <c r="L312" s="3583"/>
    </row>
    <row r="313" spans="1:12" ht="36">
      <c r="A313" s="3493">
        <v>312</v>
      </c>
      <c r="B313" s="3589"/>
      <c r="C313" s="3589"/>
      <c r="D313" s="3494" t="s">
        <v>3880</v>
      </c>
      <c r="E313" s="3493" t="s">
        <v>3327</v>
      </c>
      <c r="F313" s="3493" t="s">
        <v>3444</v>
      </c>
      <c r="G313" s="3493" t="s">
        <v>3132</v>
      </c>
      <c r="H313" s="3493">
        <v>84.94</v>
      </c>
      <c r="I313" s="3493">
        <f t="shared" si="12"/>
        <v>84.94</v>
      </c>
      <c r="J313" s="3354" t="s">
        <v>3866</v>
      </c>
      <c r="K313" s="3354" t="s">
        <v>3866</v>
      </c>
      <c r="L313" s="3583"/>
    </row>
    <row r="314" spans="1:12" ht="13.5" customHeight="1">
      <c r="A314" s="3493">
        <v>313</v>
      </c>
      <c r="B314" s="3589"/>
      <c r="C314" s="3589"/>
      <c r="D314" s="3586" t="s">
        <v>3887</v>
      </c>
      <c r="E314" s="3493" t="s">
        <v>3327</v>
      </c>
      <c r="F314" s="3493" t="s">
        <v>3445</v>
      </c>
      <c r="G314" s="3493" t="s">
        <v>3424</v>
      </c>
      <c r="H314" s="3493">
        <v>22.47</v>
      </c>
      <c r="I314" s="3493">
        <f>H314</f>
        <v>22.47</v>
      </c>
      <c r="J314" s="3354" t="s">
        <v>3866</v>
      </c>
      <c r="K314" s="3354" t="s">
        <v>3866</v>
      </c>
      <c r="L314" s="3583"/>
    </row>
    <row r="315" spans="1:12">
      <c r="A315" s="3493">
        <v>314</v>
      </c>
      <c r="B315" s="3581"/>
      <c r="C315" s="3581"/>
      <c r="D315" s="3598"/>
      <c r="E315" s="3493" t="s">
        <v>3327</v>
      </c>
      <c r="F315" s="3493" t="s">
        <v>3785</v>
      </c>
      <c r="G315" s="3493" t="s">
        <v>3246</v>
      </c>
      <c r="H315" s="3493">
        <v>766.52</v>
      </c>
      <c r="I315" s="3493" t="s">
        <v>3866</v>
      </c>
      <c r="J315" s="3391">
        <f>H315</f>
        <v>766.52</v>
      </c>
      <c r="K315" s="3354" t="s">
        <v>3866</v>
      </c>
      <c r="L315" s="3583"/>
    </row>
    <row r="316" spans="1:12" ht="36">
      <c r="A316" s="3493">
        <v>315</v>
      </c>
      <c r="B316" s="3611" t="s">
        <v>3447</v>
      </c>
      <c r="C316" s="3611" t="s">
        <v>3448</v>
      </c>
      <c r="D316" s="3494" t="s">
        <v>3883</v>
      </c>
      <c r="E316" s="3493" t="s">
        <v>3786</v>
      </c>
      <c r="F316" s="3493" t="s">
        <v>3097</v>
      </c>
      <c r="G316" s="3493" t="s">
        <v>3450</v>
      </c>
      <c r="H316" s="3493">
        <v>400.5</v>
      </c>
      <c r="I316" s="3493">
        <f>H316</f>
        <v>400.5</v>
      </c>
      <c r="J316" s="3354" t="s">
        <v>3866</v>
      </c>
      <c r="K316" s="3354" t="s">
        <v>3866</v>
      </c>
      <c r="L316" s="3583">
        <v>54203.81</v>
      </c>
    </row>
    <row r="317" spans="1:12" ht="24" customHeight="1">
      <c r="A317" s="3493">
        <v>316</v>
      </c>
      <c r="B317" s="3589"/>
      <c r="C317" s="3589"/>
      <c r="D317" s="3586" t="s">
        <v>3870</v>
      </c>
      <c r="E317" s="3493" t="s">
        <v>3786</v>
      </c>
      <c r="F317" s="3493" t="s">
        <v>3866</v>
      </c>
      <c r="G317" s="3493" t="s">
        <v>3787</v>
      </c>
      <c r="H317" s="3493">
        <v>1263.3900000000001</v>
      </c>
      <c r="I317" s="3493">
        <f>H317</f>
        <v>1263.3900000000001</v>
      </c>
      <c r="J317" s="3354" t="s">
        <v>3866</v>
      </c>
      <c r="K317" s="3354" t="s">
        <v>3866</v>
      </c>
      <c r="L317" s="3583"/>
    </row>
    <row r="318" spans="1:12" ht="24">
      <c r="A318" s="3493">
        <v>317</v>
      </c>
      <c r="B318" s="3581"/>
      <c r="C318" s="3581"/>
      <c r="D318" s="3598"/>
      <c r="E318" s="3493" t="s">
        <v>3786</v>
      </c>
      <c r="F318" s="3493" t="s">
        <v>3109</v>
      </c>
      <c r="G318" s="3493" t="s">
        <v>3452</v>
      </c>
      <c r="H318" s="3493">
        <v>71652.91</v>
      </c>
      <c r="I318" s="3354">
        <v>58334.3</v>
      </c>
      <c r="J318" s="3354">
        <v>12400.55</v>
      </c>
      <c r="K318" s="3354">
        <v>918.06</v>
      </c>
      <c r="L318" s="3583"/>
    </row>
    <row r="319" spans="1:12" ht="13.5" customHeight="1">
      <c r="A319" s="3493">
        <v>318</v>
      </c>
      <c r="B319" s="3611" t="s">
        <v>3788</v>
      </c>
      <c r="C319" s="3611" t="s">
        <v>3454</v>
      </c>
      <c r="D319" s="3600" t="s">
        <v>3875</v>
      </c>
      <c r="E319" s="3493" t="s">
        <v>3456</v>
      </c>
      <c r="F319" s="3493" t="s">
        <v>3097</v>
      </c>
      <c r="G319" s="3493" t="s">
        <v>3117</v>
      </c>
      <c r="H319" s="3493">
        <v>147.5</v>
      </c>
      <c r="I319" s="3493">
        <f>H319</f>
        <v>147.5</v>
      </c>
      <c r="J319" s="3354" t="s">
        <v>3866</v>
      </c>
      <c r="K319" s="3354" t="s">
        <v>3866</v>
      </c>
      <c r="L319" s="3583">
        <v>37234.080000000002</v>
      </c>
    </row>
    <row r="320" spans="1:12">
      <c r="A320" s="3493">
        <v>319</v>
      </c>
      <c r="B320" s="3589"/>
      <c r="C320" s="3589"/>
      <c r="D320" s="3600"/>
      <c r="E320" s="3493" t="s">
        <v>3456</v>
      </c>
      <c r="F320" s="3493" t="s">
        <v>3184</v>
      </c>
      <c r="G320" s="3493" t="s">
        <v>3117</v>
      </c>
      <c r="H320" s="3493">
        <v>33.869999999999997</v>
      </c>
      <c r="I320" s="3493">
        <f>H320</f>
        <v>33.869999999999997</v>
      </c>
      <c r="J320" s="3354" t="s">
        <v>3866</v>
      </c>
      <c r="K320" s="3354" t="s">
        <v>3866</v>
      </c>
      <c r="L320" s="3583"/>
    </row>
    <row r="321" spans="1:12">
      <c r="A321" s="3493">
        <v>320</v>
      </c>
      <c r="B321" s="3589"/>
      <c r="C321" s="3589"/>
      <c r="D321" s="3600"/>
      <c r="E321" s="3493" t="s">
        <v>3456</v>
      </c>
      <c r="F321" s="3493" t="s">
        <v>3185</v>
      </c>
      <c r="G321" s="3493" t="s">
        <v>3117</v>
      </c>
      <c r="H321" s="3493">
        <v>18.93</v>
      </c>
      <c r="I321" s="3493">
        <f>H321</f>
        <v>18.93</v>
      </c>
      <c r="J321" s="3354" t="s">
        <v>3866</v>
      </c>
      <c r="K321" s="3354" t="s">
        <v>3866</v>
      </c>
      <c r="L321" s="3583"/>
    </row>
    <row r="322" spans="1:12">
      <c r="A322" s="3493">
        <v>321</v>
      </c>
      <c r="B322" s="3589"/>
      <c r="C322" s="3589"/>
      <c r="D322" s="3600"/>
      <c r="E322" s="3493" t="s">
        <v>3791</v>
      </c>
      <c r="F322" s="3493" t="s">
        <v>3304</v>
      </c>
      <c r="G322" s="3493" t="s">
        <v>3793</v>
      </c>
      <c r="H322" s="3493">
        <v>234.11</v>
      </c>
      <c r="I322" s="3493">
        <f>H322</f>
        <v>234.11</v>
      </c>
      <c r="J322" s="3354" t="s">
        <v>3866</v>
      </c>
      <c r="K322" s="3354" t="s">
        <v>3866</v>
      </c>
      <c r="L322" s="3583"/>
    </row>
    <row r="323" spans="1:12">
      <c r="A323" s="3493">
        <v>322</v>
      </c>
      <c r="B323" s="3589"/>
      <c r="C323" s="3589"/>
      <c r="D323" s="3601"/>
      <c r="E323" s="3493" t="s">
        <v>3796</v>
      </c>
      <c r="F323" s="3493" t="s">
        <v>3797</v>
      </c>
      <c r="G323" s="3493" t="s">
        <v>3798</v>
      </c>
      <c r="H323" s="3493">
        <v>357.3</v>
      </c>
      <c r="I323" s="3354">
        <v>251.44</v>
      </c>
      <c r="J323" s="3354">
        <v>105.86</v>
      </c>
      <c r="K323" s="3354" t="s">
        <v>3866</v>
      </c>
      <c r="L323" s="3583"/>
    </row>
    <row r="324" spans="1:12">
      <c r="A324" s="3493">
        <v>323</v>
      </c>
      <c r="B324" s="3589"/>
      <c r="C324" s="3589"/>
      <c r="D324" s="3600"/>
      <c r="E324" s="3493" t="s">
        <v>3796</v>
      </c>
      <c r="F324" s="3493" t="s">
        <v>3799</v>
      </c>
      <c r="G324" s="3493" t="s">
        <v>3798</v>
      </c>
      <c r="H324" s="3493">
        <v>92.89</v>
      </c>
      <c r="I324" s="3354">
        <f>H324</f>
        <v>92.89</v>
      </c>
      <c r="J324" s="3354" t="s">
        <v>3866</v>
      </c>
      <c r="K324" s="3354" t="s">
        <v>3866</v>
      </c>
      <c r="L324" s="3583"/>
    </row>
    <row r="325" spans="1:12">
      <c r="A325" s="3493">
        <v>324</v>
      </c>
      <c r="B325" s="3589"/>
      <c r="C325" s="3589"/>
      <c r="D325" s="3600"/>
      <c r="E325" s="3493" t="s">
        <v>3456</v>
      </c>
      <c r="F325" s="3493" t="s">
        <v>3317</v>
      </c>
      <c r="G325" s="3493" t="s">
        <v>3117</v>
      </c>
      <c r="H325" s="3493">
        <v>49.37</v>
      </c>
      <c r="I325" s="3354">
        <f>H325</f>
        <v>49.37</v>
      </c>
      <c r="J325" s="3354" t="s">
        <v>3866</v>
      </c>
      <c r="K325" s="3354" t="s">
        <v>3866</v>
      </c>
      <c r="L325" s="3583"/>
    </row>
    <row r="326" spans="1:12">
      <c r="A326" s="3493">
        <v>325</v>
      </c>
      <c r="B326" s="3589"/>
      <c r="C326" s="3589"/>
      <c r="D326" s="3600"/>
      <c r="E326" s="3493" t="s">
        <v>3456</v>
      </c>
      <c r="F326" s="3493" t="s">
        <v>3318</v>
      </c>
      <c r="G326" s="3493" t="s">
        <v>3117</v>
      </c>
      <c r="H326" s="3493">
        <v>39.46</v>
      </c>
      <c r="I326" s="3493">
        <f t="shared" ref="I326:I336" si="13">H326</f>
        <v>39.46</v>
      </c>
      <c r="J326" s="3354" t="s">
        <v>3866</v>
      </c>
      <c r="K326" s="3354" t="s">
        <v>3866</v>
      </c>
      <c r="L326" s="3583"/>
    </row>
    <row r="327" spans="1:12">
      <c r="A327" s="3493">
        <v>326</v>
      </c>
      <c r="B327" s="3589"/>
      <c r="C327" s="3589"/>
      <c r="D327" s="3600"/>
      <c r="E327" s="3493" t="s">
        <v>3456</v>
      </c>
      <c r="F327" s="3493" t="s">
        <v>3116</v>
      </c>
      <c r="G327" s="3493" t="s">
        <v>3117</v>
      </c>
      <c r="H327" s="3493">
        <v>158.56</v>
      </c>
      <c r="I327" s="3493">
        <f t="shared" si="13"/>
        <v>158.56</v>
      </c>
      <c r="J327" s="3354" t="s">
        <v>3866</v>
      </c>
      <c r="K327" s="3354" t="s">
        <v>3866</v>
      </c>
      <c r="L327" s="3583"/>
    </row>
    <row r="328" spans="1:12">
      <c r="A328" s="3493">
        <v>327</v>
      </c>
      <c r="B328" s="3589"/>
      <c r="C328" s="3589"/>
      <c r="D328" s="3600"/>
      <c r="E328" s="3493" t="s">
        <v>3456</v>
      </c>
      <c r="F328" s="3493" t="s">
        <v>3118</v>
      </c>
      <c r="G328" s="3493" t="s">
        <v>3117</v>
      </c>
      <c r="H328" s="3493">
        <v>42.04</v>
      </c>
      <c r="I328" s="3493">
        <f t="shared" si="13"/>
        <v>42.04</v>
      </c>
      <c r="J328" s="3354" t="s">
        <v>3866</v>
      </c>
      <c r="K328" s="3354" t="s">
        <v>3866</v>
      </c>
      <c r="L328" s="3583"/>
    </row>
    <row r="329" spans="1:12">
      <c r="A329" s="3493">
        <v>328</v>
      </c>
      <c r="B329" s="3589"/>
      <c r="C329" s="3589"/>
      <c r="D329" s="3600"/>
      <c r="E329" s="3493" t="s">
        <v>3456</v>
      </c>
      <c r="F329" s="3493" t="s">
        <v>3321</v>
      </c>
      <c r="G329" s="3493" t="s">
        <v>3117</v>
      </c>
      <c r="H329" s="3493">
        <v>41.63</v>
      </c>
      <c r="I329" s="3493">
        <f t="shared" si="13"/>
        <v>41.63</v>
      </c>
      <c r="J329" s="3354" t="s">
        <v>3866</v>
      </c>
      <c r="K329" s="3354" t="s">
        <v>3866</v>
      </c>
      <c r="L329" s="3583"/>
    </row>
    <row r="330" spans="1:12">
      <c r="A330" s="3493">
        <v>329</v>
      </c>
      <c r="B330" s="3589"/>
      <c r="C330" s="3589"/>
      <c r="D330" s="3600"/>
      <c r="E330" s="3493" t="s">
        <v>3456</v>
      </c>
      <c r="F330" s="3493" t="s">
        <v>3458</v>
      </c>
      <c r="G330" s="3493" t="s">
        <v>3117</v>
      </c>
      <c r="H330" s="3493">
        <v>96.94</v>
      </c>
      <c r="I330" s="3493">
        <f t="shared" si="13"/>
        <v>96.94</v>
      </c>
      <c r="J330" s="3354" t="s">
        <v>3866</v>
      </c>
      <c r="K330" s="3354" t="s">
        <v>3866</v>
      </c>
      <c r="L330" s="3583"/>
    </row>
    <row r="331" spans="1:12">
      <c r="A331" s="3493">
        <v>330</v>
      </c>
      <c r="B331" s="3589"/>
      <c r="C331" s="3589"/>
      <c r="D331" s="3600"/>
      <c r="E331" s="3493" t="s">
        <v>3456</v>
      </c>
      <c r="F331" s="3493" t="s">
        <v>3459</v>
      </c>
      <c r="G331" s="3493" t="s">
        <v>3117</v>
      </c>
      <c r="H331" s="3493">
        <v>20.420000000000002</v>
      </c>
      <c r="I331" s="3493">
        <f t="shared" si="13"/>
        <v>20.420000000000002</v>
      </c>
      <c r="J331" s="3354" t="s">
        <v>3866</v>
      </c>
      <c r="K331" s="3354" t="s">
        <v>3866</v>
      </c>
      <c r="L331" s="3583"/>
    </row>
    <row r="332" spans="1:12">
      <c r="A332" s="3493">
        <v>331</v>
      </c>
      <c r="B332" s="3589"/>
      <c r="C332" s="3589"/>
      <c r="D332" s="3600"/>
      <c r="E332" s="3493" t="s">
        <v>3456</v>
      </c>
      <c r="F332" s="3493" t="s">
        <v>3800</v>
      </c>
      <c r="G332" s="3493" t="s">
        <v>3117</v>
      </c>
      <c r="H332" s="3493">
        <v>30.16</v>
      </c>
      <c r="I332" s="3493">
        <f t="shared" si="13"/>
        <v>30.16</v>
      </c>
      <c r="J332" s="3354" t="s">
        <v>3866</v>
      </c>
      <c r="K332" s="3354" t="s">
        <v>3866</v>
      </c>
      <c r="L332" s="3583"/>
    </row>
    <row r="333" spans="1:12">
      <c r="A333" s="3493">
        <v>332</v>
      </c>
      <c r="B333" s="3589"/>
      <c r="C333" s="3589"/>
      <c r="D333" s="3600"/>
      <c r="E333" s="3493" t="s">
        <v>3456</v>
      </c>
      <c r="F333" s="3493" t="s">
        <v>3460</v>
      </c>
      <c r="G333" s="3493" t="s">
        <v>3117</v>
      </c>
      <c r="H333" s="3493">
        <v>132</v>
      </c>
      <c r="I333" s="3493">
        <f t="shared" si="13"/>
        <v>132</v>
      </c>
      <c r="J333" s="3354" t="s">
        <v>3866</v>
      </c>
      <c r="K333" s="3354" t="s">
        <v>3866</v>
      </c>
      <c r="L333" s="3583"/>
    </row>
    <row r="334" spans="1:12">
      <c r="A334" s="3493">
        <v>333</v>
      </c>
      <c r="B334" s="3589"/>
      <c r="C334" s="3589"/>
      <c r="D334" s="3600"/>
      <c r="E334" s="3493" t="s">
        <v>3456</v>
      </c>
      <c r="F334" s="3493" t="s">
        <v>3121</v>
      </c>
      <c r="G334" s="3493" t="s">
        <v>3801</v>
      </c>
      <c r="H334" s="3493">
        <v>403.44</v>
      </c>
      <c r="I334" s="3493">
        <f t="shared" si="13"/>
        <v>403.44</v>
      </c>
      <c r="J334" s="3354" t="s">
        <v>3866</v>
      </c>
      <c r="K334" s="3354" t="s">
        <v>3866</v>
      </c>
      <c r="L334" s="3583"/>
    </row>
    <row r="335" spans="1:12">
      <c r="A335" s="3493">
        <v>334</v>
      </c>
      <c r="B335" s="3589"/>
      <c r="C335" s="3589"/>
      <c r="D335" s="3600"/>
      <c r="E335" s="3493" t="s">
        <v>3456</v>
      </c>
      <c r="F335" s="3493" t="s">
        <v>3200</v>
      </c>
      <c r="G335" s="3493" t="s">
        <v>3802</v>
      </c>
      <c r="H335" s="3493">
        <v>184.8</v>
      </c>
      <c r="I335" s="3493">
        <f t="shared" si="13"/>
        <v>184.8</v>
      </c>
      <c r="J335" s="3354" t="s">
        <v>3866</v>
      </c>
      <c r="K335" s="3354" t="s">
        <v>3866</v>
      </c>
      <c r="L335" s="3583"/>
    </row>
    <row r="336" spans="1:12">
      <c r="A336" s="3493">
        <v>335</v>
      </c>
      <c r="B336" s="3589"/>
      <c r="C336" s="3589"/>
      <c r="D336" s="3600"/>
      <c r="E336" s="3493" t="s">
        <v>3456</v>
      </c>
      <c r="F336" s="3493" t="s">
        <v>3463</v>
      </c>
      <c r="G336" s="3493" t="s">
        <v>3802</v>
      </c>
      <c r="H336" s="3493">
        <v>180.59</v>
      </c>
      <c r="I336" s="3493">
        <f t="shared" si="13"/>
        <v>180.59</v>
      </c>
      <c r="J336" s="3354" t="s">
        <v>3866</v>
      </c>
      <c r="K336" s="3354" t="s">
        <v>3866</v>
      </c>
      <c r="L336" s="3583"/>
    </row>
    <row r="337" spans="1:12">
      <c r="A337" s="3493">
        <v>336</v>
      </c>
      <c r="B337" s="3589"/>
      <c r="C337" s="3589"/>
      <c r="D337" s="3601"/>
      <c r="E337" s="3493" t="s">
        <v>3456</v>
      </c>
      <c r="F337" s="3493" t="s">
        <v>3803</v>
      </c>
      <c r="G337" s="3493" t="s">
        <v>3804</v>
      </c>
      <c r="H337" s="3493">
        <v>24172.17</v>
      </c>
      <c r="I337" s="3354">
        <v>16978.080000000002</v>
      </c>
      <c r="J337" s="3354">
        <v>7194.09</v>
      </c>
      <c r="K337" s="3354" t="s">
        <v>3866</v>
      </c>
      <c r="L337" s="3583"/>
    </row>
    <row r="338" spans="1:12">
      <c r="A338" s="3493">
        <v>337</v>
      </c>
      <c r="B338" s="3589"/>
      <c r="C338" s="3589"/>
      <c r="D338" s="3600"/>
      <c r="E338" s="3493" t="s">
        <v>3456</v>
      </c>
      <c r="F338" s="3493" t="s">
        <v>3205</v>
      </c>
      <c r="G338" s="3493" t="s">
        <v>3465</v>
      </c>
      <c r="H338" s="3493">
        <v>334.82</v>
      </c>
      <c r="I338" s="3493">
        <f t="shared" ref="I338:I362" si="14">H338</f>
        <v>334.82</v>
      </c>
      <c r="J338" s="3354" t="s">
        <v>3866</v>
      </c>
      <c r="K338" s="3354" t="s">
        <v>3866</v>
      </c>
      <c r="L338" s="3583"/>
    </row>
    <row r="339" spans="1:12">
      <c r="A339" s="3493">
        <v>338</v>
      </c>
      <c r="B339" s="3589"/>
      <c r="C339" s="3589"/>
      <c r="D339" s="3600"/>
      <c r="E339" s="3493" t="s">
        <v>3456</v>
      </c>
      <c r="F339" s="3493" t="s">
        <v>3227</v>
      </c>
      <c r="G339" s="3493" t="s">
        <v>3183</v>
      </c>
      <c r="H339" s="3493">
        <v>1230.54</v>
      </c>
      <c r="I339" s="3493">
        <f t="shared" si="14"/>
        <v>1230.54</v>
      </c>
      <c r="J339" s="3354" t="s">
        <v>3866</v>
      </c>
      <c r="K339" s="3354" t="s">
        <v>3866</v>
      </c>
      <c r="L339" s="3583"/>
    </row>
    <row r="340" spans="1:12">
      <c r="A340" s="3493">
        <v>339</v>
      </c>
      <c r="B340" s="3589"/>
      <c r="C340" s="3589"/>
      <c r="D340" s="3600"/>
      <c r="E340" s="3493" t="s">
        <v>3456</v>
      </c>
      <c r="F340" s="3493" t="s">
        <v>3127</v>
      </c>
      <c r="G340" s="3493" t="s">
        <v>3442</v>
      </c>
      <c r="H340" s="3493">
        <v>90</v>
      </c>
      <c r="I340" s="3493">
        <f t="shared" si="14"/>
        <v>90</v>
      </c>
      <c r="J340" s="3354" t="s">
        <v>3866</v>
      </c>
      <c r="K340" s="3354" t="s">
        <v>3866</v>
      </c>
      <c r="L340" s="3583"/>
    </row>
    <row r="341" spans="1:12">
      <c r="A341" s="3493">
        <v>340</v>
      </c>
      <c r="B341" s="3589"/>
      <c r="C341" s="3589"/>
      <c r="D341" s="3600"/>
      <c r="E341" s="3493" t="s">
        <v>3456</v>
      </c>
      <c r="F341" s="3493" t="s">
        <v>3129</v>
      </c>
      <c r="G341" s="3493" t="s">
        <v>3288</v>
      </c>
      <c r="H341" s="3493">
        <v>70.7</v>
      </c>
      <c r="I341" s="3493">
        <f t="shared" si="14"/>
        <v>70.7</v>
      </c>
      <c r="J341" s="3354" t="s">
        <v>3866</v>
      </c>
      <c r="K341" s="3354" t="s">
        <v>3866</v>
      </c>
      <c r="L341" s="3583"/>
    </row>
    <row r="342" spans="1:12">
      <c r="A342" s="3493">
        <v>341</v>
      </c>
      <c r="B342" s="3589"/>
      <c r="C342" s="3589"/>
      <c r="D342" s="3600"/>
      <c r="E342" s="3493" t="s">
        <v>3456</v>
      </c>
      <c r="F342" s="3493" t="s">
        <v>3467</v>
      </c>
      <c r="G342" s="3493" t="s">
        <v>3288</v>
      </c>
      <c r="H342" s="3493">
        <v>28.69</v>
      </c>
      <c r="I342" s="3493">
        <f t="shared" si="14"/>
        <v>28.69</v>
      </c>
      <c r="J342" s="3354" t="s">
        <v>3866</v>
      </c>
      <c r="K342" s="3354" t="s">
        <v>3866</v>
      </c>
      <c r="L342" s="3583"/>
    </row>
    <row r="343" spans="1:12">
      <c r="A343" s="3493">
        <v>342</v>
      </c>
      <c r="B343" s="3589"/>
      <c r="C343" s="3589"/>
      <c r="D343" s="3600"/>
      <c r="E343" s="3493" t="s">
        <v>3456</v>
      </c>
      <c r="F343" s="3493" t="s">
        <v>3344</v>
      </c>
      <c r="G343" s="3493" t="s">
        <v>3288</v>
      </c>
      <c r="H343" s="3493">
        <v>28.32</v>
      </c>
      <c r="I343" s="3493">
        <f t="shared" si="14"/>
        <v>28.32</v>
      </c>
      <c r="J343" s="3354" t="s">
        <v>3866</v>
      </c>
      <c r="K343" s="3354" t="s">
        <v>3866</v>
      </c>
      <c r="L343" s="3583"/>
    </row>
    <row r="344" spans="1:12">
      <c r="A344" s="3493">
        <v>343</v>
      </c>
      <c r="B344" s="3589"/>
      <c r="C344" s="3589"/>
      <c r="D344" s="3600"/>
      <c r="E344" s="3493" t="s">
        <v>3456</v>
      </c>
      <c r="F344" s="3493" t="s">
        <v>3133</v>
      </c>
      <c r="G344" s="3493" t="s">
        <v>3288</v>
      </c>
      <c r="H344" s="3493">
        <v>37.44</v>
      </c>
      <c r="I344" s="3493">
        <f t="shared" si="14"/>
        <v>37.44</v>
      </c>
      <c r="J344" s="3354" t="s">
        <v>3866</v>
      </c>
      <c r="K344" s="3354" t="s">
        <v>3866</v>
      </c>
      <c r="L344" s="3583"/>
    </row>
    <row r="345" spans="1:12">
      <c r="A345" s="3493">
        <v>344</v>
      </c>
      <c r="B345" s="3589"/>
      <c r="C345" s="3589"/>
      <c r="D345" s="3600"/>
      <c r="E345" s="3493" t="s">
        <v>3456</v>
      </c>
      <c r="F345" s="3493" t="s">
        <v>3135</v>
      </c>
      <c r="G345" s="3493" t="s">
        <v>3139</v>
      </c>
      <c r="H345" s="3493">
        <v>516.89</v>
      </c>
      <c r="I345" s="3493">
        <f t="shared" si="14"/>
        <v>516.89</v>
      </c>
      <c r="J345" s="3354" t="s">
        <v>3866</v>
      </c>
      <c r="K345" s="3354" t="s">
        <v>3866</v>
      </c>
      <c r="L345" s="3583"/>
    </row>
    <row r="346" spans="1:12">
      <c r="A346" s="3493">
        <v>345</v>
      </c>
      <c r="B346" s="3589"/>
      <c r="C346" s="3589"/>
      <c r="D346" s="3600"/>
      <c r="E346" s="3493" t="s">
        <v>3456</v>
      </c>
      <c r="F346" s="3493" t="s">
        <v>3136</v>
      </c>
      <c r="G346" s="3493" t="s">
        <v>3139</v>
      </c>
      <c r="H346" s="3493">
        <v>481.42</v>
      </c>
      <c r="I346" s="3493">
        <f t="shared" si="14"/>
        <v>481.42</v>
      </c>
      <c r="J346" s="3354" t="s">
        <v>3866</v>
      </c>
      <c r="K346" s="3354" t="s">
        <v>3866</v>
      </c>
      <c r="L346" s="3583"/>
    </row>
    <row r="347" spans="1:12">
      <c r="A347" s="3493">
        <v>346</v>
      </c>
      <c r="B347" s="3589"/>
      <c r="C347" s="3589"/>
      <c r="D347" s="3600"/>
      <c r="E347" s="3493" t="s">
        <v>3456</v>
      </c>
      <c r="F347" s="3493" t="s">
        <v>3137</v>
      </c>
      <c r="G347" s="3493" t="s">
        <v>3139</v>
      </c>
      <c r="H347" s="3493">
        <v>223.49</v>
      </c>
      <c r="I347" s="3493">
        <f t="shared" si="14"/>
        <v>223.49</v>
      </c>
      <c r="J347" s="3354" t="s">
        <v>3866</v>
      </c>
      <c r="K347" s="3354" t="s">
        <v>3866</v>
      </c>
      <c r="L347" s="3583"/>
    </row>
    <row r="348" spans="1:12">
      <c r="A348" s="3493">
        <v>347</v>
      </c>
      <c r="B348" s="3589"/>
      <c r="C348" s="3589"/>
      <c r="D348" s="3600"/>
      <c r="E348" s="3493" t="s">
        <v>3456</v>
      </c>
      <c r="F348" s="3493" t="s">
        <v>3345</v>
      </c>
      <c r="G348" s="3493" t="s">
        <v>3139</v>
      </c>
      <c r="H348" s="3493">
        <v>227.92</v>
      </c>
      <c r="I348" s="3493">
        <f t="shared" si="14"/>
        <v>227.92</v>
      </c>
      <c r="J348" s="3354" t="s">
        <v>3866</v>
      </c>
      <c r="K348" s="3354" t="s">
        <v>3866</v>
      </c>
      <c r="L348" s="3583"/>
    </row>
    <row r="349" spans="1:12">
      <c r="A349" s="3493">
        <v>348</v>
      </c>
      <c r="B349" s="3589"/>
      <c r="C349" s="3589"/>
      <c r="D349" s="3600"/>
      <c r="E349" s="3493" t="s">
        <v>3456</v>
      </c>
      <c r="F349" s="3493" t="s">
        <v>3140</v>
      </c>
      <c r="G349" s="3493" t="s">
        <v>3139</v>
      </c>
      <c r="H349" s="3493">
        <v>319.87</v>
      </c>
      <c r="I349" s="3493">
        <f t="shared" si="14"/>
        <v>319.87</v>
      </c>
      <c r="J349" s="3354" t="s">
        <v>3866</v>
      </c>
      <c r="K349" s="3354" t="s">
        <v>3866</v>
      </c>
      <c r="L349" s="3583"/>
    </row>
    <row r="350" spans="1:12">
      <c r="A350" s="3493">
        <v>349</v>
      </c>
      <c r="B350" s="3589"/>
      <c r="C350" s="3589"/>
      <c r="D350" s="3600"/>
      <c r="E350" s="3493" t="s">
        <v>3456</v>
      </c>
      <c r="F350" s="3493" t="s">
        <v>3242</v>
      </c>
      <c r="G350" s="3493" t="s">
        <v>3139</v>
      </c>
      <c r="H350" s="3493">
        <v>48.96</v>
      </c>
      <c r="I350" s="3493">
        <f t="shared" si="14"/>
        <v>48.96</v>
      </c>
      <c r="J350" s="3354" t="s">
        <v>3866</v>
      </c>
      <c r="K350" s="3354" t="s">
        <v>3866</v>
      </c>
      <c r="L350" s="3583"/>
    </row>
    <row r="351" spans="1:12">
      <c r="A351" s="3493">
        <v>350</v>
      </c>
      <c r="B351" s="3589"/>
      <c r="C351" s="3589"/>
      <c r="D351" s="3600"/>
      <c r="E351" s="3493" t="s">
        <v>3456</v>
      </c>
      <c r="F351" s="3493" t="s">
        <v>3347</v>
      </c>
      <c r="G351" s="3493" t="s">
        <v>3139</v>
      </c>
      <c r="H351" s="3493">
        <v>72.08</v>
      </c>
      <c r="I351" s="3493">
        <f t="shared" si="14"/>
        <v>72.08</v>
      </c>
      <c r="J351" s="3354" t="s">
        <v>3866</v>
      </c>
      <c r="K351" s="3354" t="s">
        <v>3866</v>
      </c>
      <c r="L351" s="3583"/>
    </row>
    <row r="352" spans="1:12">
      <c r="A352" s="3493">
        <v>351</v>
      </c>
      <c r="B352" s="3589"/>
      <c r="C352" s="3589"/>
      <c r="D352" s="3600"/>
      <c r="E352" s="3493" t="s">
        <v>3456</v>
      </c>
      <c r="F352" s="3493" t="s">
        <v>3805</v>
      </c>
      <c r="G352" s="3493" t="s">
        <v>3139</v>
      </c>
      <c r="H352" s="3493">
        <v>341.94</v>
      </c>
      <c r="I352" s="3493">
        <f t="shared" si="14"/>
        <v>341.94</v>
      </c>
      <c r="J352" s="3354" t="s">
        <v>3866</v>
      </c>
      <c r="K352" s="3354" t="s">
        <v>3866</v>
      </c>
      <c r="L352" s="3583"/>
    </row>
    <row r="353" spans="1:12">
      <c r="A353" s="3493">
        <v>352</v>
      </c>
      <c r="B353" s="3589"/>
      <c r="C353" s="3589"/>
      <c r="D353" s="3600"/>
      <c r="E353" s="3493" t="s">
        <v>3456</v>
      </c>
      <c r="F353" s="3493" t="s">
        <v>3141</v>
      </c>
      <c r="G353" s="3493" t="s">
        <v>3139</v>
      </c>
      <c r="H353" s="3493">
        <v>62.75</v>
      </c>
      <c r="I353" s="3493">
        <f t="shared" si="14"/>
        <v>62.75</v>
      </c>
      <c r="J353" s="3354" t="s">
        <v>3866</v>
      </c>
      <c r="K353" s="3354" t="s">
        <v>3866</v>
      </c>
      <c r="L353" s="3583"/>
    </row>
    <row r="354" spans="1:12">
      <c r="A354" s="3493">
        <v>353</v>
      </c>
      <c r="B354" s="3589"/>
      <c r="C354" s="3589"/>
      <c r="D354" s="3600"/>
      <c r="E354" s="3493" t="s">
        <v>3456</v>
      </c>
      <c r="F354" s="3493" t="s">
        <v>3350</v>
      </c>
      <c r="G354" s="3493" t="s">
        <v>3139</v>
      </c>
      <c r="H354" s="3493">
        <v>43.67</v>
      </c>
      <c r="I354" s="3493">
        <f t="shared" si="14"/>
        <v>43.67</v>
      </c>
      <c r="J354" s="3354" t="s">
        <v>3866</v>
      </c>
      <c r="K354" s="3354" t="s">
        <v>3866</v>
      </c>
      <c r="L354" s="3583"/>
    </row>
    <row r="355" spans="1:12">
      <c r="A355" s="3493">
        <v>354</v>
      </c>
      <c r="B355" s="3589"/>
      <c r="C355" s="3589"/>
      <c r="D355" s="3600"/>
      <c r="E355" s="3493" t="s">
        <v>3456</v>
      </c>
      <c r="F355" s="3493" t="s">
        <v>3351</v>
      </c>
      <c r="G355" s="3493" t="s">
        <v>3139</v>
      </c>
      <c r="H355" s="3493">
        <v>18.25</v>
      </c>
      <c r="I355" s="3493">
        <f t="shared" si="14"/>
        <v>18.25</v>
      </c>
      <c r="J355" s="3354" t="s">
        <v>3866</v>
      </c>
      <c r="K355" s="3354" t="s">
        <v>3866</v>
      </c>
      <c r="L355" s="3583"/>
    </row>
    <row r="356" spans="1:12">
      <c r="A356" s="3493">
        <v>355</v>
      </c>
      <c r="B356" s="3589"/>
      <c r="C356" s="3589"/>
      <c r="D356" s="3600"/>
      <c r="E356" s="3493" t="s">
        <v>3456</v>
      </c>
      <c r="F356" s="3493" t="s">
        <v>3469</v>
      </c>
      <c r="G356" s="3493" t="s">
        <v>3139</v>
      </c>
      <c r="H356" s="3493">
        <v>393.7</v>
      </c>
      <c r="I356" s="3493">
        <f t="shared" si="14"/>
        <v>393.7</v>
      </c>
      <c r="J356" s="3354" t="s">
        <v>3866</v>
      </c>
      <c r="K356" s="3354" t="s">
        <v>3866</v>
      </c>
      <c r="L356" s="3583"/>
    </row>
    <row r="357" spans="1:12">
      <c r="A357" s="3493">
        <v>356</v>
      </c>
      <c r="B357" s="3589"/>
      <c r="C357" s="3589"/>
      <c r="D357" s="3600"/>
      <c r="E357" s="3493" t="s">
        <v>3456</v>
      </c>
      <c r="F357" s="3493" t="s">
        <v>3146</v>
      </c>
      <c r="G357" s="3493" t="s">
        <v>3139</v>
      </c>
      <c r="H357" s="3493">
        <v>15.64</v>
      </c>
      <c r="I357" s="3493">
        <f t="shared" si="14"/>
        <v>15.64</v>
      </c>
      <c r="J357" s="3354" t="s">
        <v>3866</v>
      </c>
      <c r="K357" s="3354" t="s">
        <v>3866</v>
      </c>
      <c r="L357" s="3583"/>
    </row>
    <row r="358" spans="1:12">
      <c r="A358" s="3493">
        <v>357</v>
      </c>
      <c r="B358" s="3589"/>
      <c r="C358" s="3589"/>
      <c r="D358" s="3600"/>
      <c r="E358" s="3493" t="s">
        <v>3456</v>
      </c>
      <c r="F358" s="3493" t="s">
        <v>3147</v>
      </c>
      <c r="G358" s="3493" t="s">
        <v>3139</v>
      </c>
      <c r="H358" s="3493">
        <v>61.98</v>
      </c>
      <c r="I358" s="3493">
        <f t="shared" si="14"/>
        <v>61.98</v>
      </c>
      <c r="J358" s="3354" t="s">
        <v>3866</v>
      </c>
      <c r="K358" s="3354" t="s">
        <v>3866</v>
      </c>
      <c r="L358" s="3583"/>
    </row>
    <row r="359" spans="1:12">
      <c r="A359" s="3493">
        <v>358</v>
      </c>
      <c r="B359" s="3589"/>
      <c r="C359" s="3589"/>
      <c r="D359" s="3600"/>
      <c r="E359" s="3493" t="s">
        <v>3456</v>
      </c>
      <c r="F359" s="3493" t="s">
        <v>3470</v>
      </c>
      <c r="G359" s="3493" t="s">
        <v>3139</v>
      </c>
      <c r="H359" s="3493">
        <v>306.58999999999997</v>
      </c>
      <c r="I359" s="3493">
        <f t="shared" si="14"/>
        <v>306.58999999999997</v>
      </c>
      <c r="J359" s="3354" t="s">
        <v>3866</v>
      </c>
      <c r="K359" s="3354" t="s">
        <v>3866</v>
      </c>
      <c r="L359" s="3583"/>
    </row>
    <row r="360" spans="1:12">
      <c r="A360" s="3493">
        <v>359</v>
      </c>
      <c r="B360" s="3589"/>
      <c r="C360" s="3589"/>
      <c r="D360" s="3600"/>
      <c r="E360" s="3493" t="s">
        <v>3456</v>
      </c>
      <c r="F360" s="3493" t="s">
        <v>3806</v>
      </c>
      <c r="G360" s="3493" t="s">
        <v>3139</v>
      </c>
      <c r="H360" s="3493">
        <v>34.99</v>
      </c>
      <c r="I360" s="3493">
        <f t="shared" si="14"/>
        <v>34.99</v>
      </c>
      <c r="J360" s="3354" t="s">
        <v>3866</v>
      </c>
      <c r="K360" s="3354" t="s">
        <v>3866</v>
      </c>
      <c r="L360" s="3583"/>
    </row>
    <row r="361" spans="1:12">
      <c r="A361" s="3493">
        <v>360</v>
      </c>
      <c r="B361" s="3589"/>
      <c r="C361" s="3589"/>
      <c r="D361" s="3600"/>
      <c r="E361" s="3493" t="s">
        <v>3456</v>
      </c>
      <c r="F361" s="3493" t="s">
        <v>3807</v>
      </c>
      <c r="G361" s="3493" t="s">
        <v>3139</v>
      </c>
      <c r="H361" s="3493">
        <v>286.06</v>
      </c>
      <c r="I361" s="3493">
        <f t="shared" si="14"/>
        <v>286.06</v>
      </c>
      <c r="J361" s="3354" t="s">
        <v>3866</v>
      </c>
      <c r="K361" s="3354" t="s">
        <v>3866</v>
      </c>
      <c r="L361" s="3583"/>
    </row>
    <row r="362" spans="1:12">
      <c r="A362" s="3493">
        <v>361</v>
      </c>
      <c r="B362" s="3589"/>
      <c r="C362" s="3589"/>
      <c r="D362" s="3600"/>
      <c r="E362" s="3493" t="s">
        <v>3456</v>
      </c>
      <c r="F362" s="3493" t="s">
        <v>3150</v>
      </c>
      <c r="G362" s="3493" t="s">
        <v>3139</v>
      </c>
      <c r="H362" s="3493">
        <v>63.51</v>
      </c>
      <c r="I362" s="3493">
        <f t="shared" si="14"/>
        <v>63.51</v>
      </c>
      <c r="J362" s="3354" t="s">
        <v>3866</v>
      </c>
      <c r="K362" s="3354" t="s">
        <v>3866</v>
      </c>
      <c r="L362" s="3583"/>
    </row>
    <row r="363" spans="1:12">
      <c r="A363" s="3493">
        <v>362</v>
      </c>
      <c r="B363" s="3589"/>
      <c r="C363" s="3589"/>
      <c r="D363" s="3601"/>
      <c r="E363" s="3493" t="s">
        <v>3456</v>
      </c>
      <c r="F363" s="3493" t="s">
        <v>3151</v>
      </c>
      <c r="G363" s="3493" t="s">
        <v>3139</v>
      </c>
      <c r="H363" s="3493">
        <v>1773.15</v>
      </c>
      <c r="I363" s="3354">
        <v>1272.24</v>
      </c>
      <c r="J363" s="3354">
        <v>500.91</v>
      </c>
      <c r="K363" s="3354" t="s">
        <v>3866</v>
      </c>
      <c r="L363" s="3583"/>
    </row>
    <row r="364" spans="1:12">
      <c r="A364" s="3493">
        <v>363</v>
      </c>
      <c r="B364" s="3589"/>
      <c r="C364" s="3589"/>
      <c r="D364" s="3600"/>
      <c r="E364" s="3493" t="s">
        <v>3456</v>
      </c>
      <c r="F364" s="3493" t="s">
        <v>3152</v>
      </c>
      <c r="G364" s="3493" t="s">
        <v>3139</v>
      </c>
      <c r="H364" s="3493">
        <v>11.97</v>
      </c>
      <c r="I364" s="3493">
        <f t="shared" ref="I364:I376" si="15">H364</f>
        <v>11.97</v>
      </c>
      <c r="J364" s="3354" t="s">
        <v>3866</v>
      </c>
      <c r="K364" s="3354" t="s">
        <v>3866</v>
      </c>
      <c r="L364" s="3583"/>
    </row>
    <row r="365" spans="1:12">
      <c r="A365" s="3493">
        <v>364</v>
      </c>
      <c r="B365" s="3589"/>
      <c r="C365" s="3589"/>
      <c r="D365" s="3600"/>
      <c r="E365" s="3493" t="s">
        <v>3791</v>
      </c>
      <c r="F365" s="3493" t="s">
        <v>3808</v>
      </c>
      <c r="G365" s="3493" t="s">
        <v>3809</v>
      </c>
      <c r="H365" s="3493">
        <v>97.82</v>
      </c>
      <c r="I365" s="3493">
        <f t="shared" si="15"/>
        <v>97.82</v>
      </c>
      <c r="J365" s="3354" t="s">
        <v>3866</v>
      </c>
      <c r="K365" s="3354" t="s">
        <v>3866</v>
      </c>
      <c r="L365" s="3583"/>
    </row>
    <row r="366" spans="1:12">
      <c r="A366" s="3493">
        <v>365</v>
      </c>
      <c r="B366" s="3589"/>
      <c r="C366" s="3589"/>
      <c r="D366" s="3600"/>
      <c r="E366" s="3493" t="s">
        <v>3791</v>
      </c>
      <c r="F366" s="3493" t="s">
        <v>3810</v>
      </c>
      <c r="G366" s="3493" t="s">
        <v>3809</v>
      </c>
      <c r="H366" s="3493">
        <v>31.68</v>
      </c>
      <c r="I366" s="3493">
        <f t="shared" si="15"/>
        <v>31.68</v>
      </c>
      <c r="J366" s="3354" t="s">
        <v>3866</v>
      </c>
      <c r="K366" s="3354" t="s">
        <v>3866</v>
      </c>
      <c r="L366" s="3583"/>
    </row>
    <row r="367" spans="1:12">
      <c r="A367" s="3493">
        <v>366</v>
      </c>
      <c r="B367" s="3589"/>
      <c r="C367" s="3589"/>
      <c r="D367" s="3600"/>
      <c r="E367" s="3493" t="s">
        <v>3791</v>
      </c>
      <c r="F367" s="3493" t="s">
        <v>3811</v>
      </c>
      <c r="G367" s="3493" t="s">
        <v>3809</v>
      </c>
      <c r="H367" s="3493">
        <v>40.700000000000003</v>
      </c>
      <c r="I367" s="3493">
        <f t="shared" si="15"/>
        <v>40.700000000000003</v>
      </c>
      <c r="J367" s="3354" t="s">
        <v>3866</v>
      </c>
      <c r="K367" s="3354" t="s">
        <v>3866</v>
      </c>
      <c r="L367" s="3583"/>
    </row>
    <row r="368" spans="1:12">
      <c r="A368" s="3493">
        <v>367</v>
      </c>
      <c r="B368" s="3589"/>
      <c r="C368" s="3589"/>
      <c r="D368" s="3600"/>
      <c r="E368" s="3493" t="s">
        <v>3791</v>
      </c>
      <c r="F368" s="3493" t="s">
        <v>3812</v>
      </c>
      <c r="G368" s="3493" t="s">
        <v>3809</v>
      </c>
      <c r="H368" s="3493">
        <v>86.24</v>
      </c>
      <c r="I368" s="3493">
        <f t="shared" si="15"/>
        <v>86.24</v>
      </c>
      <c r="J368" s="3354" t="s">
        <v>3866</v>
      </c>
      <c r="K368" s="3354" t="s">
        <v>3866</v>
      </c>
      <c r="L368" s="3583"/>
    </row>
    <row r="369" spans="1:12">
      <c r="A369" s="3493">
        <v>368</v>
      </c>
      <c r="B369" s="3589"/>
      <c r="C369" s="3589"/>
      <c r="D369" s="3600"/>
      <c r="E369" s="3493" t="s">
        <v>3791</v>
      </c>
      <c r="F369" s="3493" t="s">
        <v>3813</v>
      </c>
      <c r="G369" s="3493" t="s">
        <v>3809</v>
      </c>
      <c r="H369" s="3493">
        <v>39.24</v>
      </c>
      <c r="I369" s="3493">
        <f t="shared" si="15"/>
        <v>39.24</v>
      </c>
      <c r="J369" s="3354" t="s">
        <v>3866</v>
      </c>
      <c r="K369" s="3354" t="s">
        <v>3866</v>
      </c>
      <c r="L369" s="3583"/>
    </row>
    <row r="370" spans="1:12">
      <c r="A370" s="3493">
        <v>369</v>
      </c>
      <c r="B370" s="3589"/>
      <c r="C370" s="3589"/>
      <c r="D370" s="3600"/>
      <c r="E370" s="3493" t="s">
        <v>3791</v>
      </c>
      <c r="F370" s="3493" t="s">
        <v>3814</v>
      </c>
      <c r="G370" s="3493" t="s">
        <v>3809</v>
      </c>
      <c r="H370" s="3493">
        <v>108.56</v>
      </c>
      <c r="I370" s="3493">
        <f t="shared" si="15"/>
        <v>108.56</v>
      </c>
      <c r="J370" s="3354" t="s">
        <v>3866</v>
      </c>
      <c r="K370" s="3354" t="s">
        <v>3866</v>
      </c>
      <c r="L370" s="3583"/>
    </row>
    <row r="371" spans="1:12">
      <c r="A371" s="3493">
        <v>370</v>
      </c>
      <c r="B371" s="3589"/>
      <c r="C371" s="3589"/>
      <c r="D371" s="3600"/>
      <c r="E371" s="3493" t="s">
        <v>3791</v>
      </c>
      <c r="F371" s="3493" t="s">
        <v>3272</v>
      </c>
      <c r="G371" s="3493" t="s">
        <v>3809</v>
      </c>
      <c r="H371" s="3493">
        <v>24.23</v>
      </c>
      <c r="I371" s="3493">
        <f t="shared" si="15"/>
        <v>24.23</v>
      </c>
      <c r="J371" s="3354" t="s">
        <v>3866</v>
      </c>
      <c r="K371" s="3354" t="s">
        <v>3866</v>
      </c>
      <c r="L371" s="3583"/>
    </row>
    <row r="372" spans="1:12">
      <c r="A372" s="3493">
        <v>371</v>
      </c>
      <c r="B372" s="3589"/>
      <c r="C372" s="3589"/>
      <c r="D372" s="3600"/>
      <c r="E372" s="3493" t="s">
        <v>3791</v>
      </c>
      <c r="F372" s="3493" t="s">
        <v>3474</v>
      </c>
      <c r="G372" s="3493" t="s">
        <v>3809</v>
      </c>
      <c r="H372" s="3493">
        <v>75.14</v>
      </c>
      <c r="I372" s="3493">
        <f t="shared" si="15"/>
        <v>75.14</v>
      </c>
      <c r="J372" s="3354" t="s">
        <v>3866</v>
      </c>
      <c r="K372" s="3354" t="s">
        <v>3866</v>
      </c>
      <c r="L372" s="3583"/>
    </row>
    <row r="373" spans="1:12">
      <c r="A373" s="3493">
        <v>372</v>
      </c>
      <c r="B373" s="3589"/>
      <c r="C373" s="3589"/>
      <c r="D373" s="3600"/>
      <c r="E373" s="3493" t="s">
        <v>3791</v>
      </c>
      <c r="F373" s="3493" t="s">
        <v>3475</v>
      </c>
      <c r="G373" s="3493" t="s">
        <v>3809</v>
      </c>
      <c r="H373" s="3493">
        <v>62.37</v>
      </c>
      <c r="I373" s="3493">
        <f t="shared" si="15"/>
        <v>62.37</v>
      </c>
      <c r="J373" s="3354" t="s">
        <v>3866</v>
      </c>
      <c r="K373" s="3354" t="s">
        <v>3866</v>
      </c>
      <c r="L373" s="3583"/>
    </row>
    <row r="374" spans="1:12">
      <c r="A374" s="3493">
        <v>373</v>
      </c>
      <c r="B374" s="3589"/>
      <c r="C374" s="3589"/>
      <c r="D374" s="3600"/>
      <c r="E374" s="3493" t="s">
        <v>3791</v>
      </c>
      <c r="F374" s="3493" t="s">
        <v>3476</v>
      </c>
      <c r="G374" s="3493" t="s">
        <v>3809</v>
      </c>
      <c r="H374" s="3493">
        <v>65.31</v>
      </c>
      <c r="I374" s="3493">
        <f t="shared" si="15"/>
        <v>65.31</v>
      </c>
      <c r="J374" s="3354" t="s">
        <v>3866</v>
      </c>
      <c r="K374" s="3354" t="s">
        <v>3866</v>
      </c>
      <c r="L374" s="3583"/>
    </row>
    <row r="375" spans="1:12">
      <c r="A375" s="3493">
        <v>374</v>
      </c>
      <c r="B375" s="3589"/>
      <c r="C375" s="3589"/>
      <c r="D375" s="3600"/>
      <c r="E375" s="3493" t="s">
        <v>3791</v>
      </c>
      <c r="F375" s="3493" t="s">
        <v>3477</v>
      </c>
      <c r="G375" s="3493" t="s">
        <v>3809</v>
      </c>
      <c r="H375" s="3493">
        <v>27.5</v>
      </c>
      <c r="I375" s="3493">
        <f t="shared" si="15"/>
        <v>27.5</v>
      </c>
      <c r="J375" s="3354" t="s">
        <v>3866</v>
      </c>
      <c r="K375" s="3354" t="s">
        <v>3866</v>
      </c>
      <c r="L375" s="3583"/>
    </row>
    <row r="376" spans="1:12">
      <c r="A376" s="3493">
        <v>375</v>
      </c>
      <c r="B376" s="3589"/>
      <c r="C376" s="3589"/>
      <c r="D376" s="3600"/>
      <c r="E376" s="3493" t="s">
        <v>3791</v>
      </c>
      <c r="F376" s="3493" t="s">
        <v>3816</v>
      </c>
      <c r="G376" s="3493" t="s">
        <v>3817</v>
      </c>
      <c r="H376" s="3493">
        <v>85.65</v>
      </c>
      <c r="I376" s="3493">
        <f t="shared" si="15"/>
        <v>85.65</v>
      </c>
      <c r="J376" s="3354" t="s">
        <v>3866</v>
      </c>
      <c r="K376" s="3354" t="s">
        <v>3866</v>
      </c>
      <c r="L376" s="3583"/>
    </row>
    <row r="377" spans="1:12">
      <c r="A377" s="3493">
        <v>376</v>
      </c>
      <c r="B377" s="3589"/>
      <c r="C377" s="3589"/>
      <c r="D377" s="3601"/>
      <c r="E377" s="3493" t="s">
        <v>3791</v>
      </c>
      <c r="F377" s="3493" t="s">
        <v>3818</v>
      </c>
      <c r="G377" s="3493" t="s">
        <v>3819</v>
      </c>
      <c r="H377" s="3493">
        <v>1859.18</v>
      </c>
      <c r="I377" s="3354">
        <v>1294.71</v>
      </c>
      <c r="J377" s="3354">
        <v>418.58</v>
      </c>
      <c r="K377" s="3354">
        <v>145.88999999999999</v>
      </c>
      <c r="L377" s="3583"/>
    </row>
    <row r="378" spans="1:12">
      <c r="A378" s="3493">
        <v>377</v>
      </c>
      <c r="B378" s="3589"/>
      <c r="C378" s="3589"/>
      <c r="D378" s="3600"/>
      <c r="E378" s="3493" t="s">
        <v>3791</v>
      </c>
      <c r="F378" s="3493" t="s">
        <v>3820</v>
      </c>
      <c r="G378" s="3493" t="s">
        <v>3821</v>
      </c>
      <c r="H378" s="3493">
        <v>222.41</v>
      </c>
      <c r="I378" s="3493">
        <f>H378</f>
        <v>222.41</v>
      </c>
      <c r="J378" s="3354" t="s">
        <v>3866</v>
      </c>
      <c r="K378" s="3354" t="s">
        <v>3866</v>
      </c>
      <c r="L378" s="3583"/>
    </row>
    <row r="379" spans="1:12">
      <c r="A379" s="3493">
        <v>378</v>
      </c>
      <c r="B379" s="3589"/>
      <c r="C379" s="3589"/>
      <c r="D379" s="3600"/>
      <c r="E379" s="3493" t="s">
        <v>3824</v>
      </c>
      <c r="F379" s="3493" t="s">
        <v>3825</v>
      </c>
      <c r="G379" s="3493" t="s">
        <v>3826</v>
      </c>
      <c r="H379" s="3493">
        <v>495.12</v>
      </c>
      <c r="I379" s="3493">
        <f>H379</f>
        <v>495.12</v>
      </c>
      <c r="J379" s="3354" t="s">
        <v>3866</v>
      </c>
      <c r="K379" s="3354" t="s">
        <v>3866</v>
      </c>
      <c r="L379" s="3583"/>
    </row>
    <row r="380" spans="1:12">
      <c r="A380" s="3493">
        <v>379</v>
      </c>
      <c r="B380" s="3589"/>
      <c r="C380" s="3589"/>
      <c r="D380" s="3600"/>
      <c r="E380" s="3493" t="s">
        <v>3829</v>
      </c>
      <c r="F380" s="3493" t="s">
        <v>3830</v>
      </c>
      <c r="G380" s="3493" t="s">
        <v>3831</v>
      </c>
      <c r="H380" s="3493">
        <v>784.52</v>
      </c>
      <c r="I380" s="3493">
        <f>H380</f>
        <v>784.52</v>
      </c>
      <c r="J380" s="3354" t="s">
        <v>3866</v>
      </c>
      <c r="K380" s="3354" t="s">
        <v>3866</v>
      </c>
      <c r="L380" s="3583"/>
    </row>
    <row r="381" spans="1:12">
      <c r="A381" s="3493">
        <v>380</v>
      </c>
      <c r="B381" s="3589"/>
      <c r="C381" s="3589"/>
      <c r="D381" s="3600"/>
      <c r="E381" s="3493" t="s">
        <v>3791</v>
      </c>
      <c r="F381" s="3493" t="s">
        <v>3832</v>
      </c>
      <c r="G381" s="3493" t="s">
        <v>3833</v>
      </c>
      <c r="H381" s="3493">
        <v>33.450000000000003</v>
      </c>
      <c r="I381" s="3493">
        <f>H381</f>
        <v>33.450000000000003</v>
      </c>
      <c r="J381" s="3354" t="s">
        <v>3866</v>
      </c>
      <c r="K381" s="3354" t="s">
        <v>3866</v>
      </c>
      <c r="L381" s="3583"/>
    </row>
    <row r="382" spans="1:12">
      <c r="A382" s="3493">
        <v>381</v>
      </c>
      <c r="B382" s="3589"/>
      <c r="C382" s="3589"/>
      <c r="D382" s="3601"/>
      <c r="E382" s="3493" t="s">
        <v>3796</v>
      </c>
      <c r="F382" s="3493" t="s">
        <v>3834</v>
      </c>
      <c r="G382" s="3493" t="s">
        <v>3835</v>
      </c>
      <c r="H382" s="3493">
        <v>1241.23</v>
      </c>
      <c r="I382" s="3354">
        <v>985.49</v>
      </c>
      <c r="J382" s="3354">
        <v>255.74</v>
      </c>
      <c r="K382" s="3354" t="s">
        <v>3866</v>
      </c>
      <c r="L382" s="3583"/>
    </row>
    <row r="383" spans="1:12">
      <c r="A383" s="3493">
        <v>382</v>
      </c>
      <c r="B383" s="3581"/>
      <c r="C383" s="3581"/>
      <c r="D383" s="3600"/>
      <c r="E383" s="3493" t="s">
        <v>3796</v>
      </c>
      <c r="F383" s="3493" t="s">
        <v>3836</v>
      </c>
      <c r="G383" s="3493" t="s">
        <v>3837</v>
      </c>
      <c r="H383" s="3493">
        <v>240.6</v>
      </c>
      <c r="I383" s="3493">
        <f>H383</f>
        <v>240.6</v>
      </c>
      <c r="J383" s="3354" t="s">
        <v>3866</v>
      </c>
      <c r="K383" s="3391" t="s">
        <v>3866</v>
      </c>
      <c r="L383" s="3583"/>
    </row>
    <row r="384" spans="1:12">
      <c r="A384" s="3585" t="s">
        <v>3487</v>
      </c>
      <c r="B384" s="3612"/>
      <c r="C384" s="3612"/>
      <c r="D384" s="3612"/>
      <c r="E384" s="3612"/>
      <c r="F384" s="3612"/>
      <c r="G384" s="3613"/>
      <c r="H384" s="3493">
        <f>SUM(H2:H383)</f>
        <v>326059.44999999984</v>
      </c>
      <c r="I384" s="3493">
        <f>SUM(I2:I383)</f>
        <v>271876.16999999981</v>
      </c>
      <c r="J384" s="3493">
        <f>SUM(J2:J383)</f>
        <v>51316.890000000007</v>
      </c>
      <c r="K384" s="3493">
        <f>SUM(K2:K383)</f>
        <v>2866.389999999999</v>
      </c>
      <c r="L384" s="3493">
        <v>346512.69</v>
      </c>
    </row>
    <row r="389" spans="4:4">
      <c r="D389" s="3499"/>
    </row>
    <row r="390" spans="4:4">
      <c r="D390" s="3500"/>
    </row>
    <row r="391" spans="4:4">
      <c r="D391" s="3500"/>
    </row>
    <row r="392" spans="4:4">
      <c r="D392" s="3500"/>
    </row>
    <row r="393" spans="4:4">
      <c r="D393" s="3500"/>
    </row>
    <row r="394" spans="4:4">
      <c r="D394" s="3500"/>
    </row>
    <row r="395" spans="4:4">
      <c r="D395" s="3500"/>
    </row>
    <row r="396" spans="4:4">
      <c r="D396" s="3500"/>
    </row>
    <row r="397" spans="4:4">
      <c r="D397" s="3500"/>
    </row>
    <row r="398" spans="4:4">
      <c r="D398" s="3500"/>
    </row>
    <row r="399" spans="4:4">
      <c r="D399" s="3500"/>
    </row>
    <row r="400" spans="4:4">
      <c r="D400" s="3500"/>
    </row>
    <row r="401" spans="4:4">
      <c r="D401" s="3500"/>
    </row>
    <row r="402" spans="4:4">
      <c r="D402" s="3500"/>
    </row>
    <row r="403" spans="4:4">
      <c r="D403" s="3500"/>
    </row>
    <row r="404" spans="4:4">
      <c r="D404" s="3500"/>
    </row>
    <row r="405" spans="4:4">
      <c r="D405" s="3500"/>
    </row>
    <row r="406" spans="4:4">
      <c r="D406" s="3500"/>
    </row>
    <row r="407" spans="4:4">
      <c r="D407" s="3500"/>
    </row>
    <row r="408" spans="4:4">
      <c r="D408" s="3500"/>
    </row>
    <row r="409" spans="4:4">
      <c r="D409" s="3500"/>
    </row>
    <row r="410" spans="4:4">
      <c r="D410" s="3500"/>
    </row>
    <row r="411" spans="4:4">
      <c r="D411" s="3500"/>
    </row>
    <row r="412" spans="4:4">
      <c r="D412" s="3501"/>
    </row>
    <row r="413" spans="4:4">
      <c r="D413" s="3501"/>
    </row>
  </sheetData>
  <autoFilter ref="A1:L384"/>
  <mergeCells count="61">
    <mergeCell ref="A384:G384"/>
    <mergeCell ref="L5:L59"/>
    <mergeCell ref="B316:B318"/>
    <mergeCell ref="C316:C318"/>
    <mergeCell ref="L316:L318"/>
    <mergeCell ref="D317:D318"/>
    <mergeCell ref="B319:B383"/>
    <mergeCell ref="C319:C383"/>
    <mergeCell ref="D319:D383"/>
    <mergeCell ref="L319:L383"/>
    <mergeCell ref="D276:D277"/>
    <mergeCell ref="D278:D291"/>
    <mergeCell ref="D292:D298"/>
    <mergeCell ref="D299:D306"/>
    <mergeCell ref="D307:D310"/>
    <mergeCell ref="D314:D315"/>
    <mergeCell ref="D251:D274"/>
    <mergeCell ref="B171:B179"/>
    <mergeCell ref="C171:C179"/>
    <mergeCell ref="D171:D179"/>
    <mergeCell ref="L171:L179"/>
    <mergeCell ref="B180:B315"/>
    <mergeCell ref="C180:C315"/>
    <mergeCell ref="D180:D193"/>
    <mergeCell ref="L180:L315"/>
    <mergeCell ref="D194:D195"/>
    <mergeCell ref="D197:D217"/>
    <mergeCell ref="D220:D230"/>
    <mergeCell ref="D232:D233"/>
    <mergeCell ref="D235:D250"/>
    <mergeCell ref="B94:B163"/>
    <mergeCell ref="C94:C163"/>
    <mergeCell ref="D94:D163"/>
    <mergeCell ref="L94:L163"/>
    <mergeCell ref="B164:B170"/>
    <mergeCell ref="C164:C170"/>
    <mergeCell ref="D164:D169"/>
    <mergeCell ref="L164:L170"/>
    <mergeCell ref="B67:B93"/>
    <mergeCell ref="C67:C93"/>
    <mergeCell ref="D67:D93"/>
    <mergeCell ref="L67:L93"/>
    <mergeCell ref="D32:D33"/>
    <mergeCell ref="D36:D37"/>
    <mergeCell ref="C41:C59"/>
    <mergeCell ref="D41:D59"/>
    <mergeCell ref="B60:B63"/>
    <mergeCell ref="C60:C63"/>
    <mergeCell ref="D60:D63"/>
    <mergeCell ref="L60:L63"/>
    <mergeCell ref="B64:B66"/>
    <mergeCell ref="C64:C66"/>
    <mergeCell ref="D64:D66"/>
    <mergeCell ref="L64:L66"/>
    <mergeCell ref="B2:B4"/>
    <mergeCell ref="C2:C3"/>
    <mergeCell ref="L2:L4"/>
    <mergeCell ref="B5:B59"/>
    <mergeCell ref="C5:C40"/>
    <mergeCell ref="D7:D26"/>
    <mergeCell ref="D28:D31"/>
  </mergeCells>
  <phoneticPr fontId="20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1" sqref="L21"/>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2408</v>
      </c>
      <c r="AZ2" s="2522" t="s">
        <v>2409</v>
      </c>
      <c r="BA2" s="2523" t="s">
        <v>2410</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面积表!N384</f>
        <v>346512.69</v>
      </c>
      <c r="B3" s="302">
        <f>IF(C3="否",G5-AT5,G5)</f>
        <v>326059.4499999999</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326059.4499999999</v>
      </c>
      <c r="H5" s="305">
        <f t="shared" ref="H5:AT5" si="0">SUM(H13:H656)</f>
        <v>317263.48999999987</v>
      </c>
      <c r="I5" s="305">
        <f t="shared" si="0"/>
        <v>266233.45999999985</v>
      </c>
      <c r="J5" s="305">
        <f t="shared" si="0"/>
        <v>0</v>
      </c>
      <c r="K5" s="305">
        <f t="shared" si="0"/>
        <v>51030.03</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8795.9600000000028</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8509.0999999999949</v>
      </c>
      <c r="AM5" s="305">
        <f t="shared" si="0"/>
        <v>0</v>
      </c>
      <c r="AN5" s="305">
        <f t="shared" si="0"/>
        <v>286.86000000000786</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326059.4499999999</v>
      </c>
      <c r="BA5" s="307">
        <f t="shared" si="1"/>
        <v>317263.48999999987</v>
      </c>
      <c r="BB5" s="307">
        <f t="shared" si="1"/>
        <v>266233.45999999985</v>
      </c>
      <c r="BC5" s="307">
        <f t="shared" si="1"/>
        <v>51030.03</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8795.9600000000028</v>
      </c>
      <c r="BM5" s="307">
        <f t="shared" si="1"/>
        <v>0</v>
      </c>
      <c r="BN5" s="307">
        <f t="shared" si="1"/>
        <v>0</v>
      </c>
      <c r="BO5" s="307">
        <f t="shared" si="1"/>
        <v>0</v>
      </c>
      <c r="BP5" s="307">
        <f t="shared" si="1"/>
        <v>0</v>
      </c>
      <c r="BQ5" s="307">
        <f t="shared" si="1"/>
        <v>8509.0999999999949</v>
      </c>
      <c r="BR5" s="307">
        <f t="shared" si="1"/>
        <v>286.86000000000786</v>
      </c>
      <c r="BS5" s="307">
        <f t="shared" si="1"/>
        <v>0</v>
      </c>
      <c r="BT5" s="308">
        <f t="shared" si="1"/>
        <v>0</v>
      </c>
    </row>
    <row r="6" spans="1:72" s="1171" customFormat="1" ht="12.75">
      <c r="A6" s="83" t="s">
        <v>618</v>
      </c>
      <c r="B6" s="223"/>
      <c r="C6" s="223"/>
      <c r="D6" s="224"/>
      <c r="E6" s="305">
        <f>H6+AC6+AT6</f>
        <v>346512.68000000005</v>
      </c>
      <c r="F6" s="305" t="s">
        <v>23</v>
      </c>
      <c r="G6" s="305" t="s">
        <v>25</v>
      </c>
      <c r="H6" s="309">
        <f>SUMIF(I$12:AB$12,"总值",I6:AB6)</f>
        <v>337164.97000000003</v>
      </c>
      <c r="I6" s="305">
        <f t="shared" ref="I6:AB6" si="2">ROUND($A$3*I5/$B$3,2)</f>
        <v>282933.90000000002</v>
      </c>
      <c r="J6" s="305">
        <f t="shared" si="2"/>
        <v>0</v>
      </c>
      <c r="K6" s="305">
        <f t="shared" si="2"/>
        <v>54231.07</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9347.7100000000009</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9042.86</v>
      </c>
      <c r="AM6" s="305">
        <f t="shared" si="3"/>
        <v>0</v>
      </c>
      <c r="AN6" s="305">
        <f t="shared" si="3"/>
        <v>304.85000000000002</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346512.69</v>
      </c>
      <c r="AZ6" s="305" t="s">
        <v>29</v>
      </c>
      <c r="BA6" s="305">
        <f>ROUND($AY$6*BA5/$AZ$5,2)</f>
        <v>337164.97</v>
      </c>
      <c r="BB6" s="305">
        <f>ROUND($AY$6*BB5/$AZ$5,2)</f>
        <v>282933.90000000002</v>
      </c>
      <c r="BC6" s="305">
        <f t="shared" ref="BC6:BH6" si="4">ROUND($AY$6*BC5/$AZ$5,2)</f>
        <v>54231.07</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9347.7199999999993</v>
      </c>
      <c r="BM6" s="305">
        <f t="shared" si="5"/>
        <v>0</v>
      </c>
      <c r="BN6" s="305">
        <f t="shared" si="5"/>
        <v>0</v>
      </c>
      <c r="BO6" s="305">
        <f t="shared" si="5"/>
        <v>0</v>
      </c>
      <c r="BP6" s="305">
        <f t="shared" si="5"/>
        <v>0</v>
      </c>
      <c r="BQ6" s="305">
        <f t="shared" si="5"/>
        <v>9042.86</v>
      </c>
      <c r="BR6" s="305">
        <f t="shared" si="5"/>
        <v>304.85000000000002</v>
      </c>
      <c r="BS6" s="305">
        <f t="shared" si="5"/>
        <v>0</v>
      </c>
      <c r="BT6" s="311">
        <f t="shared" si="5"/>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3075</v>
      </c>
      <c r="J9" s="245"/>
      <c r="K9" s="244" t="s">
        <v>3077</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3046</v>
      </c>
      <c r="J10" s="245"/>
      <c r="K10" s="252" t="s">
        <v>3046</v>
      </c>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3076</v>
      </c>
      <c r="J11" s="259"/>
      <c r="K11" s="258" t="s">
        <v>3076</v>
      </c>
      <c r="L11" s="259"/>
      <c r="M11" s="258"/>
      <c r="N11" s="259"/>
      <c r="O11" s="258"/>
      <c r="P11" s="259"/>
      <c r="Q11" s="258"/>
      <c r="R11" s="259"/>
      <c r="S11" s="258"/>
      <c r="T11" s="259"/>
      <c r="U11" s="258"/>
      <c r="V11" s="259"/>
      <c r="W11" s="258"/>
      <c r="X11" s="259"/>
      <c r="Y11" s="258"/>
      <c r="Z11" s="259"/>
      <c r="AA11" s="258"/>
      <c r="AB11" s="259"/>
      <c r="AC11" s="240"/>
      <c r="AD11" s="2514" t="s">
        <v>2397</v>
      </c>
      <c r="AE11" s="2493"/>
      <c r="AF11" s="2514" t="s">
        <v>2397</v>
      </c>
      <c r="AG11" s="2493"/>
      <c r="AH11" s="2514" t="s">
        <v>2398</v>
      </c>
      <c r="AI11" s="2515"/>
      <c r="AJ11" s="2514" t="s">
        <v>2398</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独立商业</v>
      </c>
      <c r="BC12" s="267" t="str">
        <f>K11</f>
        <v>独立商业</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3078</v>
      </c>
      <c r="D13" s="217" t="s">
        <v>3066</v>
      </c>
      <c r="E13" s="305">
        <f>IF($C$3="是",ROUND($A$3*G13/$B$3,2),ROUND($A$3*(G13-AT13)/$B$3,2))</f>
        <v>346512.69</v>
      </c>
      <c r="F13" s="321"/>
      <c r="G13" s="322">
        <f>H13+AC13+AT13</f>
        <v>326059.4499999999</v>
      </c>
      <c r="H13" s="309">
        <f>SUMIF(I$12:AB$12,"总值",I13:AB13)</f>
        <v>317263.48999999987</v>
      </c>
      <c r="I13" s="1418">
        <f>面积表!J386</f>
        <v>266233.45999999985</v>
      </c>
      <c r="J13" s="1418"/>
      <c r="K13" s="1418">
        <f>面积表!J387</f>
        <v>51030.03</v>
      </c>
      <c r="L13" s="1418"/>
      <c r="M13" s="1418"/>
      <c r="N13" s="1418"/>
      <c r="O13" s="1418"/>
      <c r="P13" s="1418"/>
      <c r="Q13" s="1418"/>
      <c r="R13" s="1418"/>
      <c r="S13" s="1418"/>
      <c r="T13" s="1418"/>
      <c r="U13" s="1418"/>
      <c r="V13" s="1418"/>
      <c r="W13" s="1418"/>
      <c r="X13" s="1418"/>
      <c r="Y13" s="1418"/>
      <c r="Z13" s="1418"/>
      <c r="AA13" s="1418"/>
      <c r="AB13" s="1418"/>
      <c r="AC13" s="305">
        <f>SUMIF(AD$12:AS$12,"总值",AD13:AS13)</f>
        <v>8795.9600000000028</v>
      </c>
      <c r="AD13" s="1419"/>
      <c r="AE13" s="1419"/>
      <c r="AF13" s="1419"/>
      <c r="AG13" s="1419"/>
      <c r="AH13" s="1419"/>
      <c r="AI13" s="1419"/>
      <c r="AJ13" s="1419"/>
      <c r="AK13" s="1419"/>
      <c r="AL13" s="1419">
        <f>面积表!I385</f>
        <v>8509.0999999999949</v>
      </c>
      <c r="AM13" s="1419"/>
      <c r="AN13" s="1419">
        <f>面积表!J385</f>
        <v>286.86000000000786</v>
      </c>
      <c r="AO13" s="1419"/>
      <c r="AP13" s="1419"/>
      <c r="AQ13" s="1419"/>
      <c r="AR13" s="1419"/>
      <c r="AS13" s="1419"/>
      <c r="AT13" s="1420"/>
      <c r="AU13" s="215"/>
      <c r="AV13" s="82">
        <f t="shared" ref="AV13:AX17" si="6">A13</f>
        <v>0</v>
      </c>
      <c r="AW13" s="82">
        <f t="shared" si="6"/>
        <v>0</v>
      </c>
      <c r="AX13" s="82" t="str">
        <f t="shared" si="6"/>
        <v>住宿餐饮</v>
      </c>
      <c r="AY13" s="304">
        <f>ROUND($AY$6*AZ13/$AZ$5,2)</f>
        <v>346512.69</v>
      </c>
      <c r="AZ13" s="305">
        <f>BA13+BL13</f>
        <v>326059.4499999999</v>
      </c>
      <c r="BA13" s="305">
        <f>SUM(BB13:BK13)</f>
        <v>317263.48999999987</v>
      </c>
      <c r="BB13" s="305">
        <f>IF($D13="是",I13-J13,0)</f>
        <v>266233.45999999985</v>
      </c>
      <c r="BC13" s="305">
        <f>IF($D13="是",K13-L13,0)</f>
        <v>51030.03</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8795.9600000000028</v>
      </c>
      <c r="BM13" s="305">
        <f>IF($D13="是",AD13-AE13,0)</f>
        <v>0</v>
      </c>
      <c r="BN13" s="305">
        <f>IF($D13="是",AF13-AG13,0)</f>
        <v>0</v>
      </c>
      <c r="BO13" s="305">
        <f>IF($D13="是",AH13-AI13,0)</f>
        <v>0</v>
      </c>
      <c r="BP13" s="305">
        <f>IF($D13="是",AJ13-AK13,0)</f>
        <v>0</v>
      </c>
      <c r="BQ13" s="305">
        <f>IF($D13="是",AL13-AM13,0)</f>
        <v>8509.0999999999949</v>
      </c>
      <c r="BR13" s="305">
        <f>IF($D13="是",AN13-AO13,0)</f>
        <v>286.86000000000786</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518" t="s">
        <v>2</v>
      </c>
      <c r="B1" s="3518" t="s">
        <v>37</v>
      </c>
      <c r="C1" s="3518" t="s">
        <v>38</v>
      </c>
      <c r="D1" s="3614" t="s">
        <v>200</v>
      </c>
      <c r="E1" s="3614" t="s">
        <v>201</v>
      </c>
      <c r="F1" s="3614"/>
      <c r="G1" s="3614"/>
      <c r="H1" s="3614"/>
      <c r="I1" s="3614"/>
      <c r="J1" s="3614"/>
      <c r="K1" s="3614"/>
      <c r="L1" s="3614"/>
      <c r="M1" s="3614"/>
    </row>
    <row r="2" spans="1:13" ht="27" customHeight="1">
      <c r="A2" s="3518"/>
      <c r="B2" s="3518"/>
      <c r="C2" s="3518"/>
      <c r="D2" s="3614"/>
      <c r="E2" s="3614" t="s">
        <v>184</v>
      </c>
      <c r="F2" s="3614" t="s">
        <v>185</v>
      </c>
      <c r="G2" s="3614"/>
      <c r="H2" s="3614"/>
      <c r="I2" s="3614"/>
      <c r="J2" s="3614" t="s">
        <v>186</v>
      </c>
      <c r="K2" s="3614"/>
      <c r="L2" s="3614"/>
      <c r="M2" s="3614"/>
    </row>
    <row r="3" spans="1:13" ht="28.5">
      <c r="A3" s="3518"/>
      <c r="B3" s="3518"/>
      <c r="C3" s="3518"/>
      <c r="D3" s="3614"/>
      <c r="E3" s="3614"/>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614" t="s">
        <v>202</v>
      </c>
      <c r="B9" s="3614"/>
      <c r="C9" s="3614"/>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641</v>
      </c>
      <c r="B1" s="2227"/>
      <c r="C1" s="2227"/>
      <c r="D1" s="2227"/>
      <c r="E1" s="2227"/>
      <c r="F1" s="2227"/>
      <c r="G1" s="2227"/>
      <c r="H1" s="2227"/>
      <c r="I1" s="2227"/>
      <c r="J1" s="2227"/>
      <c r="K1" s="2227"/>
      <c r="L1" s="2227"/>
      <c r="M1" s="2227"/>
      <c r="N1" s="2227"/>
      <c r="O1" s="2227"/>
      <c r="P1" s="2227"/>
    </row>
    <row r="2" spans="1:16">
      <c r="A2" s="3624" t="s">
        <v>642</v>
      </c>
      <c r="B2" s="3624"/>
      <c r="C2" s="3624"/>
      <c r="D2" s="2211" t="s">
        <v>643</v>
      </c>
      <c r="E2" s="19" t="s">
        <v>644</v>
      </c>
      <c r="F2" s="2227"/>
      <c r="G2" s="1180"/>
      <c r="H2" s="1181"/>
      <c r="I2" s="2219" t="s">
        <v>645</v>
      </c>
      <c r="J2" s="2227"/>
      <c r="K2" s="2227"/>
      <c r="L2" s="2227"/>
      <c r="M2" s="2227"/>
      <c r="N2" s="2236"/>
      <c r="O2" s="2227"/>
      <c r="P2" s="2227"/>
    </row>
    <row r="3" spans="1:16" ht="15.75" thickBot="1">
      <c r="A3" s="3625" t="s">
        <v>646</v>
      </c>
      <c r="B3" s="3625"/>
      <c r="C3" s="3625"/>
      <c r="D3" s="335">
        <f>'数据-基础表'!AY6</f>
        <v>346512.69</v>
      </c>
      <c r="E3" s="335">
        <f>'数据-基础表'!AZ5</f>
        <v>326059.4499999999</v>
      </c>
      <c r="F3" s="2227"/>
      <c r="G3" s="442"/>
      <c r="H3" s="440" t="s">
        <v>647</v>
      </c>
      <c r="I3" s="344">
        <f>ROUND('数据-基础表'!B3/'数据-基础表'!A3,2)</f>
        <v>0.94</v>
      </c>
      <c r="J3" s="2227"/>
      <c r="K3" s="2227"/>
      <c r="L3" s="2227"/>
      <c r="M3" s="2227"/>
      <c r="N3" s="2236"/>
      <c r="O3" s="2227"/>
      <c r="P3" s="2227"/>
    </row>
    <row r="4" spans="1:16" ht="14.25">
      <c r="A4" s="3626"/>
      <c r="B4" s="3627"/>
      <c r="C4" s="3628"/>
      <c r="D4" s="20" t="s">
        <v>643</v>
      </c>
      <c r="E4" s="21" t="s">
        <v>644</v>
      </c>
      <c r="F4" s="2227"/>
      <c r="G4" s="1182" t="s">
        <v>1789</v>
      </c>
      <c r="H4" s="440" t="s">
        <v>648</v>
      </c>
      <c r="I4" s="344">
        <f>ROUND(SUMIF('数据-基础表'!I9:AS9,"地上",'数据-基础表'!I5:AS5)/'数据-基础表'!A3,2)</f>
        <v>0.79</v>
      </c>
      <c r="J4" s="2227"/>
      <c r="K4" s="2227"/>
      <c r="L4" s="2227"/>
      <c r="M4" s="2227"/>
      <c r="N4" s="2236"/>
      <c r="O4" s="2227"/>
      <c r="P4" s="2227"/>
    </row>
    <row r="5" spans="1:16" ht="14.25">
      <c r="A5" s="22" t="s">
        <v>649</v>
      </c>
      <c r="B5" s="3629" t="s">
        <v>650</v>
      </c>
      <c r="C5" s="3629"/>
      <c r="D5" s="337">
        <f>ROUND($D$3*E5/$E$3,2)</f>
        <v>0</v>
      </c>
      <c r="E5" s="338">
        <f>SUMIF('数据-基础表'!$11:$11,"住宅",'数据-基础表'!$5:$5)</f>
        <v>0</v>
      </c>
      <c r="F5" s="2227"/>
      <c r="G5" s="442"/>
      <c r="H5" s="440" t="s">
        <v>647</v>
      </c>
      <c r="I5" s="344">
        <f>ROUND(E31/D31,2)</f>
        <v>0.94</v>
      </c>
      <c r="J5" s="2227"/>
      <c r="K5" s="2227"/>
      <c r="L5" s="2227"/>
      <c r="M5" s="2227"/>
      <c r="N5" s="2227"/>
      <c r="O5" s="2227"/>
      <c r="P5" s="2227"/>
    </row>
    <row r="6" spans="1:16" ht="15" thickBot="1">
      <c r="A6" s="24"/>
      <c r="B6" s="3629" t="s">
        <v>651</v>
      </c>
      <c r="C6" s="3629"/>
      <c r="D6" s="337">
        <f>ROUND($D$3*E6/$E$3,2)</f>
        <v>346512.69</v>
      </c>
      <c r="E6" s="338">
        <f>E3-E5</f>
        <v>326059.4499999999</v>
      </c>
      <c r="F6" s="2227"/>
      <c r="G6" s="1762" t="s">
        <v>1790</v>
      </c>
      <c r="H6" s="442" t="s">
        <v>648</v>
      </c>
      <c r="I6" s="1763">
        <f>ROUND(F31/D31,2)</f>
        <v>0.79</v>
      </c>
      <c r="J6" s="2227"/>
      <c r="K6" s="2227"/>
      <c r="L6" s="2227"/>
      <c r="M6" s="2227"/>
      <c r="N6" s="2227"/>
      <c r="O6" s="2227"/>
      <c r="P6" s="2227"/>
    </row>
    <row r="7" spans="1:16" ht="14.25">
      <c r="A7" s="3621"/>
      <c r="B7" s="3622"/>
      <c r="C7" s="3623"/>
      <c r="D7" s="20" t="s">
        <v>643</v>
      </c>
      <c r="E7" s="25" t="s">
        <v>644</v>
      </c>
      <c r="F7" s="2227"/>
      <c r="G7" s="1180" t="s">
        <v>1869</v>
      </c>
      <c r="H7" s="38"/>
      <c r="I7" s="763">
        <f>I6</f>
        <v>0.79</v>
      </c>
      <c r="J7" s="2227"/>
      <c r="K7" s="2227"/>
      <c r="L7" s="2227"/>
      <c r="M7" s="2227"/>
      <c r="N7" s="2227"/>
      <c r="O7" s="2227"/>
      <c r="P7" s="2227"/>
    </row>
    <row r="8" spans="1:16" ht="14.25">
      <c r="A8" s="22" t="s">
        <v>652</v>
      </c>
      <c r="B8" s="26" t="s">
        <v>653</v>
      </c>
      <c r="C8" s="23" t="s">
        <v>654</v>
      </c>
      <c r="D8" s="337">
        <f t="shared" ref="D8:D15" si="0">ROUND($D$3*E8/$E$3,2)</f>
        <v>282933.90000000002</v>
      </c>
      <c r="E8" s="340">
        <f>SUMIF('数据-基础表'!BB10:BK10,"地上",'数据-基础表'!BB5:BK5)</f>
        <v>266233.45999999985</v>
      </c>
      <c r="F8" s="2227"/>
      <c r="G8" s="2228"/>
      <c r="H8" s="2228"/>
      <c r="I8" s="2227"/>
      <c r="J8" s="2227"/>
      <c r="K8" s="2227"/>
      <c r="L8" s="2227"/>
      <c r="M8" s="2227"/>
      <c r="N8" s="2227"/>
      <c r="O8" s="2227"/>
      <c r="P8" s="2227"/>
    </row>
    <row r="9" spans="1:16" ht="14.25">
      <c r="A9" s="27"/>
      <c r="B9" s="28"/>
      <c r="C9" s="23" t="s">
        <v>655</v>
      </c>
      <c r="D9" s="337">
        <f t="shared" si="0"/>
        <v>0</v>
      </c>
      <c r="E9" s="341">
        <v>0</v>
      </c>
      <c r="F9" s="2227"/>
      <c r="G9" s="2228"/>
      <c r="H9" s="2228"/>
      <c r="I9" s="2227"/>
      <c r="J9" s="2227"/>
      <c r="K9" s="2227"/>
      <c r="L9" s="2227"/>
      <c r="M9" s="2227"/>
      <c r="N9" s="2227"/>
      <c r="O9" s="2227"/>
      <c r="P9" s="2227"/>
    </row>
    <row r="10" spans="1:16" ht="14.25">
      <c r="A10" s="27"/>
      <c r="B10" s="28"/>
      <c r="C10" s="23" t="s">
        <v>656</v>
      </c>
      <c r="D10" s="337">
        <f t="shared" si="0"/>
        <v>54231.07</v>
      </c>
      <c r="E10" s="340">
        <f>SUMPRODUCT(('数据-基础表'!BB10:BK10="地下")*('数据-基础表'!BB11:BK11="商业")*('数据-基础表'!BB5:BK5))</f>
        <v>51030.03</v>
      </c>
      <c r="F10" s="2227"/>
      <c r="G10" s="2228"/>
      <c r="H10" s="2228"/>
      <c r="I10" s="2227"/>
      <c r="J10" s="2227"/>
      <c r="K10" s="2227"/>
      <c r="L10" s="2227"/>
      <c r="M10" s="2227"/>
      <c r="N10" s="2227"/>
      <c r="O10" s="2227"/>
      <c r="P10" s="2227"/>
    </row>
    <row r="11" spans="1:16" ht="14.25">
      <c r="A11" s="27"/>
      <c r="B11" s="28"/>
      <c r="C11" s="23" t="s">
        <v>2399</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657</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658</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659</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660</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661</v>
      </c>
      <c r="D16" s="339">
        <f>SUM(D8:D15)</f>
        <v>337164.97000000003</v>
      </c>
      <c r="E16" s="342">
        <f>SUM(E8:E15)</f>
        <v>317263.48999999987</v>
      </c>
      <c r="F16" s="2227"/>
      <c r="G16" s="2228"/>
      <c r="H16" s="1179" t="s">
        <v>532</v>
      </c>
      <c r="I16" s="1183"/>
      <c r="J16" s="2227"/>
      <c r="K16" s="3618" t="s">
        <v>532</v>
      </c>
      <c r="L16" s="3619"/>
      <c r="M16" s="3619"/>
      <c r="N16" s="3619"/>
      <c r="O16" s="3619"/>
      <c r="P16" s="3620"/>
    </row>
    <row r="17" spans="1:19" ht="14.25">
      <c r="A17" s="29" t="s">
        <v>662</v>
      </c>
      <c r="B17" s="30" t="s">
        <v>663</v>
      </c>
      <c r="C17" s="34" t="s">
        <v>2390</v>
      </c>
      <c r="D17" s="2077" t="s">
        <v>643</v>
      </c>
      <c r="E17" s="2075" t="s">
        <v>644</v>
      </c>
      <c r="F17" s="36"/>
      <c r="G17" s="37"/>
      <c r="H17" s="1184" t="s">
        <v>664</v>
      </c>
      <c r="I17" s="1185" t="s">
        <v>205</v>
      </c>
      <c r="J17" s="2227"/>
      <c r="K17" s="3615" t="s">
        <v>670</v>
      </c>
      <c r="L17" s="3616"/>
      <c r="M17" s="3617"/>
      <c r="N17" s="3615" t="s">
        <v>2692</v>
      </c>
      <c r="O17" s="3616"/>
      <c r="P17" s="3617"/>
      <c r="R17" s="2487" t="s">
        <v>2391</v>
      </c>
      <c r="S17" s="354"/>
    </row>
    <row r="18" spans="1:19">
      <c r="A18" s="27"/>
      <c r="B18" s="31"/>
      <c r="C18" s="35"/>
      <c r="D18" s="2078"/>
      <c r="E18" s="2076" t="s">
        <v>665</v>
      </c>
      <c r="F18" s="15" t="s">
        <v>666</v>
      </c>
      <c r="G18" s="16" t="s">
        <v>667</v>
      </c>
      <c r="H18" s="1186" t="s">
        <v>668</v>
      </c>
      <c r="I18" s="1187" t="s">
        <v>669</v>
      </c>
      <c r="J18" s="2227"/>
      <c r="K18" s="1186" t="s">
        <v>2685</v>
      </c>
      <c r="L18" s="6" t="s">
        <v>2693</v>
      </c>
      <c r="M18" s="2808" t="s">
        <v>2691</v>
      </c>
      <c r="N18" s="1186" t="s">
        <v>2685</v>
      </c>
      <c r="O18" s="6" t="s">
        <v>2693</v>
      </c>
      <c r="P18" s="2808" t="s">
        <v>2691</v>
      </c>
      <c r="R18" s="2488" t="s">
        <v>2392</v>
      </c>
      <c r="S18" s="2488" t="s">
        <v>2393</v>
      </c>
    </row>
    <row r="19" spans="1:19" ht="14.25">
      <c r="A19" s="32"/>
      <c r="B19" s="26" t="s">
        <v>119</v>
      </c>
      <c r="C19" s="1421" t="s">
        <v>3517</v>
      </c>
      <c r="D19" s="337">
        <f>ROUND($D$3*E19/$E$3,2)</f>
        <v>337164.97</v>
      </c>
      <c r="E19" s="345">
        <f t="shared" ref="E19:E26" si="1">SUM(F19:G19)</f>
        <v>317263.48999999987</v>
      </c>
      <c r="F19" s="346">
        <f>'数据-基础表'!I13</f>
        <v>266233.45999999985</v>
      </c>
      <c r="G19" s="347">
        <f>'数据-基础表'!K13</f>
        <v>51030.03</v>
      </c>
      <c r="H19" s="1133">
        <f>ROUND($D$3*I19/$E$3,2)</f>
        <v>9347.7199999999993</v>
      </c>
      <c r="I19" s="340">
        <f t="shared" ref="I19:I26" si="2">IF($I$17="自定义",P19,M19)</f>
        <v>8795.9599999999991</v>
      </c>
      <c r="J19" s="2227"/>
      <c r="K19" s="2809">
        <f t="shared" ref="K19:K26" si="3">ROUND(E$28*E19/E$27,2)</f>
        <v>8795.9599999999991</v>
      </c>
      <c r="L19" s="2489">
        <f t="shared" ref="L19:L26" si="4">ROUND(IF(COUNTIF(C19,"*住宅*")&gt;0,E$29*E19/E$32,0),2)</f>
        <v>0</v>
      </c>
      <c r="M19" s="2827">
        <f>K19+L19</f>
        <v>8795.9599999999991</v>
      </c>
      <c r="N19" s="2825"/>
      <c r="O19" s="2807"/>
      <c r="P19" s="2810">
        <f>N19+O19</f>
        <v>0</v>
      </c>
      <c r="R19" s="2489">
        <f t="shared" ref="R19:S26" si="5">D19+H19</f>
        <v>346512.68999999994</v>
      </c>
      <c r="S19" s="2490">
        <f t="shared" si="5"/>
        <v>326059.4499999999</v>
      </c>
    </row>
    <row r="20" spans="1:19" ht="14.25">
      <c r="A20" s="33"/>
      <c r="B20" s="26" t="s">
        <v>636</v>
      </c>
      <c r="C20" s="1421"/>
      <c r="D20" s="337">
        <f t="shared" ref="D20:D26" si="6">ROUND($D$3*E20/$E$3,2)</f>
        <v>0</v>
      </c>
      <c r="E20" s="345">
        <f t="shared" si="1"/>
        <v>0</v>
      </c>
      <c r="F20" s="346"/>
      <c r="G20" s="347"/>
      <c r="H20" s="1133">
        <f t="shared" ref="H20:H26" si="7">ROUND($D$3*I20/$E$3,2)</f>
        <v>0</v>
      </c>
      <c r="I20" s="340">
        <f t="shared" si="2"/>
        <v>0</v>
      </c>
      <c r="J20" s="2227"/>
      <c r="K20" s="2809">
        <f t="shared" si="3"/>
        <v>0</v>
      </c>
      <c r="L20" s="2489">
        <f t="shared" si="4"/>
        <v>0</v>
      </c>
      <c r="M20" s="2827">
        <f t="shared" ref="M20:M26" si="8">K20+L20</f>
        <v>0</v>
      </c>
      <c r="N20" s="2825"/>
      <c r="O20" s="2807"/>
      <c r="P20" s="2810">
        <f t="shared" ref="P20:P26" si="9">N20+O20</f>
        <v>0</v>
      </c>
      <c r="R20" s="2489">
        <f t="shared" si="5"/>
        <v>0</v>
      </c>
      <c r="S20" s="2490">
        <f t="shared" si="5"/>
        <v>0</v>
      </c>
    </row>
    <row r="21" spans="1:19" ht="14.25">
      <c r="A21" s="33"/>
      <c r="B21" s="26" t="s">
        <v>636</v>
      </c>
      <c r="C21" s="1421"/>
      <c r="D21" s="337">
        <f t="shared" si="6"/>
        <v>0</v>
      </c>
      <c r="E21" s="345">
        <f t="shared" si="1"/>
        <v>0</v>
      </c>
      <c r="F21" s="346"/>
      <c r="G21" s="347"/>
      <c r="H21" s="1133">
        <f t="shared" si="7"/>
        <v>0</v>
      </c>
      <c r="I21" s="340">
        <f t="shared" si="2"/>
        <v>0</v>
      </c>
      <c r="J21" s="2227"/>
      <c r="K21" s="2809">
        <f t="shared" si="3"/>
        <v>0</v>
      </c>
      <c r="L21" s="2489">
        <f t="shared" si="4"/>
        <v>0</v>
      </c>
      <c r="M21" s="2827">
        <f t="shared" si="8"/>
        <v>0</v>
      </c>
      <c r="N21" s="2825"/>
      <c r="O21" s="2807"/>
      <c r="P21" s="2810">
        <f t="shared" si="9"/>
        <v>0</v>
      </c>
      <c r="R21" s="2489">
        <f t="shared" si="5"/>
        <v>0</v>
      </c>
      <c r="S21" s="2490">
        <f t="shared" si="5"/>
        <v>0</v>
      </c>
    </row>
    <row r="22" spans="1:19" ht="14.25">
      <c r="A22" s="33"/>
      <c r="B22" s="26" t="s">
        <v>636</v>
      </c>
      <c r="C22" s="349"/>
      <c r="D22" s="337">
        <f t="shared" si="6"/>
        <v>0</v>
      </c>
      <c r="E22" s="345">
        <f t="shared" si="1"/>
        <v>0</v>
      </c>
      <c r="F22" s="350"/>
      <c r="G22" s="351"/>
      <c r="H22" s="1133">
        <f t="shared" si="7"/>
        <v>0</v>
      </c>
      <c r="I22" s="340">
        <f t="shared" si="2"/>
        <v>0</v>
      </c>
      <c r="J22" s="2227"/>
      <c r="K22" s="2809">
        <f t="shared" si="3"/>
        <v>0</v>
      </c>
      <c r="L22" s="2489">
        <f t="shared" si="4"/>
        <v>0</v>
      </c>
      <c r="M22" s="2827">
        <f t="shared" si="8"/>
        <v>0</v>
      </c>
      <c r="N22" s="2825"/>
      <c r="O22" s="2807"/>
      <c r="P22" s="2810">
        <f t="shared" si="9"/>
        <v>0</v>
      </c>
      <c r="R22" s="2489">
        <f t="shared" si="5"/>
        <v>0</v>
      </c>
      <c r="S22" s="2490">
        <f t="shared" si="5"/>
        <v>0</v>
      </c>
    </row>
    <row r="23" spans="1:19" ht="14.25">
      <c r="A23" s="33"/>
      <c r="B23" s="26" t="s">
        <v>636</v>
      </c>
      <c r="C23" s="349"/>
      <c r="D23" s="337">
        <f>ROUND($D$3*E23/$E$3,2)</f>
        <v>0</v>
      </c>
      <c r="E23" s="345">
        <f>SUM(F23:G23)</f>
        <v>0</v>
      </c>
      <c r="F23" s="350"/>
      <c r="G23" s="351"/>
      <c r="H23" s="1133">
        <f>ROUND($D$3*I23/$E$3,2)</f>
        <v>0</v>
      </c>
      <c r="I23" s="340">
        <f t="shared" si="2"/>
        <v>0</v>
      </c>
      <c r="J23" s="2227"/>
      <c r="K23" s="2809">
        <f t="shared" si="3"/>
        <v>0</v>
      </c>
      <c r="L23" s="2489">
        <f t="shared" si="4"/>
        <v>0</v>
      </c>
      <c r="M23" s="2827">
        <f t="shared" si="8"/>
        <v>0</v>
      </c>
      <c r="N23" s="2825"/>
      <c r="O23" s="2807"/>
      <c r="P23" s="2810">
        <f t="shared" si="9"/>
        <v>0</v>
      </c>
      <c r="R23" s="2489">
        <f t="shared" si="5"/>
        <v>0</v>
      </c>
      <c r="S23" s="2490">
        <f t="shared" si="5"/>
        <v>0</v>
      </c>
    </row>
    <row r="24" spans="1:19" ht="14.25">
      <c r="A24" s="33"/>
      <c r="B24" s="26" t="s">
        <v>636</v>
      </c>
      <c r="C24" s="349"/>
      <c r="D24" s="337">
        <f>ROUND($D$3*E24/$E$3,2)</f>
        <v>0</v>
      </c>
      <c r="E24" s="345">
        <f>SUM(F24:G24)</f>
        <v>0</v>
      </c>
      <c r="F24" s="350"/>
      <c r="G24" s="351"/>
      <c r="H24" s="1133">
        <f>ROUND($D$3*I24/$E$3,2)</f>
        <v>0</v>
      </c>
      <c r="I24" s="340">
        <f t="shared" si="2"/>
        <v>0</v>
      </c>
      <c r="J24" s="2227"/>
      <c r="K24" s="2809">
        <f t="shared" si="3"/>
        <v>0</v>
      </c>
      <c r="L24" s="2489">
        <f t="shared" si="4"/>
        <v>0</v>
      </c>
      <c r="M24" s="2827">
        <f t="shared" si="8"/>
        <v>0</v>
      </c>
      <c r="N24" s="2825"/>
      <c r="O24" s="2807"/>
      <c r="P24" s="2810">
        <f t="shared" si="9"/>
        <v>0</v>
      </c>
      <c r="R24" s="2489">
        <f t="shared" si="5"/>
        <v>0</v>
      </c>
      <c r="S24" s="2490">
        <f t="shared" si="5"/>
        <v>0</v>
      </c>
    </row>
    <row r="25" spans="1:19" ht="14.25">
      <c r="A25" s="33"/>
      <c r="B25" s="26" t="s">
        <v>636</v>
      </c>
      <c r="C25" s="349"/>
      <c r="D25" s="337">
        <f t="shared" si="6"/>
        <v>0</v>
      </c>
      <c r="E25" s="345">
        <f t="shared" si="1"/>
        <v>0</v>
      </c>
      <c r="F25" s="350"/>
      <c r="G25" s="351"/>
      <c r="H25" s="336">
        <f t="shared" si="7"/>
        <v>0</v>
      </c>
      <c r="I25" s="340">
        <f t="shared" si="2"/>
        <v>0</v>
      </c>
      <c r="J25" s="2227"/>
      <c r="K25" s="2809">
        <f t="shared" si="3"/>
        <v>0</v>
      </c>
      <c r="L25" s="2489">
        <f t="shared" si="4"/>
        <v>0</v>
      </c>
      <c r="M25" s="2827">
        <f t="shared" si="8"/>
        <v>0</v>
      </c>
      <c r="N25" s="2825"/>
      <c r="O25" s="2807"/>
      <c r="P25" s="2810">
        <f t="shared" si="9"/>
        <v>0</v>
      </c>
      <c r="R25" s="2489">
        <f t="shared" si="5"/>
        <v>0</v>
      </c>
      <c r="S25" s="2490">
        <f t="shared" si="5"/>
        <v>0</v>
      </c>
    </row>
    <row r="26" spans="1:19" ht="14.25">
      <c r="A26" s="33"/>
      <c r="B26" s="26" t="s">
        <v>636</v>
      </c>
      <c r="C26" s="353"/>
      <c r="D26" s="337">
        <f t="shared" si="6"/>
        <v>0</v>
      </c>
      <c r="E26" s="345">
        <f t="shared" si="1"/>
        <v>0</v>
      </c>
      <c r="F26" s="350"/>
      <c r="G26" s="351"/>
      <c r="H26" s="336">
        <f t="shared" si="7"/>
        <v>0</v>
      </c>
      <c r="I26" s="340">
        <f t="shared" si="2"/>
        <v>0</v>
      </c>
      <c r="J26" s="2227"/>
      <c r="K26" s="2818">
        <f t="shared" si="3"/>
        <v>0</v>
      </c>
      <c r="L26" s="2819">
        <f t="shared" si="4"/>
        <v>0</v>
      </c>
      <c r="M26" s="357">
        <f t="shared" si="8"/>
        <v>0</v>
      </c>
      <c r="N26" s="2826"/>
      <c r="O26" s="2820"/>
      <c r="P26" s="2821">
        <f t="shared" si="9"/>
        <v>0</v>
      </c>
      <c r="R26" s="2489">
        <f t="shared" si="5"/>
        <v>0</v>
      </c>
      <c r="S26" s="2490">
        <f t="shared" si="5"/>
        <v>0</v>
      </c>
    </row>
    <row r="27" spans="1:19" ht="15.75" thickBot="1">
      <c r="A27" s="33"/>
      <c r="B27" s="23"/>
      <c r="C27" s="2780" t="s">
        <v>637</v>
      </c>
      <c r="D27" s="2812">
        <f>SUM(D19:D26)</f>
        <v>337164.97</v>
      </c>
      <c r="E27" s="2813">
        <f>IF(SUM(E19:E26)='数据-基础表'!BA5,SUM(E19:E26),IF(F27="地上面积有误","面积有误","地下面积有误"))</f>
        <v>317263.48999999987</v>
      </c>
      <c r="F27" s="2812">
        <f>IF(SUM(F19:F26)=E8,SUM(F19:F26),"地上面积有误")</f>
        <v>266233.45999999985</v>
      </c>
      <c r="G27" s="2814">
        <f>SUM(G19:G26)</f>
        <v>51030.03</v>
      </c>
      <c r="H27" s="2815">
        <f>SUM(H19:H26)</f>
        <v>9347.7199999999993</v>
      </c>
      <c r="I27" s="2816">
        <f>SUM(I19:I26)</f>
        <v>8795.9599999999991</v>
      </c>
      <c r="J27" s="2227"/>
      <c r="K27" s="2822">
        <f>SUM(K19:K26)</f>
        <v>8795.9599999999991</v>
      </c>
      <c r="L27" s="2823">
        <f>SUM(L19:L26)</f>
        <v>0</v>
      </c>
      <c r="M27" s="2828">
        <f>SUM(M19:M26)</f>
        <v>8795.9599999999991</v>
      </c>
      <c r="N27" s="2822">
        <f t="shared" ref="N27:O27" si="10">SUM(N19:N26)</f>
        <v>0</v>
      </c>
      <c r="O27" s="2823">
        <f t="shared" si="10"/>
        <v>0</v>
      </c>
      <c r="P27" s="2824">
        <f>SUM(P19:P26)</f>
        <v>0</v>
      </c>
      <c r="R27" s="2491">
        <f>IF(SUM(R19:R26)=$D$3,SUM(R19:R26),SUM(R19:R26)&amp;"误差"&amp;ROUND(SUM(R19:R26)-$D$3,2))</f>
        <v>346512.68999999994</v>
      </c>
      <c r="S27" s="2489">
        <f>IF(SUM(S19:S26)=$E$3,SUM(S19:S26),SUM(S19:S26)&amp;"误差"&amp;ROUND(SUM(S19:S26)-E3,2))</f>
        <v>326059.4499999999</v>
      </c>
    </row>
    <row r="28" spans="1:19" ht="14.25">
      <c r="A28" s="33"/>
      <c r="B28" s="26" t="s">
        <v>638</v>
      </c>
      <c r="C28" s="5" t="s">
        <v>639</v>
      </c>
      <c r="D28" s="337">
        <f>ROUND($D$3*E28/$E$3,2)</f>
        <v>9347.7199999999993</v>
      </c>
      <c r="E28" s="345">
        <f>SUM(F28:G28)</f>
        <v>8795.9600000000028</v>
      </c>
      <c r="F28" s="354">
        <f>'数据-基础表'!BQ5+'数据-基础表'!BS5</f>
        <v>8509.0999999999949</v>
      </c>
      <c r="G28" s="355">
        <f>'数据-基础表'!BR5+'数据-基础表'!BT5</f>
        <v>286.86000000000786</v>
      </c>
      <c r="H28" s="2227"/>
      <c r="I28" s="2227"/>
      <c r="J28" s="2227"/>
      <c r="K28" s="2227"/>
      <c r="L28" s="2227"/>
      <c r="M28" s="2227"/>
      <c r="N28" s="2811"/>
      <c r="O28" s="2811"/>
      <c r="P28" s="2227"/>
    </row>
    <row r="29" spans="1:19" ht="14.25">
      <c r="A29" s="33"/>
      <c r="B29" s="26" t="s">
        <v>638</v>
      </c>
      <c r="C29" s="13" t="s">
        <v>2394</v>
      </c>
      <c r="D29" s="337">
        <f>ROUND($D$3*E29/$E$3,2)</f>
        <v>0</v>
      </c>
      <c r="E29" s="345">
        <f>SUM(F29:G29)</f>
        <v>0</v>
      </c>
      <c r="F29" s="356">
        <f>'数据-基础表'!BM5+'数据-基础表'!BO5</f>
        <v>0</v>
      </c>
      <c r="G29" s="357">
        <f>'数据-基础表'!BN5+'数据-基础表'!BP5</f>
        <v>0</v>
      </c>
      <c r="H29" s="2227"/>
      <c r="I29" s="2227"/>
      <c r="J29" s="2227"/>
      <c r="K29" s="2227"/>
      <c r="L29" s="2227"/>
      <c r="M29" s="2227"/>
      <c r="N29" s="2811"/>
      <c r="O29" s="2811"/>
      <c r="P29" s="2227"/>
    </row>
    <row r="30" spans="1:19" ht="15">
      <c r="A30" s="33"/>
      <c r="B30" s="26"/>
      <c r="C30" s="2817" t="s">
        <v>637</v>
      </c>
      <c r="D30" s="2812">
        <f>SUM(D28:D29)</f>
        <v>9347.7199999999993</v>
      </c>
      <c r="E30" s="2812">
        <f>SUM(E28:E29)</f>
        <v>8795.9600000000028</v>
      </c>
      <c r="F30" s="2812">
        <f>SUM(F28:F29)</f>
        <v>8509.0999999999949</v>
      </c>
      <c r="G30" s="2814">
        <f>SUM(G28:G29)</f>
        <v>286.86000000000786</v>
      </c>
      <c r="H30" s="2227"/>
      <c r="I30" s="2227"/>
      <c r="J30" s="2227"/>
      <c r="K30" s="2227"/>
      <c r="L30" s="2227"/>
      <c r="M30" s="2227"/>
      <c r="N30" s="2811"/>
      <c r="O30" s="2811"/>
      <c r="P30" s="2227"/>
    </row>
    <row r="31" spans="1:19" ht="15.75" thickBot="1">
      <c r="A31" s="1188"/>
      <c r="B31" s="2528"/>
      <c r="C31" s="2529" t="s">
        <v>640</v>
      </c>
      <c r="D31" s="1189">
        <f>D27+D30</f>
        <v>346512.68999999994</v>
      </c>
      <c r="E31" s="1189">
        <f>E27+E30</f>
        <v>326059.4499999999</v>
      </c>
      <c r="F31" s="1190">
        <f>F27+F30</f>
        <v>274742.55999999982</v>
      </c>
      <c r="G31" s="1191">
        <f>G27+G30</f>
        <v>51316.890000000007</v>
      </c>
      <c r="H31" s="2227"/>
      <c r="I31" s="2227"/>
      <c r="J31" s="2227"/>
      <c r="K31" s="2227"/>
      <c r="L31" s="2227"/>
      <c r="M31" s="2227"/>
      <c r="N31" s="2227"/>
      <c r="O31" s="2227"/>
      <c r="P31" s="2227"/>
    </row>
    <row r="32" spans="1:19" ht="14.25">
      <c r="A32" s="1182"/>
      <c r="B32" s="1182" t="s">
        <v>2706</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671</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672</v>
      </c>
      <c r="B2" s="2518">
        <f>项目基本情况!D3</f>
        <v>42941</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673</v>
      </c>
      <c r="B4" s="275"/>
      <c r="C4" s="276"/>
      <c r="D4" s="1198"/>
      <c r="E4" s="276" t="s">
        <v>535</v>
      </c>
      <c r="F4" s="276"/>
      <c r="G4" s="276"/>
      <c r="H4" s="276"/>
      <c r="I4" s="276"/>
      <c r="J4" s="277"/>
      <c r="K4" s="1199"/>
      <c r="L4" s="1200"/>
      <c r="M4" s="276"/>
      <c r="N4" s="276" t="s">
        <v>536</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40.5">
      <c r="A5" s="47" t="s">
        <v>2396</v>
      </c>
      <c r="B5" s="48" t="s">
        <v>677</v>
      </c>
      <c r="C5" s="49" t="s">
        <v>678</v>
      </c>
      <c r="D5" s="50" t="s">
        <v>679</v>
      </c>
      <c r="E5" s="51" t="s">
        <v>680</v>
      </c>
      <c r="F5" s="52" t="s">
        <v>681</v>
      </c>
      <c r="G5" s="51" t="s">
        <v>682</v>
      </c>
      <c r="H5" s="51" t="s">
        <v>683</v>
      </c>
      <c r="I5" s="51" t="s">
        <v>684</v>
      </c>
      <c r="J5" s="53" t="s">
        <v>685</v>
      </c>
      <c r="K5" s="54" t="s">
        <v>686</v>
      </c>
      <c r="L5" s="55" t="s">
        <v>687</v>
      </c>
      <c r="M5" s="56" t="s">
        <v>688</v>
      </c>
      <c r="N5" s="1202" t="s">
        <v>3518</v>
      </c>
      <c r="O5" s="55" t="s">
        <v>689</v>
      </c>
      <c r="P5" s="57" t="s">
        <v>690</v>
      </c>
      <c r="Q5" s="58" t="s">
        <v>691</v>
      </c>
      <c r="R5" s="273" t="s">
        <v>692</v>
      </c>
      <c r="S5" s="59" t="s">
        <v>2686</v>
      </c>
      <c r="T5" s="274" t="s">
        <v>693</v>
      </c>
      <c r="U5" s="2519" t="s">
        <v>2402</v>
      </c>
      <c r="V5" s="51" t="s">
        <v>694</v>
      </c>
      <c r="W5" s="2520" t="s">
        <v>2403</v>
      </c>
      <c r="X5" s="62" t="s">
        <v>3519</v>
      </c>
      <c r="Y5" s="60" t="s">
        <v>695</v>
      </c>
      <c r="Z5" s="61" t="s">
        <v>696</v>
      </c>
      <c r="AA5" s="51" t="s">
        <v>694</v>
      </c>
      <c r="AB5" s="2520" t="s">
        <v>2403</v>
      </c>
      <c r="AC5" s="62"/>
      <c r="AD5" s="62" t="s">
        <v>695</v>
      </c>
      <c r="AE5" s="14" t="s">
        <v>537</v>
      </c>
      <c r="AF5" s="51" t="s">
        <v>697</v>
      </c>
      <c r="AG5" s="60" t="s">
        <v>698</v>
      </c>
      <c r="AH5" s="14" t="s">
        <v>2407</v>
      </c>
      <c r="AI5" s="61" t="s">
        <v>2324</v>
      </c>
      <c r="AJ5" s="61" t="s">
        <v>699</v>
      </c>
      <c r="AK5" s="2520" t="s">
        <v>2404</v>
      </c>
      <c r="AL5" s="2520" t="s">
        <v>2405</v>
      </c>
      <c r="AM5" s="360" t="s">
        <v>2406</v>
      </c>
      <c r="AN5" s="2577" t="s">
        <v>2446</v>
      </c>
      <c r="AO5" s="2014" t="s">
        <v>2677</v>
      </c>
      <c r="AP5" s="2896" t="s">
        <v>2687</v>
      </c>
      <c r="AQ5" s="2897" t="s">
        <v>2798</v>
      </c>
      <c r="AR5" s="2897" t="s">
        <v>2799</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住宿餐饮</v>
      </c>
      <c r="B6" s="2495" t="str">
        <f>IF(A6=0,"","经营性")</f>
        <v>经营性</v>
      </c>
      <c r="C6" s="39" t="s">
        <v>3046</v>
      </c>
      <c r="D6" s="2058">
        <f>SUMIF(项目基本情况!D$12:I$12,C6,项目基本情况!D$14:I$14)</f>
        <v>40</v>
      </c>
      <c r="E6" s="2052">
        <f>IF(B6="","",SUMIF(项目基本情况!D$12:I$12,C6,项目基本情况!D$13:I$13))</f>
        <v>55376</v>
      </c>
      <c r="F6" s="362">
        <f>SUMIF(项目基本情况!D$12:I$12,C6,项目基本情况!D$15:I$15)</f>
        <v>34.06</v>
      </c>
      <c r="G6" s="363">
        <f>IF(ISERROR(ROUND(POWER(1+H6,D6-F6)*(POWER(1+H6,F6)-1)/(POWER(1+H6,D6)-1),3)),0,ROUND(POWER(1+H6,D6-F6)*(POWER(1+H6,F6)-1)/(POWER(1+H6,D6)-1),3))</f>
        <v>0.95499999999999996</v>
      </c>
      <c r="H6" s="1476">
        <v>0.06</v>
      </c>
      <c r="I6" s="1476">
        <v>6.5000000000000002E-2</v>
      </c>
      <c r="J6" s="364">
        <v>8.5000000000000006E-2</v>
      </c>
      <c r="K6" s="2498">
        <f>SUMIF('数据-汇总表'!C$19:C$33,A6,'数据-汇总表'!E$19:E$33)</f>
        <v>317263.48999999987</v>
      </c>
      <c r="L6" s="3422">
        <f>M6*10000/K6</f>
        <v>5930.8746808528167</v>
      </c>
      <c r="M6" s="3423">
        <f>面积表!D410</f>
        <v>188165</v>
      </c>
      <c r="N6" s="1475">
        <f>面积表!F410</f>
        <v>0.98</v>
      </c>
      <c r="O6" s="365">
        <f>面积表!G410</f>
        <v>183643</v>
      </c>
      <c r="P6" s="366">
        <f>IF($N$5="成新度","——",M6-O6)</f>
        <v>4522</v>
      </c>
      <c r="Q6" s="1478">
        <f>面积表!E410</f>
        <v>0.37</v>
      </c>
      <c r="R6" s="367">
        <f ca="1">SUMIF('数据-汇总表'!C$19:C$33,A6,'数据-汇总表'!R$19:R$27)</f>
        <v>346512.68999999994</v>
      </c>
      <c r="S6" s="343">
        <f>IF('数据-汇总表'!$I$17="按面积比例",SUMIF('数据-汇总表'!C$19:C$33,A6,'数据-汇总表'!K$19:K$33),SUMIF('数据-汇总表'!C$19:C$33,A6,'数据-汇总表'!N$19:N$33))</f>
        <v>8795.9599999999991</v>
      </c>
      <c r="T6" s="2895">
        <f>ROUND($L$14*S6/10000,0)</f>
        <v>2463</v>
      </c>
      <c r="U6" s="3484">
        <v>5.5</v>
      </c>
      <c r="V6" s="369">
        <v>0.03</v>
      </c>
      <c r="W6" s="369">
        <v>0.3</v>
      </c>
      <c r="X6" s="372"/>
      <c r="Y6" s="370">
        <v>1</v>
      </c>
      <c r="Z6" s="371"/>
      <c r="AA6" s="364"/>
      <c r="AB6" s="364"/>
      <c r="AC6" s="2508"/>
      <c r="AD6" s="372"/>
      <c r="AE6" s="2509">
        <f ca="1">IF(AN6="",0,SUMIF(INDIRECT("'"&amp;AN6&amp;"'"&amp;"!E:E"),$AE$5,INDIRECT("'"&amp;AN6&amp;"'"&amp;"!F:F")))</f>
        <v>34.06</v>
      </c>
      <c r="AF6" s="352"/>
      <c r="AG6" s="478">
        <f>IF(AF6="",0,AE6-AF6)</f>
        <v>0</v>
      </c>
      <c r="AH6" s="373"/>
      <c r="AI6" s="375">
        <v>365</v>
      </c>
      <c r="AJ6" s="376"/>
      <c r="AK6" s="3485">
        <v>1.4999999999999999E-2</v>
      </c>
      <c r="AL6" s="378">
        <v>2.5000000000000001E-3</v>
      </c>
      <c r="AM6" s="379">
        <v>0.1</v>
      </c>
      <c r="AN6" s="2578" t="s">
        <v>3520</v>
      </c>
      <c r="AO6" s="344">
        <f ca="1">SUMIF(INDIRECT("'"&amp;AN6&amp;"'"&amp;"!A:A"),"总价",INDIRECT("'"&amp;AN6&amp;"'"&amp;"!B:B"))</f>
        <v>540253</v>
      </c>
      <c r="AP6" s="2898">
        <f>IF(C6="住宅",K6*L6,0)</f>
        <v>0</v>
      </c>
      <c r="AQ6" s="344">
        <f>ROUND($L$14*$N$14*S6/10000,0)</f>
        <v>2438</v>
      </c>
      <c r="AR6" s="344">
        <f>ROUND($L$14*(1-$N$14)*S6/10000,0)</f>
        <v>25</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f>'数据-汇总表'!C20</f>
        <v>0</v>
      </c>
      <c r="B7" s="2495" t="str">
        <f t="shared" ref="B7:B13" si="0">IF(A7=0,"","经营性")</f>
        <v/>
      </c>
      <c r="C7" s="39"/>
      <c r="D7" s="2058">
        <f>SUMIF(项目基本情况!D$12:I$12,C7,项目基本情况!D$14:I$14)</f>
        <v>0</v>
      </c>
      <c r="E7" s="2052" t="str">
        <f>IF(B7="","",SUMIF(项目基本情况!D$12:I$12,C7,项目基本情况!D$13:I$13))</f>
        <v/>
      </c>
      <c r="F7" s="362">
        <f>SUMIF(项目基本情况!D$12:I$12,C7,项目基本情况!D$15:I$15)</f>
        <v>0</v>
      </c>
      <c r="G7" s="363">
        <f t="shared" ref="G7:G11" si="1">IF(ISERROR(ROUND(POWER(1+H7,D7-F7)*(POWER(1+H7,F7)-1)/(POWER(1+H7,D7)-1),3)),0,ROUND(POWER(1+H7,D7-F7)*(POWER(1+H7,F7)-1)/(POWER(1+H7,D7)-1),3))</f>
        <v>0</v>
      </c>
      <c r="H7" s="1476"/>
      <c r="I7" s="1476"/>
      <c r="J7" s="364"/>
      <c r="K7" s="2498">
        <f>SUMIF('数据-汇总表'!C$19:C$33,A7,'数据-汇总表'!E$19:E$33)</f>
        <v>0</v>
      </c>
      <c r="L7" s="1477"/>
      <c r="M7" s="365">
        <f t="shared" ref="M7:M11" si="2">ROUND(K7*L7/10000,0)</f>
        <v>0</v>
      </c>
      <c r="N7" s="1475"/>
      <c r="O7" s="365">
        <f t="shared" ref="O7:O13" si="3">IF($N$5="成新度","——",ROUND(M7*N7,0))</f>
        <v>0</v>
      </c>
      <c r="P7" s="366">
        <f t="shared" ref="P7:P14" si="4">IF($N$5="成新度","——",M7-O7)</f>
        <v>0</v>
      </c>
      <c r="Q7" s="1478"/>
      <c r="R7" s="367">
        <f ca="1">SUMIF('数据-汇总表'!C$19:C$33,A7,'数据-汇总表'!R$19:R$27)</f>
        <v>0</v>
      </c>
      <c r="S7" s="343">
        <f>IF('数据-汇总表'!$I$17="按面积比例",SUMIF('数据-汇总表'!C$19:C$33,A7,'数据-汇总表'!K$19:K$33),SUMIF('数据-汇总表'!C$19:C$33,A7,'数据-汇总表'!N$19:N$33))</f>
        <v>0</v>
      </c>
      <c r="T7" s="2895">
        <f t="shared" ref="T7:T13" si="5">ROUND($L$14*S7/10000,0)</f>
        <v>0</v>
      </c>
      <c r="U7" s="368"/>
      <c r="V7" s="369"/>
      <c r="W7" s="369"/>
      <c r="X7" s="2508"/>
      <c r="Y7" s="370"/>
      <c r="Z7" s="371"/>
      <c r="AA7" s="364"/>
      <c r="AB7" s="364"/>
      <c r="AC7" s="2508"/>
      <c r="AD7" s="372"/>
      <c r="AE7" s="2509">
        <f t="shared" ref="AE7:AE13" ca="1" si="6">IF(AN7="",0,SUMIF(INDIRECT("'"&amp;AN7&amp;"'"&amp;"!E:E"),$AE$5,INDIRECT("'"&amp;AN7&amp;"'"&amp;"!F:F")))</f>
        <v>0</v>
      </c>
      <c r="AF7" s="352"/>
      <c r="AG7" s="478">
        <f t="shared" ref="AG7:AG13" si="7">IF(AF7="",0,AE7-AF7)</f>
        <v>0</v>
      </c>
      <c r="AH7" s="373"/>
      <c r="AI7" s="375"/>
      <c r="AJ7" s="376"/>
      <c r="AK7" s="377"/>
      <c r="AL7" s="378"/>
      <c r="AM7" s="379"/>
      <c r="AN7" s="2578"/>
      <c r="AO7" s="344" t="e">
        <f t="shared" ref="AO7:AO13" ca="1" si="8">SUMIF(INDIRECT("'"&amp;AN7&amp;"'"&amp;"!A:A"),"总价",INDIRECT("'"&amp;AN7&amp;"'"&amp;"!B:B"))</f>
        <v>#REF!</v>
      </c>
      <c r="AP7" s="2898">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0"/>
        <v/>
      </c>
      <c r="C8" s="39"/>
      <c r="D8" s="2058">
        <f>SUMIF(项目基本情况!D$12:I$12,C8,项目基本情况!D$14:I$14)</f>
        <v>0</v>
      </c>
      <c r="E8" s="2052" t="str">
        <f>IF(B8="","",SUMIF(项目基本情况!D$12:I$12,C8,项目基本情况!D$13:I$13))</f>
        <v/>
      </c>
      <c r="F8" s="362">
        <f>SUMIF(项目基本情况!D$12:I$12,C8,项目基本情况!D$15:I$15)</f>
        <v>0</v>
      </c>
      <c r="G8" s="363">
        <f t="shared" si="1"/>
        <v>0</v>
      </c>
      <c r="H8" s="1476"/>
      <c r="I8" s="1476"/>
      <c r="J8" s="364"/>
      <c r="K8" s="2498">
        <f>SUMIF('数据-汇总表'!C$19:C$33,A8,'数据-汇总表'!E$19:E$33)</f>
        <v>0</v>
      </c>
      <c r="L8" s="1477"/>
      <c r="M8" s="365">
        <f>ROUND(K8*L8/10000,0)</f>
        <v>0</v>
      </c>
      <c r="N8" s="1475"/>
      <c r="O8" s="365">
        <f t="shared" si="3"/>
        <v>0</v>
      </c>
      <c r="P8" s="366">
        <f t="shared" si="4"/>
        <v>0</v>
      </c>
      <c r="Q8" s="1478"/>
      <c r="R8" s="367">
        <f ca="1">SUMIF('数据-汇总表'!C$19:C$33,A8,'数据-汇总表'!R$19:R$27)</f>
        <v>0</v>
      </c>
      <c r="S8" s="343">
        <f>IF('数据-汇总表'!$I$17="按面积比例",SUMIF('数据-汇总表'!C$19:C$33,A8,'数据-汇总表'!K$19:K$33),SUMIF('数据-汇总表'!C$19:C$33,A8,'数据-汇总表'!N$19:N$33))</f>
        <v>0</v>
      </c>
      <c r="T8" s="2895">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8">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0"/>
        <v/>
      </c>
      <c r="C9" s="39"/>
      <c r="D9" s="2058">
        <f>SUMIF(项目基本情况!D$12:I$12,C9,项目基本情况!D$14:I$14)</f>
        <v>0</v>
      </c>
      <c r="E9" s="2052" t="str">
        <f>IF(B9="","",SUMIF(项目基本情况!D$12:I$12,C9,项目基本情况!D$13:I$13))</f>
        <v/>
      </c>
      <c r="F9" s="362">
        <f>SUMIF(项目基本情况!D$12:I$12,C9,项目基本情况!D$15:I$15)</f>
        <v>0</v>
      </c>
      <c r="G9" s="363">
        <f t="shared" si="1"/>
        <v>0</v>
      </c>
      <c r="H9" s="364"/>
      <c r="I9" s="364"/>
      <c r="J9" s="364"/>
      <c r="K9" s="2498">
        <f>SUMIF('数据-汇总表'!C$19:C$33,A9,'数据-汇总表'!E$19:E$33)</f>
        <v>0</v>
      </c>
      <c r="L9" s="1477"/>
      <c r="M9" s="365">
        <f t="shared" si="2"/>
        <v>0</v>
      </c>
      <c r="N9" s="1475"/>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5">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8">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0"/>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1"/>
        <v>0</v>
      </c>
      <c r="H10" s="364"/>
      <c r="I10" s="364"/>
      <c r="J10" s="364"/>
      <c r="K10" s="2498">
        <f>SUMIF('数据-汇总表'!C$19:C$33,A10,'数据-汇总表'!E$19:E$33)</f>
        <v>0</v>
      </c>
      <c r="L10" s="1477"/>
      <c r="M10" s="365">
        <f t="shared" si="2"/>
        <v>0</v>
      </c>
      <c r="N10" s="1475"/>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5">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8">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0"/>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1"/>
        <v>0</v>
      </c>
      <c r="H11" s="364"/>
      <c r="I11" s="364"/>
      <c r="J11" s="364"/>
      <c r="K11" s="2498">
        <f>SUMIF('数据-汇总表'!C$19:C$33,A11,'数据-汇总表'!E$19:E$33)</f>
        <v>0</v>
      </c>
      <c r="L11" s="381"/>
      <c r="M11" s="365">
        <f t="shared" si="2"/>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5">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8">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0"/>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5">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8">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0"/>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5">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8">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534</v>
      </c>
      <c r="B14" s="2495" t="s">
        <v>533</v>
      </c>
      <c r="C14" s="2496" t="s">
        <v>534</v>
      </c>
      <c r="D14" s="2058"/>
      <c r="E14" s="2052"/>
      <c r="F14" s="362"/>
      <c r="G14" s="363"/>
      <c r="H14" s="2497"/>
      <c r="I14" s="2497"/>
      <c r="J14" s="2497"/>
      <c r="K14" s="2498">
        <f>SUMIF('数据-汇总表'!C$19:C$33,A14,'数据-汇总表'!E$19:E$33)</f>
        <v>8795.9600000000028</v>
      </c>
      <c r="L14" s="381">
        <f>面积表!C411</f>
        <v>2800</v>
      </c>
      <c r="M14" s="365">
        <f>面积表!D411</f>
        <v>2463</v>
      </c>
      <c r="N14" s="382">
        <f>面积表!F411</f>
        <v>0.99</v>
      </c>
      <c r="O14" s="365">
        <f>面积表!G411</f>
        <v>2438</v>
      </c>
      <c r="P14" s="366">
        <f t="shared" si="4"/>
        <v>25</v>
      </c>
      <c r="Q14" s="2501"/>
      <c r="R14" s="367"/>
      <c r="S14" s="343"/>
      <c r="T14" s="2895"/>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2395</v>
      </c>
      <c r="B15" s="2495" t="s">
        <v>533</v>
      </c>
      <c r="C15" s="2496" t="s">
        <v>2099</v>
      </c>
      <c r="D15" s="2058"/>
      <c r="E15" s="2052"/>
      <c r="F15" s="362"/>
      <c r="G15" s="363"/>
      <c r="H15" s="2497"/>
      <c r="I15" s="2497"/>
      <c r="J15" s="2497"/>
      <c r="K15" s="2498">
        <f>SUMIF('数据-汇总表'!C$19:C$33,A15,'数据-汇总表'!E$19:E$33)</f>
        <v>0</v>
      </c>
      <c r="L15" s="2499"/>
      <c r="M15" s="365"/>
      <c r="N15" s="2500"/>
      <c r="O15" s="365"/>
      <c r="P15" s="366"/>
      <c r="Q15" s="2501"/>
      <c r="R15" s="367"/>
      <c r="S15" s="343"/>
      <c r="T15" s="2895"/>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0.95499999999999996</v>
      </c>
      <c r="H16" s="389">
        <f>ROUND(SUMPRODUCT(H6:H13,K6:K13)/SUMPRODUCT((H6:H13&gt;0)*(K6:K13)),3)</f>
        <v>0.06</v>
      </c>
      <c r="I16" s="390"/>
      <c r="J16" s="390"/>
      <c r="K16" s="391">
        <f>SUM(K6:K15)</f>
        <v>326059.4499999999</v>
      </c>
      <c r="L16" s="392">
        <f>ROUND(M16*10000/SUM(K6:K14),0)</f>
        <v>5846</v>
      </c>
      <c r="M16" s="392">
        <f>SUM(M6:M14)</f>
        <v>190628</v>
      </c>
      <c r="N16" s="393">
        <f>ROUND(SUMPRODUCT(M6:M14,N6:N14)/M16,3)</f>
        <v>0.98</v>
      </c>
      <c r="O16" s="392">
        <f>SUM(O6:O14)</f>
        <v>186081</v>
      </c>
      <c r="P16" s="392">
        <f>SUM(P6:P14)</f>
        <v>4547</v>
      </c>
      <c r="Q16" s="394">
        <f>ROUND(SUMPRODUCT(Q6:Q13,K6:K13)/SUMPRODUCT((Q6:Q13&gt;0)*(K6:K13)),2)</f>
        <v>0.37</v>
      </c>
      <c r="R16" s="2502">
        <f ca="1">SUM(R6:R13)</f>
        <v>346512.68999999994</v>
      </c>
      <c r="S16" s="395">
        <f>SUM(S6:S13)</f>
        <v>8795.9599999999991</v>
      </c>
      <c r="T16" s="396">
        <f>IF(SUMIF(T6:T13,"&lt;9E307")=M14,SUMIF(T6:T13,"&lt;9E307"),"有误，请检查")</f>
        <v>2463</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2411</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700</v>
      </c>
      <c r="B20" s="403">
        <v>4</v>
      </c>
      <c r="C20" s="2234" t="s">
        <v>2412</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701</v>
      </c>
      <c r="B21" s="403">
        <v>3.9</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702</v>
      </c>
      <c r="B22" s="404">
        <f>B19+B20</f>
        <v>4</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703</v>
      </c>
      <c r="B23" s="404">
        <f>B19+B21</f>
        <v>3.9</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704</v>
      </c>
      <c r="B24" s="405">
        <f>B20-B21</f>
        <v>0.10000000000000009</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705</v>
      </c>
      <c r="B26" s="72" t="s">
        <v>706</v>
      </c>
      <c r="C26" s="2237" t="s">
        <v>707</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708</v>
      </c>
      <c r="B27" s="406">
        <v>100</v>
      </c>
      <c r="C27" s="2530" t="s">
        <v>709</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710</v>
      </c>
      <c r="B28" s="409">
        <f>150/2</f>
        <v>75</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2689</v>
      </c>
      <c r="B29" s="411">
        <v>2192</v>
      </c>
      <c r="C29" s="2530" t="s">
        <v>2690</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711</v>
      </c>
      <c r="B30" s="1134">
        <v>500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712</v>
      </c>
      <c r="B31" s="410">
        <f>B30-B32</f>
        <v>500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713</v>
      </c>
      <c r="B32" s="1135"/>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714</v>
      </c>
      <c r="B33" s="1136">
        <v>0.1</v>
      </c>
      <c r="C33" s="3295" t="s">
        <v>3002</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715</v>
      </c>
      <c r="B34" s="412">
        <v>0</v>
      </c>
      <c r="C34" s="3295" t="s">
        <v>3003</v>
      </c>
      <c r="D34" s="2235" t="s">
        <v>716</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717</v>
      </c>
      <c r="B35" s="409">
        <v>500</v>
      </c>
      <c r="C35" s="3295" t="s">
        <v>3004</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718</v>
      </c>
      <c r="B36" s="413">
        <v>1.4999999999999999E-2</v>
      </c>
      <c r="C36" s="3295" t="s">
        <v>3005</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719</v>
      </c>
      <c r="B37" s="414">
        <v>0.03</v>
      </c>
      <c r="C37" s="3295" t="s">
        <v>3006</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720</v>
      </c>
      <c r="B38" s="412">
        <v>0.03</v>
      </c>
      <c r="C38" s="3295" t="s">
        <v>3006</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2539</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2615</v>
      </c>
      <c r="B40" s="2638">
        <f ca="1">存贷款利率!G1</f>
        <v>4.7500000000000001E-2</v>
      </c>
      <c r="C40" s="2532" t="s">
        <v>538</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721</v>
      </c>
      <c r="B41" s="415">
        <f>B42+B43</f>
        <v>5.5000000000000007E-2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722</v>
      </c>
      <c r="B42" s="416">
        <v>0.05</v>
      </c>
      <c r="C42" s="3317">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723</v>
      </c>
      <c r="B43" s="417">
        <f>B42*(B44+B45+B46)+B47</f>
        <v>5.000000000000001E-3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724</v>
      </c>
      <c r="B44" s="418">
        <v>0.05</v>
      </c>
      <c r="C44" s="3295" t="s">
        <v>3008</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725</v>
      </c>
      <c r="B45" s="416">
        <v>0.03</v>
      </c>
      <c r="C45" s="3296" t="s">
        <v>3007</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726</v>
      </c>
      <c r="B46" s="416">
        <v>0.02</v>
      </c>
      <c r="C46" s="3296" t="s">
        <v>3036</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727</v>
      </c>
      <c r="B47" s="419">
        <v>0</v>
      </c>
      <c r="C47" s="2530" t="s">
        <v>728</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729</v>
      </c>
      <c r="B48" s="420">
        <v>0.03</v>
      </c>
      <c r="C48" s="3315" t="s">
        <v>3037</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730</v>
      </c>
      <c r="B49" s="416">
        <v>5.0000000000000001E-4</v>
      </c>
      <c r="C49" s="3315" t="s">
        <v>3038</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731</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732</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733</v>
      </c>
      <c r="B52" s="423">
        <f>SUMIF(A54:A63,B53,B54:B63)</f>
        <v>1.5</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734</v>
      </c>
      <c r="B53" s="41" t="s">
        <v>203</v>
      </c>
      <c r="C53" s="2236" t="s">
        <v>3009</v>
      </c>
      <c r="D53" s="2239" t="s">
        <v>3013</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2857">
        <v>30</v>
      </c>
      <c r="C54" s="2857">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2857">
        <v>24</v>
      </c>
      <c r="C55" s="2857">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2857">
        <v>18</v>
      </c>
      <c r="C56" s="2857">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2857">
        <v>12</v>
      </c>
      <c r="C57" s="2857">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2857">
        <v>3</v>
      </c>
      <c r="C58" s="2857">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2857">
        <v>1.5</v>
      </c>
      <c r="C59" s="2857">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1174</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3010</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3011</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3012</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18" sqref="J18"/>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630" t="s">
        <v>749</v>
      </c>
      <c r="B1" s="3631"/>
      <c r="C1" s="3631"/>
      <c r="D1" s="3631"/>
      <c r="E1" s="3631"/>
      <c r="F1" s="3631"/>
      <c r="G1" s="3631"/>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750</v>
      </c>
      <c r="D2" s="1212"/>
      <c r="E2" s="1213"/>
      <c r="F2" s="1200"/>
      <c r="G2" s="1211" t="s">
        <v>751</v>
      </c>
      <c r="H2" s="2257"/>
      <c r="I2" s="2257"/>
      <c r="J2" s="2257"/>
      <c r="K2" s="2257"/>
      <c r="L2" s="2257"/>
      <c r="M2" s="2257"/>
      <c r="N2" s="2257"/>
      <c r="O2" s="2257"/>
      <c r="P2" s="2257"/>
      <c r="Q2" s="2257"/>
      <c r="R2" s="2257"/>
    </row>
    <row r="3" spans="1:29" ht="54">
      <c r="A3" s="1021" t="s">
        <v>752</v>
      </c>
      <c r="B3" s="51" t="s">
        <v>52</v>
      </c>
      <c r="C3" s="3424" t="s">
        <v>3521</v>
      </c>
      <c r="D3" s="2258"/>
      <c r="E3" s="1030" t="s">
        <v>752</v>
      </c>
      <c r="F3" s="1214" t="s">
        <v>99</v>
      </c>
      <c r="G3" s="3298" t="s">
        <v>3016</v>
      </c>
      <c r="H3" s="2257"/>
      <c r="I3" s="2257"/>
      <c r="J3" s="2257"/>
      <c r="K3" s="2257"/>
      <c r="L3" s="2257"/>
      <c r="M3" s="2257"/>
      <c r="N3" s="2257"/>
      <c r="O3" s="2257"/>
      <c r="P3" s="2257"/>
      <c r="Q3" s="2257"/>
      <c r="R3" s="2257"/>
    </row>
    <row r="4" spans="1:29" ht="54">
      <c r="A4" s="1030"/>
      <c r="B4" s="2213" t="s">
        <v>753</v>
      </c>
      <c r="C4" s="3425" t="s">
        <v>3522</v>
      </c>
      <c r="D4" s="2258"/>
      <c r="E4" s="1215"/>
      <c r="F4" s="2217" t="s">
        <v>754</v>
      </c>
      <c r="G4" s="3297" t="s">
        <v>755</v>
      </c>
      <c r="H4" s="2257"/>
      <c r="I4" s="2257"/>
      <c r="J4" s="2257"/>
      <c r="K4" s="2257"/>
      <c r="L4" s="2257"/>
      <c r="M4" s="2257"/>
      <c r="N4" s="2257"/>
      <c r="O4" s="2257"/>
      <c r="P4" s="2257"/>
      <c r="Q4" s="2257"/>
      <c r="R4" s="2257"/>
    </row>
    <row r="5" spans="1:29" ht="40.5">
      <c r="A5" s="1030"/>
      <c r="B5" s="2213" t="s">
        <v>756</v>
      </c>
      <c r="C5" s="3425" t="s">
        <v>3523</v>
      </c>
      <c r="D5" s="2258"/>
      <c r="E5" s="1215"/>
      <c r="F5" s="2746" t="s">
        <v>2632</v>
      </c>
      <c r="G5" s="3297" t="s">
        <v>2634</v>
      </c>
      <c r="H5" s="2257"/>
      <c r="I5" s="2257"/>
      <c r="J5" s="2257"/>
      <c r="K5" s="2257"/>
      <c r="L5" s="2257"/>
      <c r="M5" s="2257"/>
      <c r="N5" s="2257"/>
      <c r="O5" s="2257"/>
      <c r="P5" s="2257"/>
      <c r="Q5" s="2257"/>
      <c r="R5" s="2257"/>
    </row>
    <row r="6" spans="1:29" ht="54">
      <c r="A6" s="1030"/>
      <c r="B6" s="2213" t="s">
        <v>72</v>
      </c>
      <c r="C6" s="3426" t="s">
        <v>3524</v>
      </c>
      <c r="D6" s="2258"/>
      <c r="E6" s="1215"/>
      <c r="F6" s="2746" t="s">
        <v>2631</v>
      </c>
      <c r="G6" s="3297" t="s">
        <v>2633</v>
      </c>
      <c r="H6" s="2257"/>
      <c r="I6" s="2257"/>
      <c r="J6" s="2257"/>
      <c r="K6" s="2257"/>
      <c r="L6" s="2257"/>
      <c r="M6" s="2257"/>
      <c r="N6" s="2257"/>
      <c r="O6" s="2257"/>
      <c r="P6" s="2257"/>
      <c r="Q6" s="2257"/>
      <c r="R6" s="2257"/>
    </row>
    <row r="7" spans="1:29" ht="54.75" thickBot="1">
      <c r="A7" s="1030"/>
      <c r="B7" s="2213" t="s">
        <v>2632</v>
      </c>
      <c r="C7" s="3426" t="s">
        <v>3525</v>
      </c>
      <c r="D7" s="2259"/>
      <c r="E7" s="1216"/>
      <c r="F7" s="1217" t="s">
        <v>735</v>
      </c>
      <c r="G7" s="3299" t="s">
        <v>3017</v>
      </c>
      <c r="H7" s="2257"/>
      <c r="I7" s="2257"/>
      <c r="J7" s="2257"/>
      <c r="K7" s="2257"/>
      <c r="L7" s="2257"/>
      <c r="M7" s="2257"/>
      <c r="N7" s="2257"/>
      <c r="O7" s="2257"/>
      <c r="P7" s="2257"/>
      <c r="Q7" s="2257"/>
      <c r="R7" s="2257"/>
    </row>
    <row r="8" spans="1:29" ht="54">
      <c r="A8" s="1030"/>
      <c r="B8" s="2746" t="s">
        <v>2631</v>
      </c>
      <c r="C8" s="3426" t="s">
        <v>3525</v>
      </c>
      <c r="D8" s="2259"/>
      <c r="E8" s="2259"/>
      <c r="F8" s="2260"/>
      <c r="G8" s="2260"/>
      <c r="H8" s="2257"/>
      <c r="I8" s="2257"/>
      <c r="J8" s="2257"/>
      <c r="K8" s="2257"/>
      <c r="L8" s="2257"/>
      <c r="M8" s="2257"/>
      <c r="N8" s="2257"/>
      <c r="O8" s="2257"/>
      <c r="P8" s="2257"/>
      <c r="Q8" s="2257"/>
      <c r="R8" s="2257"/>
    </row>
    <row r="9" spans="1:29" ht="27">
      <c r="A9" s="1030"/>
      <c r="B9" s="2213" t="s">
        <v>73</v>
      </c>
      <c r="C9" s="3425" t="s">
        <v>3526</v>
      </c>
      <c r="D9" s="2258"/>
      <c r="E9" s="2259"/>
      <c r="F9" s="2260"/>
      <c r="G9" s="2260"/>
      <c r="H9" s="2257"/>
      <c r="I9" s="2257"/>
      <c r="J9" s="2257"/>
      <c r="K9" s="2257"/>
      <c r="L9" s="2257"/>
      <c r="M9" s="2257"/>
      <c r="N9" s="2257"/>
      <c r="O9" s="2257"/>
      <c r="P9" s="2257"/>
      <c r="Q9" s="2257"/>
      <c r="R9" s="2257"/>
    </row>
    <row r="10" spans="1:29" s="40" customFormat="1" ht="14.25" thickBot="1">
      <c r="A10" s="1219"/>
      <c r="B10" s="1220" t="s">
        <v>736</v>
      </c>
      <c r="C10" s="3427" t="s">
        <v>3527</v>
      </c>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737</v>
      </c>
      <c r="B13" s="2744"/>
      <c r="C13" s="2744"/>
      <c r="D13" s="2256"/>
      <c r="E13" s="2744"/>
      <c r="F13" s="2744"/>
      <c r="G13" s="2744"/>
    </row>
    <row r="14" spans="1:29" ht="14.25" thickBot="1">
      <c r="A14" s="1221"/>
      <c r="B14" s="1222"/>
      <c r="C14" s="1223" t="s">
        <v>738</v>
      </c>
      <c r="D14" s="2258"/>
      <c r="E14" s="1224"/>
      <c r="F14" s="1224"/>
      <c r="G14" s="1211" t="s">
        <v>739</v>
      </c>
    </row>
    <row r="15" spans="1:29" ht="54">
      <c r="A15" s="46" t="s">
        <v>740</v>
      </c>
      <c r="B15" s="14" t="s">
        <v>52</v>
      </c>
      <c r="C15" s="1225" t="str">
        <f>C3</f>
        <v>估价对象周边居住用地比例、居住小区规模和社区发展完善程度，综合评价居住社区成熟度一般</v>
      </c>
      <c r="D15" s="2258"/>
      <c r="E15" s="2759" t="s">
        <v>741</v>
      </c>
      <c r="F15" s="14" t="s">
        <v>742</v>
      </c>
      <c r="G15" s="1023" t="str">
        <f>G3</f>
        <v>估价对象位于XX开发区，园区建设成熟度XX，产业集聚程度XX</v>
      </c>
    </row>
    <row r="16" spans="1:29" ht="54">
      <c r="A16" s="2762"/>
      <c r="B16" s="1226" t="s">
        <v>743</v>
      </c>
      <c r="C16" s="1227" t="str">
        <f>C4</f>
        <v>估价对象区域内无大型商业项目，零星分布农村商店，人流量较少，区域内商业繁华度一般</v>
      </c>
      <c r="D16" s="2258"/>
      <c r="E16" s="2760"/>
      <c r="F16" s="1228" t="s">
        <v>744</v>
      </c>
      <c r="G16" s="1025" t="str">
        <f>G4</f>
        <v>估价对象周边道路状况、公共交通通达情况、停车便捷程度，综合评价交通便捷度较好</v>
      </c>
    </row>
    <row r="17" spans="1:18" ht="40.5">
      <c r="A17" s="2762"/>
      <c r="B17" s="1226" t="s">
        <v>745</v>
      </c>
      <c r="C17" s="1227" t="str">
        <f>C5</f>
        <v>估价对象位于XX商圈，周边办公楼项目较多，入驻率高，办公集聚程度较好</v>
      </c>
      <c r="D17" s="2259"/>
      <c r="E17" s="2760"/>
      <c r="F17" s="1228" t="s">
        <v>746</v>
      </c>
      <c r="G17" s="271"/>
    </row>
    <row r="18" spans="1:18" ht="54">
      <c r="A18" s="2762"/>
      <c r="B18" s="1228" t="s">
        <v>72</v>
      </c>
      <c r="C18" s="1025" t="str">
        <f>C6</f>
        <v>估价对象紧邻大广高速，周边有密37、密50、密51路等公交线路，综合评价交通便捷度较好</v>
      </c>
      <c r="D18" s="2259"/>
      <c r="E18" s="2760"/>
      <c r="F18" s="1228" t="s">
        <v>735</v>
      </c>
      <c r="G18" s="1025" t="str">
        <f>G7</f>
        <v>该园区内是否有污染型企业，绿化情况，卫生条件，整体环境状况判断</v>
      </c>
    </row>
    <row r="19" spans="1:18" ht="27">
      <c r="A19" s="2762"/>
      <c r="B19" s="1228" t="s">
        <v>91</v>
      </c>
      <c r="C19" s="271" t="s">
        <v>3528</v>
      </c>
      <c r="D19" s="2258"/>
      <c r="E19" s="2760"/>
      <c r="F19" s="2746" t="s">
        <v>2632</v>
      </c>
      <c r="G19" s="1025" t="str">
        <f>G5</f>
        <v>估价对象所在区域公共配套设施齐备情况</v>
      </c>
    </row>
    <row r="20" spans="1:18" ht="27">
      <c r="A20" s="2762"/>
      <c r="B20" s="1228" t="s">
        <v>90</v>
      </c>
      <c r="C20" s="1227" t="str">
        <f>C9</f>
        <v>区域有司马台长城、鸳鸯湖水库；综合评价环境状况好</v>
      </c>
      <c r="D20" s="2259"/>
      <c r="E20" s="2760"/>
      <c r="F20" s="2746" t="s">
        <v>2631</v>
      </c>
      <c r="G20" s="1025" t="str">
        <f>G6</f>
        <v>估价对象所在区域基础设施水平</v>
      </c>
    </row>
    <row r="21" spans="1:18" ht="54">
      <c r="A21" s="2762"/>
      <c r="B21" s="2746" t="s">
        <v>2632</v>
      </c>
      <c r="C21" s="1025" t="str">
        <f>C7</f>
        <v>估价对象所在区域公共配套设施齐备情况；基础设施水平；综合评价公用设施及基础设施水平一般</v>
      </c>
      <c r="D21" s="2258"/>
      <c r="E21" s="2760"/>
      <c r="F21" s="1228" t="s">
        <v>89</v>
      </c>
      <c r="G21" s="283"/>
    </row>
    <row r="22" spans="1:18" ht="13.5" customHeight="1">
      <c r="A22" s="2762"/>
      <c r="B22" s="2746" t="s">
        <v>2631</v>
      </c>
      <c r="C22" s="1025" t="str">
        <f>C8</f>
        <v>估价对象所在区域公共配套设施齐备情况；基础设施水平；综合评价公用设施及基础设施水平一般</v>
      </c>
      <c r="D22" s="2258"/>
      <c r="E22" s="2760"/>
      <c r="F22" s="1228" t="s">
        <v>747</v>
      </c>
      <c r="G22" s="271"/>
    </row>
    <row r="23" spans="1:18" s="2257" customFormat="1" ht="14.25" thickBot="1">
      <c r="A23" s="2762"/>
      <c r="B23" s="1228" t="s">
        <v>89</v>
      </c>
      <c r="C23" s="283" t="s">
        <v>3529</v>
      </c>
      <c r="D23" s="2270"/>
      <c r="E23" s="2761"/>
      <c r="F23" s="1229" t="s">
        <v>748</v>
      </c>
      <c r="G23" s="284"/>
      <c r="H23" s="2270"/>
      <c r="I23" s="2271"/>
      <c r="J23" s="2270"/>
      <c r="K23" s="2270"/>
      <c r="L23" s="2271"/>
      <c r="M23" s="2270"/>
      <c r="N23" s="2270"/>
      <c r="O23" s="2271"/>
      <c r="P23" s="2270"/>
      <c r="Q23" s="2270"/>
      <c r="R23" s="2272"/>
    </row>
    <row r="24" spans="1:18" s="2257" customFormat="1" ht="14.25" thickBot="1">
      <c r="A24" s="2763"/>
      <c r="B24" s="1229" t="s">
        <v>88</v>
      </c>
      <c r="C24" s="1230" t="str">
        <f>C10</f>
        <v>高速路——大广高速</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1959</v>
      </c>
      <c r="B36" s="1888" t="s">
        <v>1960</v>
      </c>
    </row>
    <row r="37" spans="1:9" ht="27.75" customHeight="1">
      <c r="A37" s="1888"/>
      <c r="B37" s="3502" t="str">
        <f>项目基本情况!B1</f>
        <v>北京市密云县司马台村出让国有建设用地使用权及在建建筑物房地产抵押价值预评估</v>
      </c>
      <c r="C37" s="3502"/>
      <c r="D37" s="3502"/>
      <c r="E37" s="3502"/>
      <c r="F37" s="3502"/>
      <c r="G37" s="3502"/>
      <c r="H37" s="3502"/>
      <c r="I37" s="3502"/>
    </row>
    <row r="38" spans="1:9">
      <c r="A38" s="1890"/>
      <c r="B38" s="1890"/>
    </row>
    <row r="39" spans="1:9">
      <c r="A39" s="1888" t="s">
        <v>1959</v>
      </c>
      <c r="B39" s="1888" t="s">
        <v>1961</v>
      </c>
    </row>
    <row r="40" spans="1:9">
      <c r="A40" s="1888"/>
      <c r="B40" s="1888" t="str">
        <f>项目基本情况!B5</f>
        <v>北京古北水镇旅游有限公司</v>
      </c>
    </row>
    <row r="41" spans="1:9">
      <c r="A41" s="1888"/>
      <c r="B41" s="1888"/>
    </row>
    <row r="42" spans="1:9">
      <c r="A42" s="1888" t="s">
        <v>1959</v>
      </c>
      <c r="B42" s="1888" t="s">
        <v>1962</v>
      </c>
    </row>
    <row r="43" spans="1:9">
      <c r="A43" s="1888"/>
      <c r="B43" s="1888" t="s">
        <v>1963</v>
      </c>
    </row>
    <row r="44" spans="1:9">
      <c r="A44" s="1888"/>
      <c r="B44" s="1888"/>
    </row>
    <row r="45" spans="1:9">
      <c r="A45" s="1888" t="s">
        <v>1959</v>
      </c>
      <c r="B45" s="1888" t="s">
        <v>1964</v>
      </c>
    </row>
    <row r="46" spans="1:9" s="1888" customFormat="1" ht="12.75">
      <c r="B46" s="1888" t="str">
        <f ca="1">项目基本情况!K4</f>
        <v>欧红伟（注册号：1120000080)、梁津（注册号：1119970066)</v>
      </c>
    </row>
    <row r="47" spans="1:9">
      <c r="A47" s="1888"/>
      <c r="B47" s="1888" t="str">
        <f>项目基本情况!K5</f>
        <v/>
      </c>
    </row>
    <row r="48" spans="1:9">
      <c r="A48" s="1888" t="s">
        <v>1959</v>
      </c>
      <c r="B48" s="1888" t="s">
        <v>1965</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7" customWidth="1"/>
    <col min="2" max="9" width="15.75" style="3257" customWidth="1"/>
    <col min="10" max="16384" width="9" style="3257"/>
  </cols>
  <sheetData>
    <row r="1" spans="1:10" ht="16.5">
      <c r="A1" s="3262" t="s">
        <v>2985</v>
      </c>
      <c r="B1" s="3262">
        <f>SUM(B14:B23)</f>
        <v>326059.4499999999</v>
      </c>
      <c r="C1" s="3261"/>
      <c r="D1" s="3261"/>
      <c r="E1" s="3261"/>
      <c r="F1" s="3261"/>
      <c r="G1" s="3259"/>
    </row>
    <row r="2" spans="1:10" ht="16.5">
      <c r="A2" s="3262" t="s">
        <v>2973</v>
      </c>
      <c r="B2" s="3262">
        <f>SUM(C14:C23)</f>
        <v>346512.69</v>
      </c>
      <c r="C2" s="3261"/>
      <c r="D2" s="3261"/>
      <c r="E2" s="3261"/>
      <c r="F2" s="3261"/>
      <c r="G2" s="3259"/>
    </row>
    <row r="3" spans="1:10" ht="16.5">
      <c r="A3" s="3262" t="s">
        <v>2982</v>
      </c>
      <c r="B3" s="3263">
        <f>项目基本情况!D3</f>
        <v>42941</v>
      </c>
      <c r="C3" s="3261"/>
      <c r="D3" s="3261"/>
      <c r="E3" s="3261"/>
      <c r="F3" s="3261"/>
      <c r="G3" s="3259"/>
    </row>
    <row r="4" spans="1:10" ht="33">
      <c r="A4" s="3262" t="s">
        <v>2981</v>
      </c>
      <c r="B4" s="3262" t="s">
        <v>2980</v>
      </c>
      <c r="C4" s="3262" t="s">
        <v>2979</v>
      </c>
      <c r="D4" s="3262" t="s">
        <v>2978</v>
      </c>
      <c r="E4" s="3261"/>
      <c r="F4" s="3259"/>
      <c r="G4" s="3259"/>
    </row>
    <row r="5" spans="1:10" ht="16.5">
      <c r="A5" s="3262" t="s">
        <v>2977</v>
      </c>
      <c r="B5" s="3262">
        <f ca="1">SUM(D14:D23)</f>
        <v>465899</v>
      </c>
      <c r="C5" s="3262">
        <f ca="1">ROUND(B5*10000/$B$1,0)</f>
        <v>14289</v>
      </c>
      <c r="D5" s="3262">
        <f ca="1">ROUND(B5*10000/$B$2,0)</f>
        <v>13445</v>
      </c>
      <c r="E5" s="3261"/>
      <c r="F5" s="3259"/>
      <c r="G5" s="3259"/>
    </row>
    <row r="6" spans="1:10" ht="16.5">
      <c r="A6" s="3262" t="s">
        <v>2976</v>
      </c>
      <c r="B6" s="3262">
        <f>SUM(G14:G23)</f>
        <v>0</v>
      </c>
      <c r="C6" s="3262">
        <f>ROUND(B6*10000/$B$1,0)</f>
        <v>0</v>
      </c>
      <c r="D6" s="3262">
        <f>ROUND(B6*10000/$B$2,0)</f>
        <v>0</v>
      </c>
      <c r="E6" s="3261"/>
      <c r="F6" s="3259"/>
      <c r="G6" s="3259"/>
    </row>
    <row r="7" spans="1:10" ht="16.5">
      <c r="A7" s="3262" t="s">
        <v>2984</v>
      </c>
      <c r="B7" s="3262">
        <f ca="1">SUM(H14:H23)</f>
        <v>451421</v>
      </c>
      <c r="C7" s="3262">
        <f ca="1">ROUND(B7*10000/$B$1,0)</f>
        <v>13845</v>
      </c>
      <c r="D7" s="3262">
        <f ca="1">ROUND(B7*10000/$B$2,0)</f>
        <v>13028</v>
      </c>
      <c r="E7" s="3261"/>
      <c r="F7" s="3259"/>
      <c r="G7" s="3259"/>
    </row>
    <row r="8" spans="1:10" ht="16.5">
      <c r="A8" s="3262" t="s">
        <v>2874</v>
      </c>
      <c r="B8" s="3262">
        <f>SUM(I14:I23)</f>
        <v>0</v>
      </c>
      <c r="C8" s="3262">
        <f>ROUND(B8*10000/$B$1,0)</f>
        <v>0</v>
      </c>
      <c r="D8" s="3262">
        <f>ROUND(B8*10000/$B$2,0)</f>
        <v>0</v>
      </c>
      <c r="E8" s="3261"/>
      <c r="F8" s="3259"/>
      <c r="G8" s="3259"/>
    </row>
    <row r="9" spans="1:10" ht="16.5">
      <c r="A9" s="3262" t="s">
        <v>2975</v>
      </c>
      <c r="B9" s="3264"/>
      <c r="C9" s="3261"/>
      <c r="D9" s="3261"/>
      <c r="E9" s="3261"/>
      <c r="F9" s="3259"/>
      <c r="G9" s="3259"/>
    </row>
    <row r="10" spans="1:10" ht="16.5">
      <c r="A10" s="3262" t="s">
        <v>2974</v>
      </c>
      <c r="B10" s="3264"/>
      <c r="C10" s="3261"/>
      <c r="D10" s="3261"/>
      <c r="E10" s="3261"/>
      <c r="F10" s="3259"/>
      <c r="G10" s="3259"/>
    </row>
    <row r="11" spans="1:10" ht="16.5">
      <c r="A11" s="3262" t="s">
        <v>2990</v>
      </c>
      <c r="B11" s="3264"/>
      <c r="C11" s="3261"/>
      <c r="D11" s="3261"/>
      <c r="E11" s="3261"/>
      <c r="F11" s="3259"/>
      <c r="G11" s="3259"/>
    </row>
    <row r="12" spans="1:10" ht="16.5">
      <c r="A12" s="3261"/>
      <c r="B12" s="3261"/>
      <c r="C12" s="3261"/>
      <c r="D12" s="3261"/>
      <c r="E12" s="3261"/>
      <c r="F12" s="3259"/>
      <c r="G12" s="3259"/>
    </row>
    <row r="13" spans="1:10" ht="33">
      <c r="A13" s="3267" t="s">
        <v>2989</v>
      </c>
      <c r="B13" s="3260" t="s">
        <v>2986</v>
      </c>
      <c r="C13" s="3260" t="s">
        <v>2988</v>
      </c>
      <c r="D13" s="3260" t="s">
        <v>2987</v>
      </c>
      <c r="E13" s="3262" t="s">
        <v>2979</v>
      </c>
      <c r="F13" s="3262" t="s">
        <v>2978</v>
      </c>
      <c r="G13" s="3260" t="s">
        <v>2972</v>
      </c>
      <c r="H13" s="3260" t="s">
        <v>2983</v>
      </c>
      <c r="I13" s="3260" t="s">
        <v>2971</v>
      </c>
      <c r="J13" s="3259"/>
    </row>
    <row r="14" spans="1:10" ht="16.5">
      <c r="A14" s="3258" t="s">
        <v>2970</v>
      </c>
      <c r="B14" s="3260">
        <f>'数据-汇总表'!E3</f>
        <v>326059.4499999999</v>
      </c>
      <c r="C14" s="3260">
        <f>'数据-汇总表'!D3</f>
        <v>346512.69</v>
      </c>
      <c r="D14" s="3260">
        <f ca="1">结果表!H118</f>
        <v>465899</v>
      </c>
      <c r="E14" s="3260">
        <f ca="1">ROUND(D14*10000/B14,0)</f>
        <v>14289</v>
      </c>
      <c r="F14" s="3260">
        <f ca="1">ROUND(D14*10000/C14,0)</f>
        <v>13445</v>
      </c>
      <c r="G14" s="3260" t="str">
        <f>结果表!D122</f>
        <v>——</v>
      </c>
      <c r="H14" s="3260">
        <f ca="1">结果表!D124</f>
        <v>451421</v>
      </c>
      <c r="I14" s="3260" t="str">
        <f>结果表!D126</f>
        <v>——</v>
      </c>
      <c r="J14" s="3259"/>
    </row>
    <row r="15" spans="1:10" ht="16.5">
      <c r="A15" s="3258" t="s">
        <v>2969</v>
      </c>
      <c r="B15" s="3265"/>
      <c r="C15" s="3265"/>
      <c r="D15" s="3265"/>
      <c r="E15" s="3260" t="e">
        <f t="shared" ref="E15:E23" si="0">ROUND(D15*10000/B15,0)</f>
        <v>#DIV/0!</v>
      </c>
      <c r="F15" s="3260" t="e">
        <f t="shared" ref="F15:F23" si="1">ROUND(D15*10000/C15,0)</f>
        <v>#DIV/0!</v>
      </c>
      <c r="G15" s="3266"/>
      <c r="H15" s="3266"/>
      <c r="I15" s="3265"/>
      <c r="J15" s="3259"/>
    </row>
    <row r="16" spans="1:10" ht="16.5">
      <c r="A16" s="3258" t="s">
        <v>2968</v>
      </c>
      <c r="B16" s="3265"/>
      <c r="C16" s="3265"/>
      <c r="D16" s="3265"/>
      <c r="E16" s="3260" t="e">
        <f t="shared" si="0"/>
        <v>#DIV/0!</v>
      </c>
      <c r="F16" s="3260" t="e">
        <f t="shared" si="1"/>
        <v>#DIV/0!</v>
      </c>
      <c r="G16" s="3266"/>
      <c r="H16" s="3266"/>
      <c r="I16" s="3265"/>
    </row>
    <row r="17" spans="1:9" ht="16.5">
      <c r="A17" s="3258" t="s">
        <v>2967</v>
      </c>
      <c r="B17" s="3265"/>
      <c r="C17" s="3265"/>
      <c r="D17" s="3265"/>
      <c r="E17" s="3260" t="e">
        <f t="shared" si="0"/>
        <v>#DIV/0!</v>
      </c>
      <c r="F17" s="3260" t="e">
        <f t="shared" si="1"/>
        <v>#DIV/0!</v>
      </c>
      <c r="G17" s="3266"/>
      <c r="H17" s="3266"/>
      <c r="I17" s="3265"/>
    </row>
    <row r="18" spans="1:9" ht="16.5">
      <c r="A18" s="3258" t="s">
        <v>2966</v>
      </c>
      <c r="B18" s="3265"/>
      <c r="C18" s="3265"/>
      <c r="D18" s="3265"/>
      <c r="E18" s="3260" t="e">
        <f t="shared" si="0"/>
        <v>#DIV/0!</v>
      </c>
      <c r="F18" s="3260" t="e">
        <f t="shared" si="1"/>
        <v>#DIV/0!</v>
      </c>
      <c r="G18" s="3265"/>
      <c r="H18" s="3265"/>
      <c r="I18" s="3265"/>
    </row>
    <row r="19" spans="1:9" ht="16.5">
      <c r="A19" s="3258" t="s">
        <v>2965</v>
      </c>
      <c r="B19" s="3265"/>
      <c r="C19" s="3265"/>
      <c r="D19" s="3265"/>
      <c r="E19" s="3260" t="e">
        <f t="shared" si="0"/>
        <v>#DIV/0!</v>
      </c>
      <c r="F19" s="3260" t="e">
        <f t="shared" si="1"/>
        <v>#DIV/0!</v>
      </c>
      <c r="G19" s="3265"/>
      <c r="H19" s="3265"/>
      <c r="I19" s="3265"/>
    </row>
    <row r="20" spans="1:9" ht="16.5">
      <c r="A20" s="3258" t="s">
        <v>2964</v>
      </c>
      <c r="B20" s="3265"/>
      <c r="C20" s="3265"/>
      <c r="D20" s="3265"/>
      <c r="E20" s="3260" t="e">
        <f t="shared" si="0"/>
        <v>#DIV/0!</v>
      </c>
      <c r="F20" s="3260" t="e">
        <f t="shared" si="1"/>
        <v>#DIV/0!</v>
      </c>
      <c r="G20" s="3265"/>
      <c r="H20" s="3265"/>
      <c r="I20" s="3265"/>
    </row>
    <row r="21" spans="1:9" ht="16.5">
      <c r="A21" s="3258" t="s">
        <v>2963</v>
      </c>
      <c r="B21" s="3265"/>
      <c r="C21" s="3265"/>
      <c r="D21" s="3265"/>
      <c r="E21" s="3260" t="e">
        <f t="shared" si="0"/>
        <v>#DIV/0!</v>
      </c>
      <c r="F21" s="3260" t="e">
        <f t="shared" si="1"/>
        <v>#DIV/0!</v>
      </c>
      <c r="G21" s="3265"/>
      <c r="H21" s="3265"/>
      <c r="I21" s="3265"/>
    </row>
    <row r="22" spans="1:9" ht="16.5">
      <c r="A22" s="3258" t="s">
        <v>2962</v>
      </c>
      <c r="B22" s="3265"/>
      <c r="C22" s="3265"/>
      <c r="D22" s="3265"/>
      <c r="E22" s="3260" t="e">
        <f t="shared" si="0"/>
        <v>#DIV/0!</v>
      </c>
      <c r="F22" s="3260" t="e">
        <f t="shared" si="1"/>
        <v>#DIV/0!</v>
      </c>
      <c r="G22" s="3265"/>
      <c r="H22" s="3265"/>
      <c r="I22" s="3265"/>
    </row>
    <row r="23" spans="1:9" ht="16.5">
      <c r="A23" s="3258" t="s">
        <v>2961</v>
      </c>
      <c r="B23" s="3265"/>
      <c r="C23" s="3265"/>
      <c r="D23" s="3265"/>
      <c r="E23" s="3262" t="e">
        <f t="shared" si="0"/>
        <v>#DIV/0!</v>
      </c>
      <c r="F23" s="3262" t="e">
        <f t="shared" si="1"/>
        <v>#DIV/0!</v>
      </c>
      <c r="G23" s="3265"/>
      <c r="H23" s="3265"/>
      <c r="I23" s="3265"/>
    </row>
  </sheetData>
  <sheetProtection password="C66D" sheet="1" objects="1" scenarios="1"/>
  <phoneticPr fontId="205"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J125" sqref="J125"/>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757</v>
      </c>
      <c r="B1" s="1243"/>
      <c r="C1" s="2099"/>
      <c r="D1" s="1243"/>
      <c r="E1" s="1243"/>
      <c r="F1" s="2083" t="s">
        <v>2108</v>
      </c>
      <c r="G1" s="2056" t="s">
        <v>3069</v>
      </c>
      <c r="H1" s="2112" t="str">
        <f>IF(G1="现房","——","估价对象范围")</f>
        <v>估价对象范围</v>
      </c>
      <c r="I1" s="2089" t="s">
        <v>3894</v>
      </c>
    </row>
    <row r="2" spans="1:12" ht="21.75" customHeight="1" thickBot="1">
      <c r="A2" s="3667" t="str">
        <f>项目基本情况!S2</f>
        <v>北京市密云县司马台村出让国有建设用地使用权及在建建筑物房地产</v>
      </c>
      <c r="B2" s="3668"/>
      <c r="C2" s="3668"/>
      <c r="D2" s="3668"/>
      <c r="E2" s="3668"/>
      <c r="F2" s="3668"/>
      <c r="G2" s="3668"/>
      <c r="H2" s="3668"/>
      <c r="I2" s="3669"/>
    </row>
    <row r="3" spans="1:12" ht="12">
      <c r="A3" s="3671" t="s">
        <v>10</v>
      </c>
      <c r="B3" s="3672"/>
      <c r="C3" s="3672"/>
      <c r="D3" s="3672"/>
      <c r="E3" s="3672"/>
      <c r="F3" s="3672"/>
      <c r="G3" s="3672"/>
      <c r="H3" s="3672"/>
      <c r="I3" s="3672"/>
    </row>
    <row r="4" spans="1:12" ht="13.5">
      <c r="A4" s="429" t="s">
        <v>11</v>
      </c>
      <c r="B4" s="430" t="s">
        <v>12</v>
      </c>
      <c r="C4" s="431" t="s">
        <v>3531</v>
      </c>
      <c r="D4" s="431" t="s">
        <v>3532</v>
      </c>
      <c r="E4" s="3673" t="s">
        <v>758</v>
      </c>
      <c r="F4" s="3674"/>
      <c r="G4" s="3674"/>
      <c r="H4" s="3674"/>
      <c r="I4" s="3675"/>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假设开发法</v>
      </c>
    </row>
    <row r="5" spans="1:12" ht="12.75">
      <c r="A5" s="3646" t="s">
        <v>13</v>
      </c>
      <c r="B5" s="3633">
        <v>25</v>
      </c>
      <c r="C5" s="3649"/>
      <c r="D5" s="3670"/>
      <c r="E5" s="471" t="s">
        <v>800</v>
      </c>
      <c r="F5" s="432"/>
      <c r="G5" s="432"/>
      <c r="H5" s="432"/>
      <c r="I5" s="433"/>
    </row>
    <row r="6" spans="1:12" ht="12.75">
      <c r="A6" s="3646"/>
      <c r="B6" s="3633"/>
      <c r="C6" s="3650"/>
      <c r="D6" s="3670"/>
      <c r="E6" s="471" t="s">
        <v>801</v>
      </c>
      <c r="F6" s="432"/>
      <c r="G6" s="432"/>
      <c r="H6" s="432"/>
      <c r="I6" s="433"/>
    </row>
    <row r="7" spans="1:12" ht="12.75">
      <c r="A7" s="3646"/>
      <c r="B7" s="3633"/>
      <c r="C7" s="3651"/>
      <c r="D7" s="3670"/>
      <c r="E7" s="471" t="s">
        <v>802</v>
      </c>
      <c r="F7" s="432"/>
      <c r="G7" s="432"/>
      <c r="H7" s="432"/>
      <c r="I7" s="433"/>
    </row>
    <row r="8" spans="1:12" ht="12.75">
      <c r="A8" s="3646" t="s">
        <v>14</v>
      </c>
      <c r="B8" s="3633">
        <v>15</v>
      </c>
      <c r="C8" s="3649"/>
      <c r="D8" s="3670"/>
      <c r="E8" s="471" t="s">
        <v>803</v>
      </c>
      <c r="F8" s="432"/>
      <c r="G8" s="432"/>
      <c r="H8" s="432"/>
      <c r="I8" s="433"/>
    </row>
    <row r="9" spans="1:12" ht="12.75">
      <c r="A9" s="3646"/>
      <c r="B9" s="3633"/>
      <c r="C9" s="3651"/>
      <c r="D9" s="3670"/>
      <c r="E9" s="471" t="s">
        <v>804</v>
      </c>
      <c r="F9" s="432"/>
      <c r="G9" s="432"/>
      <c r="H9" s="432"/>
      <c r="I9" s="433"/>
    </row>
    <row r="10" spans="1:12" ht="12.75">
      <c r="A10" s="3646" t="s">
        <v>15</v>
      </c>
      <c r="B10" s="3633">
        <v>15</v>
      </c>
      <c r="C10" s="3649"/>
      <c r="D10" s="3670"/>
      <c r="E10" s="471" t="s">
        <v>805</v>
      </c>
      <c r="F10" s="432"/>
      <c r="G10" s="432"/>
      <c r="H10" s="432"/>
      <c r="I10" s="433"/>
    </row>
    <row r="11" spans="1:12" ht="12.75">
      <c r="A11" s="3646"/>
      <c r="B11" s="3633"/>
      <c r="C11" s="3651"/>
      <c r="D11" s="3670"/>
      <c r="E11" s="471" t="s">
        <v>806</v>
      </c>
      <c r="F11" s="432"/>
      <c r="G11" s="432"/>
      <c r="H11" s="432"/>
      <c r="I11" s="433"/>
    </row>
    <row r="12" spans="1:12" ht="12.75">
      <c r="A12" s="3646" t="s">
        <v>16</v>
      </c>
      <c r="B12" s="3633">
        <v>15</v>
      </c>
      <c r="C12" s="3649"/>
      <c r="D12" s="3670"/>
      <c r="E12" s="471" t="s">
        <v>807</v>
      </c>
      <c r="F12" s="432"/>
      <c r="G12" s="432"/>
      <c r="H12" s="432"/>
      <c r="I12" s="433"/>
    </row>
    <row r="13" spans="1:12" ht="12.75">
      <c r="A13" s="3646"/>
      <c r="B13" s="3633"/>
      <c r="C13" s="3651"/>
      <c r="D13" s="3670"/>
      <c r="E13" s="471" t="s">
        <v>808</v>
      </c>
      <c r="F13" s="432"/>
      <c r="G13" s="432"/>
      <c r="H13" s="432"/>
      <c r="I13" s="433"/>
    </row>
    <row r="14" spans="1:12" ht="12.75">
      <c r="A14" s="3646" t="s">
        <v>17</v>
      </c>
      <c r="B14" s="3633">
        <v>30</v>
      </c>
      <c r="C14" s="3649">
        <v>20</v>
      </c>
      <c r="D14" s="3670">
        <v>20</v>
      </c>
      <c r="E14" s="471" t="s">
        <v>809</v>
      </c>
      <c r="F14" s="432"/>
      <c r="G14" s="432"/>
      <c r="H14" s="432"/>
      <c r="I14" s="433"/>
    </row>
    <row r="15" spans="1:12" ht="12.75">
      <c r="A15" s="3646"/>
      <c r="B15" s="3633"/>
      <c r="C15" s="3650"/>
      <c r="D15" s="3670"/>
      <c r="E15" s="471" t="s">
        <v>810</v>
      </c>
      <c r="F15" s="432"/>
      <c r="G15" s="432"/>
      <c r="H15" s="432"/>
      <c r="I15" s="433"/>
    </row>
    <row r="16" spans="1:12" ht="12.75">
      <c r="A16" s="3646"/>
      <c r="B16" s="3633"/>
      <c r="C16" s="3651"/>
      <c r="D16" s="3670"/>
      <c r="E16" s="471" t="s">
        <v>811</v>
      </c>
      <c r="F16" s="432"/>
      <c r="G16" s="432"/>
      <c r="H16" s="432"/>
      <c r="I16" s="433"/>
    </row>
    <row r="17" spans="1:35" ht="14.25">
      <c r="A17" s="434" t="s">
        <v>18</v>
      </c>
      <c r="B17" s="38"/>
      <c r="C17" s="472">
        <f>SUM(C5:C16)</f>
        <v>20</v>
      </c>
      <c r="D17" s="472">
        <f>SUM(D5:D16)</f>
        <v>20</v>
      </c>
      <c r="E17" s="2278"/>
      <c r="F17" s="2278"/>
      <c r="G17" s="2278"/>
      <c r="H17" s="2278"/>
      <c r="I17" s="2278"/>
      <c r="K17" s="2185"/>
      <c r="L17" s="2186" t="s">
        <v>2316</v>
      </c>
      <c r="M17" s="2186" t="s">
        <v>2317</v>
      </c>
    </row>
    <row r="18" spans="1:35" ht="15" thickBot="1">
      <c r="A18" s="435" t="s">
        <v>19</v>
      </c>
      <c r="B18" s="18"/>
      <c r="C18" s="473">
        <f>ROUND(C17/SUM(C17:D17),2)</f>
        <v>0.5</v>
      </c>
      <c r="D18" s="473">
        <f>1-C18</f>
        <v>0.5</v>
      </c>
      <c r="E18" s="2278"/>
      <c r="F18" s="2278"/>
      <c r="G18" s="2278"/>
      <c r="H18" s="2278"/>
      <c r="I18" s="2278"/>
      <c r="K18" s="2185" t="s">
        <v>2130</v>
      </c>
      <c r="L18" s="2185">
        <f>IF(C1="",'数据-汇总表'!E3,SUMIF(项目类型,C1,'数据-汇总表'!E17:E26)+SUMIF(项目类型,C1,'数据-汇总表'!I17:I26))</f>
        <v>326059.4499999999</v>
      </c>
      <c r="M18" s="2185">
        <f>IF(C1="",'数据-汇总表'!E3,SUMIF(项目类型,C1,'数据-汇总表'!E17:E26))</f>
        <v>326059.4499999999</v>
      </c>
    </row>
    <row r="19" spans="1:35" ht="14.25">
      <c r="A19" s="436" t="s">
        <v>180</v>
      </c>
      <c r="B19" s="437" t="s">
        <v>20</v>
      </c>
      <c r="C19" s="474">
        <f ca="1">SUMIF(INDIRECT("'"&amp;C4&amp;"'"&amp;"!A:A"),结果表!B19,INDIRECT("'"&amp;C4&amp;"'"&amp;"!B:B"))</f>
        <v>449170</v>
      </c>
      <c r="D19" s="475">
        <f ca="1">SUMIF(INDIRECT("'"&amp;D4&amp;"'"&amp;"!A:A"),结果表!B19,INDIRECT("'"&amp;D4&amp;"'"&amp;"!B:B"))</f>
        <v>482627</v>
      </c>
      <c r="E19" s="436" t="s">
        <v>179</v>
      </c>
      <c r="F19" s="437" t="s">
        <v>20</v>
      </c>
      <c r="G19" s="476">
        <f ca="1">ROUND(C19*$C$18+D19*$D$18,0)</f>
        <v>465899</v>
      </c>
      <c r="H19" s="438" t="s">
        <v>226</v>
      </c>
      <c r="I19" s="2278"/>
      <c r="K19" s="2185" t="s">
        <v>2131</v>
      </c>
      <c r="L19" s="2185">
        <f>IF(C1="",'数据-汇总表'!D3,SUMIF(项目类型,C1,'数据-汇总表'!D17:D26)+SUMIF(项目类型,C1,'数据-汇总表'!H17:H27))</f>
        <v>346512.69</v>
      </c>
      <c r="M19" s="2185">
        <f>IF(C1="",'数据-汇总表'!D3,SUMIF(项目类型,C1,'数据-汇总表'!D17:D26))</f>
        <v>346512.69</v>
      </c>
    </row>
    <row r="20" spans="1:35" ht="14.25">
      <c r="A20" s="439"/>
      <c r="B20" s="440" t="s">
        <v>21</v>
      </c>
      <c r="C20" s="477">
        <f ca="1">SUMIF(INDIRECT("'"&amp;C4&amp;"'"&amp;"!A:A"),结果表!B20,INDIRECT("'"&amp;C4&amp;"'"&amp;"!B:B"))</f>
        <v>14158</v>
      </c>
      <c r="D20" s="478">
        <f ca="1">SUMIF(INDIRECT("'"&amp;D4&amp;"'"&amp;"!A:A"),结果表!B20,INDIRECT("'"&amp;D4&amp;"'"&amp;"!B:B"))</f>
        <v>15212</v>
      </c>
      <c r="E20" s="439"/>
      <c r="F20" s="440" t="s">
        <v>21</v>
      </c>
      <c r="G20" s="479">
        <f ca="1">ROUND(C20*$C$18+D20*$D$18,0)</f>
        <v>14685</v>
      </c>
      <c r="H20" s="441" t="s">
        <v>225</v>
      </c>
      <c r="I20" s="2278"/>
    </row>
    <row r="21" spans="1:35" ht="15" customHeight="1" thickBot="1">
      <c r="A21" s="443"/>
      <c r="B21" s="444" t="s">
        <v>22</v>
      </c>
      <c r="C21" s="1422">
        <f ca="1">ROUND(C19*10000/L19,0)</f>
        <v>12963</v>
      </c>
      <c r="D21" s="1423">
        <f ca="1">ROUND(D19*10000/L19,0)</f>
        <v>13928</v>
      </c>
      <c r="E21" s="443"/>
      <c r="F21" s="444" t="s">
        <v>22</v>
      </c>
      <c r="G21" s="480">
        <f ca="1">ROUND(G19*10000/L19,0)</f>
        <v>13445</v>
      </c>
      <c r="H21" s="445" t="s">
        <v>225</v>
      </c>
      <c r="I21" s="2278"/>
    </row>
    <row r="22" spans="1:35" ht="15" thickBot="1">
      <c r="A22" s="275" t="s">
        <v>181</v>
      </c>
      <c r="B22" s="1424"/>
      <c r="C22" s="1425"/>
      <c r="D22" s="1426">
        <f ca="1">IF(C19&lt;D19,D19/C19-1,C19/D19-1)</f>
        <v>7.448627468441793E-2</v>
      </c>
      <c r="E22" s="2278"/>
      <c r="F22" s="2278"/>
      <c r="G22" s="2278"/>
      <c r="H22" s="2278"/>
      <c r="I22" s="2278"/>
    </row>
    <row r="23" spans="1:35" ht="12.75" thickBot="1">
      <c r="A23" s="1243"/>
      <c r="B23" s="1243"/>
      <c r="C23" s="1243"/>
      <c r="D23" s="1243"/>
      <c r="E23" s="2278"/>
      <c r="F23" s="2278"/>
      <c r="G23" s="2278"/>
      <c r="H23" s="2278"/>
      <c r="I23" s="2278"/>
    </row>
    <row r="24" spans="1:35" ht="14.25">
      <c r="A24" s="3640" t="s">
        <v>177</v>
      </c>
      <c r="B24" s="437" t="s">
        <v>20</v>
      </c>
      <c r="C24" s="476">
        <f>IF(B30=0,0,D30)</f>
        <v>0</v>
      </c>
      <c r="D24" s="446"/>
      <c r="E24" s="2278"/>
      <c r="F24" s="2278"/>
      <c r="G24" s="2278"/>
      <c r="H24" s="2278"/>
      <c r="I24" s="2278"/>
    </row>
    <row r="25" spans="1:35" ht="14.25">
      <c r="A25" s="3641"/>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ROUND(D30*10000/B30,0)</f>
        <v>#DIV/0!</v>
      </c>
      <c r="D30" s="484">
        <f>SUM(D27:D29)</f>
        <v>0</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465899</v>
      </c>
      <c r="D32" s="2093" t="s">
        <v>208</v>
      </c>
      <c r="E32" s="2278"/>
      <c r="F32" s="2278"/>
      <c r="G32" s="2278"/>
      <c r="H32" s="2278"/>
      <c r="I32" s="2278"/>
    </row>
    <row r="33" spans="1:15" ht="13.5">
      <c r="A33" s="457" t="s">
        <v>759</v>
      </c>
      <c r="B33" s="2092"/>
      <c r="C33" s="2878" t="s">
        <v>2694</v>
      </c>
      <c r="D33" s="2881" t="s">
        <v>3531</v>
      </c>
      <c r="E33" s="2090" t="s">
        <v>2110</v>
      </c>
      <c r="F33" s="2091" t="str">
        <f>IF(D32="楼面单价","取值（单价）","取值（总价）")</f>
        <v>取值（总价）</v>
      </c>
      <c r="G33" s="2278"/>
      <c r="H33" s="2278"/>
      <c r="I33" s="2278"/>
    </row>
    <row r="34" spans="1:15" ht="15">
      <c r="A34" s="458"/>
      <c r="B34" s="459" t="s">
        <v>762</v>
      </c>
      <c r="C34" s="489">
        <f ca="1">IF(C33="自定义",F34,C32-C35)</f>
        <v>78961</v>
      </c>
      <c r="D34" s="2094">
        <f ca="1">IF(C33="自定义",ROUND(C34/C32,3),IF(C33="收益比率",SUMIF(INDIRECT("'"&amp;D33&amp;"'"&amp;"!b:b"),"土地收益比率",INDIRECT("'"&amp;D33&amp;"'"&amp;"!c:c")),SUMIF(INDIRECT("'"&amp;D33&amp;"'"&amp;"!b:b"),"土地成本比率",INDIRECT("'"&amp;D33&amp;"'"&amp;"!c:c"))))</f>
        <v>0.16900000000000001</v>
      </c>
      <c r="E34" s="2879" t="s">
        <v>2111</v>
      </c>
      <c r="F34" s="3255">
        <f ca="1">G19-F35</f>
        <v>78961</v>
      </c>
      <c r="G34" s="2278"/>
      <c r="H34" s="2278"/>
      <c r="I34" s="2278"/>
    </row>
    <row r="35" spans="1:15" ht="15.75" thickBot="1">
      <c r="A35" s="461"/>
      <c r="B35" s="2882" t="s">
        <v>764</v>
      </c>
      <c r="C35" s="2883">
        <f ca="1">IF(C33="自定义",F35,ROUND(C32*D35,0))</f>
        <v>386938</v>
      </c>
      <c r="D35" s="2884">
        <f ca="1">IF(C33="自定义",ROUND(C35/C32,3),IF(C33="收益比率",SUMIF(INDIRECT("'"&amp;D33&amp;"'"&amp;"!b:b"),"建筑物收益比率",INDIRECT("'"&amp;D33&amp;"'"&amp;"!c:c")),SUMIF(INDIRECT("'"&amp;D33&amp;"'"&amp;"!b:b"),"建筑物成本比率",INDIRECT("'"&amp;D33&amp;"'"&amp;"!c:c"))))</f>
        <v>0.83099999999999996</v>
      </c>
      <c r="E35" s="2880" t="s">
        <v>2112</v>
      </c>
      <c r="F35" s="495">
        <f ca="1">ROUND(成本法!C51/成本法!C52*结果表!G19,0)</f>
        <v>386938</v>
      </c>
      <c r="G35" s="2278"/>
      <c r="H35" s="2278"/>
      <c r="I35" s="2278"/>
    </row>
    <row r="36" spans="1:15" ht="15.75" thickBot="1">
      <c r="A36" s="3659" t="s">
        <v>760</v>
      </c>
      <c r="B36" s="455" t="s">
        <v>761</v>
      </c>
      <c r="C36" s="486"/>
      <c r="D36" s="456"/>
      <c r="E36" s="1246"/>
      <c r="F36" s="2279"/>
      <c r="G36" s="2278"/>
      <c r="H36" s="2278"/>
      <c r="I36" s="2278"/>
    </row>
    <row r="37" spans="1:15" ht="15.75" thickBot="1">
      <c r="A37" s="3660"/>
      <c r="B37" s="13" t="s">
        <v>763</v>
      </c>
      <c r="C37" s="488">
        <v>14478</v>
      </c>
      <c r="D37" s="2227"/>
      <c r="E37" s="2227"/>
      <c r="F37" s="2279"/>
      <c r="G37" s="2278"/>
      <c r="H37" s="2278"/>
      <c r="I37" s="2278"/>
    </row>
    <row r="38" spans="1:15" ht="15.75" thickBot="1">
      <c r="A38" s="3661"/>
      <c r="B38" s="460" t="s">
        <v>765</v>
      </c>
      <c r="C38" s="1137"/>
      <c r="D38" s="1247" t="s">
        <v>766</v>
      </c>
      <c r="E38" s="2227"/>
      <c r="F38" s="2279"/>
      <c r="G38" s="2278"/>
      <c r="H38" s="2278"/>
      <c r="I38" s="2278"/>
    </row>
    <row r="39" spans="1:15" ht="13.5">
      <c r="A39" s="439" t="s">
        <v>767</v>
      </c>
      <c r="B39" s="462" t="s">
        <v>768</v>
      </c>
      <c r="C39" s="463" t="s">
        <v>769</v>
      </c>
      <c r="D39" s="463" t="s">
        <v>770</v>
      </c>
      <c r="E39" s="464" t="s">
        <v>771</v>
      </c>
      <c r="F39" s="2279"/>
      <c r="G39" s="2278"/>
      <c r="H39" s="2278"/>
      <c r="I39" s="2278"/>
    </row>
    <row r="40" spans="1:15" ht="13.5">
      <c r="A40" s="1248" t="s">
        <v>772</v>
      </c>
      <c r="B40" s="490"/>
      <c r="C40" s="491"/>
      <c r="D40" s="491"/>
      <c r="E40" s="492"/>
      <c r="F40" s="2279"/>
      <c r="G40" s="2278"/>
      <c r="H40" s="2278"/>
      <c r="I40" s="2278"/>
    </row>
    <row r="41" spans="1:15" ht="13.5">
      <c r="A41" s="1248" t="s">
        <v>773</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c r="A44" s="1252" t="s">
        <v>774</v>
      </c>
      <c r="B44" s="1253"/>
      <c r="C44" s="1253"/>
      <c r="D44" s="1254"/>
      <c r="E44" s="1254"/>
      <c r="F44" s="1255"/>
      <c r="G44" s="1255"/>
      <c r="H44" s="1255"/>
      <c r="I44" s="1255"/>
      <c r="J44" s="3272" t="s">
        <v>212</v>
      </c>
      <c r="K44" s="3273"/>
      <c r="L44" s="3273"/>
      <c r="M44" s="3273"/>
      <c r="N44" s="3273"/>
      <c r="O44" s="3273"/>
    </row>
    <row r="45" spans="1:15" ht="14.25" customHeight="1" thickBot="1">
      <c r="A45" s="3637" t="s">
        <v>792</v>
      </c>
      <c r="B45" s="3638"/>
      <c r="C45" s="3639"/>
      <c r="D45" s="496">
        <f ca="1">ROUND(H101*F45,0)</f>
        <v>465899</v>
      </c>
      <c r="E45" s="497" t="s">
        <v>793</v>
      </c>
      <c r="F45" s="498">
        <v>1</v>
      </c>
      <c r="G45" s="499" t="s">
        <v>794</v>
      </c>
      <c r="H45" s="2278"/>
      <c r="I45" s="2278"/>
      <c r="J45" s="3701" t="s">
        <v>213</v>
      </c>
      <c r="K45" s="3701"/>
      <c r="L45" s="3701"/>
      <c r="M45" s="3701"/>
      <c r="N45" s="3701"/>
      <c r="O45" s="3701"/>
    </row>
    <row r="46" spans="1:15" ht="14.25" customHeight="1">
      <c r="A46" s="3634" t="s">
        <v>285</v>
      </c>
      <c r="B46" s="3635"/>
      <c r="C46" s="3635"/>
      <c r="D46" s="3635"/>
      <c r="E46" s="3635"/>
      <c r="F46" s="3635"/>
      <c r="G46" s="3636"/>
      <c r="H46" s="2280"/>
      <c r="I46" s="2233"/>
      <c r="J46" s="1501">
        <v>1</v>
      </c>
      <c r="K46" s="3701" t="s">
        <v>214</v>
      </c>
      <c r="L46" s="3701"/>
      <c r="M46" s="3725"/>
      <c r="N46" s="3725"/>
      <c r="O46" s="3725"/>
    </row>
    <row r="47" spans="1:15" ht="12" customHeight="1">
      <c r="A47" s="501" t="s">
        <v>286</v>
      </c>
      <c r="B47" s="502"/>
      <c r="C47" s="503"/>
      <c r="D47" s="504" t="s">
        <v>287</v>
      </c>
      <c r="E47" s="313" t="s">
        <v>288</v>
      </c>
      <c r="F47" s="505" t="s">
        <v>795</v>
      </c>
      <c r="G47" s="506" t="s">
        <v>796</v>
      </c>
      <c r="H47" s="2280"/>
      <c r="I47" s="2233"/>
      <c r="J47" s="1501">
        <v>2</v>
      </c>
      <c r="K47" s="3701" t="s">
        <v>215</v>
      </c>
      <c r="L47" s="3701"/>
      <c r="M47" s="3726">
        <f>'数据-取费表'!B2</f>
        <v>42941</v>
      </c>
      <c r="N47" s="3726"/>
      <c r="O47" s="3726"/>
    </row>
    <row r="48" spans="1:15" ht="25.5">
      <c r="A48" s="3666" t="s">
        <v>289</v>
      </c>
      <c r="B48" s="3648"/>
      <c r="C48" s="3648"/>
      <c r="D48" s="471">
        <f>IF(H48="情况1",0,IF(H48="情况2",D52,IF(H48="情况3",D53,IF(H48="情况4",D54))))</f>
        <v>0</v>
      </c>
      <c r="E48" s="1924" t="str">
        <f>IF(H48="情况4","(销售额-原购置价)×税（费）率","销售额×税（费）率")</f>
        <v>销售额×税（费）率</v>
      </c>
      <c r="F48" s="507" t="str">
        <f>IF(H48="情况1","免征",'数据-取费表'!B41)</f>
        <v>免征</v>
      </c>
      <c r="G48" s="465" t="s">
        <v>775</v>
      </c>
      <c r="H48" s="1432" t="s">
        <v>2413</v>
      </c>
      <c r="I48" s="2280"/>
      <c r="J48" s="1501">
        <v>3</v>
      </c>
      <c r="K48" s="3701" t="s">
        <v>776</v>
      </c>
      <c r="L48" s="3701"/>
      <c r="M48" s="3727">
        <f ca="1">H101</f>
        <v>465899</v>
      </c>
      <c r="N48" s="3727"/>
      <c r="O48" s="3727"/>
    </row>
    <row r="49" spans="1:35" ht="25.5" customHeight="1">
      <c r="A49" s="508" t="s">
        <v>797</v>
      </c>
      <c r="B49" s="3632" t="s">
        <v>798</v>
      </c>
      <c r="C49" s="3632"/>
      <c r="D49" s="509">
        <v>0</v>
      </c>
      <c r="E49" s="312" t="s">
        <v>799</v>
      </c>
      <c r="F49" s="317" t="s">
        <v>171</v>
      </c>
      <c r="G49" s="3707"/>
      <c r="H49" s="2278"/>
      <c r="I49" s="2281"/>
      <c r="J49" s="1501">
        <v>4</v>
      </c>
      <c r="K49" s="3701" t="str">
        <f>IF(项目基本情况!E8="房地产抵押价值","房地产抵押价值","抵押担保权已注销时的房地产抵押价值")</f>
        <v>抵押担保权已注销时的房地产抵押价值</v>
      </c>
      <c r="L49" s="3701"/>
      <c r="M49" s="3727">
        <f ca="1">IF(项目基本情况!E8="房地产抵押价值",H107,H109)</f>
        <v>451421</v>
      </c>
      <c r="N49" s="3727"/>
      <c r="O49" s="3727"/>
    </row>
    <row r="50" spans="1:35" ht="25.5" customHeight="1">
      <c r="A50" s="510"/>
      <c r="B50" s="3632" t="s">
        <v>292</v>
      </c>
      <c r="C50" s="3632"/>
      <c r="D50" s="511"/>
      <c r="E50" s="320"/>
      <c r="F50" s="512"/>
      <c r="G50" s="3708"/>
      <c r="H50" s="2278"/>
      <c r="I50" s="2281"/>
      <c r="J50" s="3701" t="s">
        <v>216</v>
      </c>
      <c r="K50" s="3701"/>
      <c r="L50" s="3701"/>
      <c r="M50" s="3701"/>
      <c r="N50" s="3701"/>
      <c r="O50" s="3701"/>
    </row>
    <row r="51" spans="1:35" ht="12" customHeight="1">
      <c r="A51" s="513"/>
      <c r="B51" s="3632" t="s">
        <v>293</v>
      </c>
      <c r="C51" s="3632"/>
      <c r="D51" s="514"/>
      <c r="E51" s="319"/>
      <c r="F51" s="512"/>
      <c r="G51" s="3709"/>
      <c r="H51" s="2278"/>
      <c r="I51" s="2281"/>
      <c r="J51" s="3274" t="s">
        <v>217</v>
      </c>
      <c r="K51" s="3701" t="s">
        <v>218</v>
      </c>
      <c r="L51" s="3701"/>
      <c r="M51" s="3274" t="s">
        <v>2998</v>
      </c>
      <c r="N51" s="3274" t="s">
        <v>219</v>
      </c>
      <c r="O51" s="3274" t="s">
        <v>220</v>
      </c>
    </row>
    <row r="52" spans="1:35" ht="24" customHeight="1">
      <c r="A52" s="515" t="s">
        <v>294</v>
      </c>
      <c r="B52" s="3632" t="s">
        <v>295</v>
      </c>
      <c r="C52" s="3632"/>
      <c r="D52" s="514">
        <f ca="1">ROUND(D45*'数据-取费表'!B41/(1+'数据-取费表'!C42),0)</f>
        <v>24404</v>
      </c>
      <c r="E52" s="299" t="s">
        <v>296</v>
      </c>
      <c r="F52" s="516">
        <f>'数据-取费表'!B41</f>
        <v>5.5000000000000007E-2</v>
      </c>
      <c r="G52" s="466"/>
      <c r="H52" s="2278"/>
      <c r="I52" s="2281"/>
      <c r="J52" s="1501">
        <v>1</v>
      </c>
      <c r="K52" s="3702" t="s">
        <v>777</v>
      </c>
      <c r="L52" s="3702"/>
      <c r="M52" s="3275">
        <f>D48</f>
        <v>0</v>
      </c>
      <c r="N52" s="1500" t="str">
        <f>E48</f>
        <v>销售额×税（费）率</v>
      </c>
      <c r="O52" s="3276" t="str">
        <f>F48</f>
        <v>免征</v>
      </c>
    </row>
    <row r="53" spans="1:35" ht="12" customHeight="1">
      <c r="A53" s="515" t="s">
        <v>297</v>
      </c>
      <c r="B53" s="3657" t="s">
        <v>298</v>
      </c>
      <c r="C53" s="3658"/>
      <c r="D53" s="514">
        <f ca="1">ROUND(D45*'数据-取费表'!B41/(1+'数据-取费表'!C42),0)</f>
        <v>24404</v>
      </c>
      <c r="E53" s="299" t="s">
        <v>296</v>
      </c>
      <c r="F53" s="516">
        <f>'数据-取费表'!B41</f>
        <v>5.5000000000000007E-2</v>
      </c>
      <c r="G53" s="466"/>
      <c r="H53" s="2278"/>
      <c r="I53" s="2281"/>
      <c r="J53" s="1501">
        <v>2</v>
      </c>
      <c r="K53" s="3702" t="s">
        <v>778</v>
      </c>
      <c r="L53" s="3702"/>
      <c r="M53" s="3275">
        <f t="shared" ref="M53:O54" ca="1" si="0">D55</f>
        <v>233</v>
      </c>
      <c r="N53" s="1500" t="str">
        <f t="shared" si="0"/>
        <v>销售额×税（费）率</v>
      </c>
      <c r="O53" s="3276">
        <f t="shared" si="0"/>
        <v>5.0000000000000001E-4</v>
      </c>
    </row>
    <row r="54" spans="1:35" ht="12" customHeight="1">
      <c r="A54" s="515" t="s">
        <v>299</v>
      </c>
      <c r="B54" s="3657" t="s">
        <v>300</v>
      </c>
      <c r="C54" s="3658"/>
      <c r="D54" s="514">
        <f ca="1">C68</f>
        <v>24404</v>
      </c>
      <c r="E54" s="319" t="s">
        <v>301</v>
      </c>
      <c r="F54" s="516">
        <f>'数据-取费表'!B41</f>
        <v>5.5000000000000007E-2</v>
      </c>
      <c r="G54" s="466"/>
      <c r="H54" s="2282"/>
      <c r="I54" s="2281"/>
      <c r="J54" s="1501">
        <v>3</v>
      </c>
      <c r="K54" s="3702" t="s">
        <v>779</v>
      </c>
      <c r="L54" s="3702"/>
      <c r="M54" s="3275">
        <f t="shared" ca="1" si="0"/>
        <v>264120</v>
      </c>
      <c r="N54" s="1500" t="str">
        <f t="shared" si="0"/>
        <v>增值额×税（费）率</v>
      </c>
      <c r="O54" s="3277" t="str">
        <f t="shared" si="0"/>
        <v>——</v>
      </c>
    </row>
    <row r="55" spans="1:35" ht="24" customHeight="1">
      <c r="A55" s="3647" t="s">
        <v>302</v>
      </c>
      <c r="B55" s="3648"/>
      <c r="C55" s="3648"/>
      <c r="D55" s="517">
        <f ca="1">IF(H55="个人住宅",0,ROUND(D45*I55,0))</f>
        <v>233</v>
      </c>
      <c r="E55" s="299" t="s">
        <v>303</v>
      </c>
      <c r="F55" s="516">
        <f>IF(H55="正常",I55,"免征")</f>
        <v>5.0000000000000001E-4</v>
      </c>
      <c r="G55" s="466"/>
      <c r="H55" s="1432" t="s">
        <v>155</v>
      </c>
      <c r="I55" s="518">
        <f>'数据-取费表'!B49</f>
        <v>5.0000000000000001E-4</v>
      </c>
      <c r="J55" s="1501" t="str">
        <f>IF(H59="非个人房产","",4)</f>
        <v/>
      </c>
      <c r="K55" s="3702" t="str">
        <f>IF(H59="非个人房产","——","个人所得税")</f>
        <v>——</v>
      </c>
      <c r="L55" s="3702"/>
      <c r="M55" s="3278" t="str">
        <f>D59</f>
        <v>——</v>
      </c>
      <c r="N55" s="3279" t="str">
        <f>E59</f>
        <v>——</v>
      </c>
      <c r="O55" s="3280" t="str">
        <f>F59</f>
        <v>——</v>
      </c>
    </row>
    <row r="56" spans="1:35" ht="24.75">
      <c r="A56" s="3647" t="s">
        <v>304</v>
      </c>
      <c r="B56" s="3648"/>
      <c r="C56" s="3648"/>
      <c r="D56" s="517">
        <f ca="1">IF(H56="个人住宅",D57,D58)</f>
        <v>264120</v>
      </c>
      <c r="E56" s="299" t="s">
        <v>305</v>
      </c>
      <c r="F56" s="516" t="str">
        <f>IF(H56="正常",F58,"免征")</f>
        <v>——</v>
      </c>
      <c r="G56" s="1256" t="s">
        <v>780</v>
      </c>
      <c r="H56" s="1431" t="s">
        <v>155</v>
      </c>
      <c r="I56" s="2283"/>
      <c r="J56" s="1501" t="str">
        <f>IF(项目基本情况!K6="上海银行",IF(J55="",4,J55+1),"")</f>
        <v/>
      </c>
      <c r="K56" s="3729" t="str">
        <f>IF(项目基本情况!K6="上海银行","其他处置费用","")</f>
        <v/>
      </c>
      <c r="L56" s="3730"/>
      <c r="M56" s="3275" t="str">
        <f>IF(项目基本情况!K6="上海银行",M69,"")</f>
        <v/>
      </c>
      <c r="N56" s="3732" t="str">
        <f>IF(项目基本情况!K6="上海银行","包含处置中涉及的律师、诉讼、拍卖、评估等费用","")</f>
        <v/>
      </c>
      <c r="O56" s="3733"/>
    </row>
    <row r="57" spans="1:35" ht="12.75">
      <c r="A57" s="515" t="s">
        <v>290</v>
      </c>
      <c r="B57" s="3664" t="s">
        <v>306</v>
      </c>
      <c r="C57" s="3687"/>
      <c r="D57" s="519">
        <v>0</v>
      </c>
      <c r="E57" s="312" t="s">
        <v>291</v>
      </c>
      <c r="F57" s="487"/>
      <c r="G57" s="466"/>
      <c r="H57" s="2283"/>
      <c r="I57" s="2283"/>
      <c r="J57" s="3712">
        <f>IF(AND(J55="",J56=""),4,IF(项目基本情况!K6="上海银行",结果表!J56+1,结果表!J55+1))</f>
        <v>4</v>
      </c>
      <c r="K57" s="3702" t="s">
        <v>781</v>
      </c>
      <c r="L57" s="3281" t="s">
        <v>221</v>
      </c>
      <c r="M57" s="3282"/>
      <c r="N57" s="3283">
        <f ca="1">SUMIF(M52:M56,"&lt;9e307")</f>
        <v>264353</v>
      </c>
      <c r="O57" s="3284"/>
      <c r="P57" s="3271">
        <f ca="1">N57/M49</f>
        <v>0.58560191041178855</v>
      </c>
    </row>
    <row r="58" spans="1:35" ht="24.75">
      <c r="A58" s="515" t="s">
        <v>294</v>
      </c>
      <c r="B58" s="3664" t="s">
        <v>307</v>
      </c>
      <c r="C58" s="3665"/>
      <c r="D58" s="517">
        <f ca="1">IF(H58="转让取得",C81,C97)</f>
        <v>264120</v>
      </c>
      <c r="E58" s="299" t="s">
        <v>305</v>
      </c>
      <c r="F58" s="313" t="s">
        <v>171</v>
      </c>
      <c r="G58" s="466"/>
      <c r="H58" s="1431" t="s">
        <v>1130</v>
      </c>
      <c r="I58" s="2283"/>
      <c r="J58" s="3712"/>
      <c r="K58" s="3702"/>
      <c r="L58" s="3281" t="s">
        <v>222</v>
      </c>
      <c r="M58" s="3285"/>
      <c r="N58" s="3286" t="str">
        <f ca="1">NUMBERSTRING(INT(N57*10000),2)&amp;"元整"</f>
        <v>贰拾陆亿肆仟叁佰伍拾叁万元整</v>
      </c>
      <c r="O58" s="3287"/>
    </row>
    <row r="59" spans="1:35" ht="24.75" thickBot="1">
      <c r="A59" s="3705" t="s">
        <v>308</v>
      </c>
      <c r="B59" s="3706"/>
      <c r="C59" s="3706"/>
      <c r="D59" s="520" t="str">
        <f>IF(H59="非个人房产","——",IF(H59="个人住宅",0,ROUND(D45*I59,0)))</f>
        <v>——</v>
      </c>
      <c r="E59" s="521" t="str">
        <f>IF(H59="非个人房产","——","销售额×税（费）率")</f>
        <v>——</v>
      </c>
      <c r="F59" s="522" t="str">
        <f>IF(H59="非个人房产","——",IF(H59="个人住宅","免征",I59))</f>
        <v>——</v>
      </c>
      <c r="G59" s="1257" t="s">
        <v>170</v>
      </c>
      <c r="H59" s="1431" t="s">
        <v>1129</v>
      </c>
      <c r="I59" s="523">
        <v>0.01</v>
      </c>
      <c r="J59" s="3703">
        <f>J57+1</f>
        <v>5</v>
      </c>
      <c r="K59" s="3702" t="s">
        <v>172</v>
      </c>
      <c r="L59" s="1500" t="s">
        <v>221</v>
      </c>
      <c r="M59" s="3288"/>
      <c r="N59" s="3289">
        <f ca="1">M49-N57</f>
        <v>187068</v>
      </c>
      <c r="O59" s="3290"/>
    </row>
    <row r="60" spans="1:35" ht="12" customHeight="1">
      <c r="A60" s="1258"/>
      <c r="B60" s="1243"/>
      <c r="C60" s="1243"/>
      <c r="D60" s="1243"/>
      <c r="E60" s="229"/>
      <c r="F60" s="2283"/>
      <c r="G60" s="2283"/>
      <c r="H60" s="2284"/>
      <c r="I60" s="2278"/>
      <c r="J60" s="3704"/>
      <c r="K60" s="3702"/>
      <c r="L60" s="3281" t="s">
        <v>222</v>
      </c>
      <c r="M60" s="3285"/>
      <c r="N60" s="3286" t="str">
        <f ca="1">NUMBERSTRING(INT(N59*10000),2)&amp;"元整"</f>
        <v>壹拾捌亿柒仟零陆拾捌万元整</v>
      </c>
      <c r="O60" s="3287"/>
    </row>
    <row r="61" spans="1:35" ht="13.5" thickBot="1">
      <c r="A61" s="3645" t="s">
        <v>309</v>
      </c>
      <c r="B61" s="3645"/>
      <c r="C61" s="3645"/>
      <c r="D61" s="3645"/>
      <c r="E61" s="3645"/>
      <c r="F61" s="2283"/>
      <c r="G61" s="2283"/>
      <c r="H61" s="2284"/>
      <c r="I61" s="2278"/>
      <c r="J61" s="1501">
        <f>J59+1</f>
        <v>6</v>
      </c>
      <c r="K61" s="3702" t="s">
        <v>223</v>
      </c>
      <c r="L61" s="3702"/>
      <c r="M61" s="3291"/>
      <c r="N61" s="3292">
        <f ca="1">ROUND(N59*10000/'数据-汇总表'!E3,0)</f>
        <v>5737</v>
      </c>
      <c r="O61" s="3293"/>
    </row>
    <row r="62" spans="1:35" ht="12.75">
      <c r="A62" s="3662" t="s">
        <v>310</v>
      </c>
      <c r="B62" s="3663"/>
      <c r="C62" s="1918"/>
      <c r="D62" s="1918" t="s">
        <v>318</v>
      </c>
      <c r="E62" s="524" t="s">
        <v>319</v>
      </c>
      <c r="F62" s="2283"/>
      <c r="G62" s="2283"/>
      <c r="H62" s="2284"/>
      <c r="I62" s="2278"/>
    </row>
    <row r="63" spans="1:35" ht="12.75">
      <c r="A63" s="535" t="s">
        <v>1892</v>
      </c>
      <c r="B63" s="525" t="s">
        <v>311</v>
      </c>
      <c r="C63" s="526">
        <f ca="1">ROUND((C64+C65)/(1+'数据-取费表'!C42),0)</f>
        <v>443713</v>
      </c>
      <c r="D63" s="527"/>
      <c r="E63" s="528"/>
      <c r="F63" s="2283"/>
      <c r="G63" s="2283"/>
      <c r="H63" s="2284"/>
      <c r="I63" s="2278"/>
      <c r="J63" s="3731" t="s">
        <v>2991</v>
      </c>
      <c r="K63" s="3270" t="s">
        <v>2992</v>
      </c>
      <c r="L63" s="3268">
        <f ca="1">IF(M49&gt;10000,M49*0.5%,IF(AND(M49&gt;1000,M49&lt;=10000),M49*1%,IF(AND(M49&gt;100,M49&lt;=1000),M49*3%,IF(AND(M49&gt;10,M49&lt;=100),M49*5%,M49*8%))))</f>
        <v>2257.105</v>
      </c>
      <c r="M63" s="313">
        <f ca="1">ROUND(L63,1)</f>
        <v>2257.1</v>
      </c>
      <c r="Z63" s="1434"/>
      <c r="AI63" s="1244"/>
    </row>
    <row r="64" spans="1:35" ht="14.25" customHeight="1">
      <c r="A64" s="529" t="s">
        <v>1887</v>
      </c>
      <c r="B64" s="530" t="s">
        <v>312</v>
      </c>
      <c r="C64" s="531">
        <f ca="1">D45</f>
        <v>465899</v>
      </c>
      <c r="D64" s="532" t="s">
        <v>167</v>
      </c>
      <c r="E64" s="533"/>
      <c r="F64" s="2283"/>
      <c r="G64" s="2283"/>
      <c r="H64" s="2284"/>
      <c r="I64" s="2278"/>
      <c r="J64" s="3731"/>
      <c r="K64" s="3270" t="s">
        <v>2993</v>
      </c>
      <c r="L64" s="3268">
        <f ca="1">IF(M49&gt;2000,M49*0.5%,IF(AND(M49&gt;1000,M49&lt;=2000),M49*0.6%,IF(AND(M49&gt;500,M49&lt;=1000),M49*0.7%,IF(AND(M49&gt;200,M49&lt;=500),M49*0.8%,IF(AND(M49&gt;100,M49&lt;=200),M49*0.9%,IF(AND(M49&gt;50,M49&lt;=100),M49*1%,IF(AND(M49&gt;20,M49&lt;=50),M49*1.5%,IF(AND(M49&gt;10,M49&lt;=20),M49*2%,IF(AND(M49&gt;1,M49&lt;=10),M49*2.5%)))))))))</f>
        <v>2257.105</v>
      </c>
      <c r="M64" s="313">
        <f t="shared" ref="M64:M65" ca="1" si="1">ROUND(L64,1)</f>
        <v>2257.1</v>
      </c>
      <c r="N64" s="469" t="s">
        <v>2999</v>
      </c>
      <c r="Z64" s="1434"/>
      <c r="AI64" s="1244"/>
    </row>
    <row r="65" spans="1:35" ht="14.25" customHeight="1">
      <c r="A65" s="529" t="s">
        <v>1888</v>
      </c>
      <c r="B65" s="530" t="s">
        <v>313</v>
      </c>
      <c r="C65" s="534"/>
      <c r="D65" s="532"/>
      <c r="E65" s="533"/>
      <c r="F65" s="2283"/>
      <c r="G65" s="2283"/>
      <c r="H65" s="2284"/>
      <c r="I65" s="2278"/>
      <c r="J65" s="3731"/>
      <c r="K65" s="3270" t="s">
        <v>2994</v>
      </c>
      <c r="L65" s="3268">
        <f ca="1">IF(M49&gt;1000,M49*0.1%,IF(AND(M49&gt;500,M49&lt;=1000),M49*0.5%,IF(AND(M49&gt;50,M49&lt;=500),M49*1%,IF(AND(M49&gt;1,M49&lt;=50),M49*1.5%))))</f>
        <v>451.42099999999999</v>
      </c>
      <c r="M65" s="313">
        <f t="shared" ca="1" si="1"/>
        <v>451.4</v>
      </c>
      <c r="N65" s="469" t="s">
        <v>3000</v>
      </c>
      <c r="Z65" s="1434"/>
      <c r="AI65" s="1244"/>
    </row>
    <row r="66" spans="1:35" ht="14.25" customHeight="1">
      <c r="A66" s="535" t="s">
        <v>1889</v>
      </c>
      <c r="B66" s="536" t="s">
        <v>314</v>
      </c>
      <c r="C66" s="537"/>
      <c r="D66" s="538" t="s">
        <v>167</v>
      </c>
      <c r="E66" s="3318" t="s">
        <v>3039</v>
      </c>
      <c r="F66" s="2283"/>
      <c r="G66" s="2283"/>
      <c r="H66" s="2284"/>
      <c r="I66" s="2278"/>
      <c r="J66" s="3731"/>
      <c r="K66" s="3270" t="s">
        <v>2995</v>
      </c>
      <c r="L66" s="3268">
        <f ca="1">M49*0.5%</f>
        <v>2257.105</v>
      </c>
      <c r="M66" s="313">
        <f ca="1">IF(L66&gt;0.5,0.5,ROUND(L66,0))</f>
        <v>0.5</v>
      </c>
      <c r="N66" s="469" t="s">
        <v>3001</v>
      </c>
      <c r="Z66" s="1434"/>
      <c r="AI66" s="1244"/>
    </row>
    <row r="67" spans="1:35" ht="14.25" customHeight="1">
      <c r="A67" s="535" t="s">
        <v>1890</v>
      </c>
      <c r="B67" s="536" t="s">
        <v>315</v>
      </c>
      <c r="C67" s="539">
        <f ca="1">C63-C66</f>
        <v>443713</v>
      </c>
      <c r="D67" s="532" t="s">
        <v>167</v>
      </c>
      <c r="E67" s="533"/>
      <c r="F67" s="2283"/>
      <c r="G67" s="2283"/>
      <c r="H67" s="2284"/>
      <c r="I67" s="2278"/>
      <c r="J67" s="3731"/>
      <c r="K67" s="3270" t="s">
        <v>2996</v>
      </c>
      <c r="L67" s="3268">
        <f ca="1">IF(M49&gt;=10000,(8.25+(M49-10000)*0.01%),IF(AND(M49&gt;=8000,M49&lt;10000),(7.85+(M49-8000)*0.02%),IF(AND(M49&gt;=5000,M49&lt;8000),(6.65+(M49-5000)*0.04%),IF(AND(M49&gt;=2000,M49&lt;5000),(4.25+(PM49-2000)*0.08%),IF(AND(M49&gt;=1000,M49&lt;2000),(2.75+(M49-1000)*0.15%),IF(AND(M49&gt;=100,M49&lt;1000),(0.5+(M49-100)*0.25%),IF(AND(M49&gt;0,M49&lt;100),M49*0.5%)))))))</f>
        <v>52.392099999999999</v>
      </c>
      <c r="M67" s="313">
        <f ca="1">ROUND(L67*0.9,1)</f>
        <v>47.2</v>
      </c>
      <c r="Z67" s="1434"/>
      <c r="AI67" s="1244"/>
    </row>
    <row r="68" spans="1:35" ht="14.25" customHeight="1" thickBot="1">
      <c r="A68" s="540" t="s">
        <v>1891</v>
      </c>
      <c r="B68" s="541" t="s">
        <v>316</v>
      </c>
      <c r="C68" s="542">
        <f ca="1">IF(C67&lt;=0,0,ROUND(C67*D68,0))</f>
        <v>24404</v>
      </c>
      <c r="D68" s="543">
        <f>'数据-取费表'!B41</f>
        <v>5.5000000000000007E-2</v>
      </c>
      <c r="E68" s="544"/>
      <c r="F68" s="2283"/>
      <c r="G68" s="2283"/>
      <c r="H68" s="2284"/>
      <c r="I68" s="2278"/>
      <c r="J68" s="3731"/>
      <c r="K68" s="3270" t="s">
        <v>2997</v>
      </c>
      <c r="L68" s="3268">
        <f ca="1">IF(M49&gt;10000,M49*0.5%,IF(AND(M49&gt;5000,M49&lt;=10000),M49*1%,IF(AND(M49&gt;1000,M49&lt;=5000),M49*2%,IF(AND(M49&gt;200,M49&lt;=1000),M49*3%,M49*5%))))</f>
        <v>2257.105</v>
      </c>
      <c r="M68" s="313">
        <f ca="1">ROUND(L68,1)</f>
        <v>2257.1</v>
      </c>
      <c r="Z68" s="1434"/>
      <c r="AI68" s="1244"/>
    </row>
    <row r="69" spans="1:35" s="1245" customFormat="1" ht="16.5" customHeight="1">
      <c r="A69" s="1259"/>
      <c r="B69" s="1260"/>
      <c r="C69" s="1261"/>
      <c r="D69" s="1262"/>
      <c r="E69" s="1263"/>
      <c r="F69" s="229"/>
      <c r="G69" s="229"/>
      <c r="H69" s="241"/>
      <c r="I69" s="1243"/>
      <c r="J69" s="3731"/>
      <c r="K69" s="3270" t="s">
        <v>187</v>
      </c>
      <c r="L69" s="3269"/>
      <c r="M69" s="313">
        <f ca="1">ROUND(SUM(M63:M68),0)</f>
        <v>7270</v>
      </c>
      <c r="N69" s="3271">
        <f ca="1">M69/M49</f>
        <v>1.6104700490229742E-2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685" t="s">
        <v>317</v>
      </c>
      <c r="B70" s="3686"/>
      <c r="C70" s="3686"/>
      <c r="D70" s="3686"/>
      <c r="E70" s="3686"/>
      <c r="F70" s="3686"/>
      <c r="G70" s="3686"/>
      <c r="H70" s="3686"/>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c r="A71" s="3662" t="s">
        <v>310</v>
      </c>
      <c r="B71" s="3663"/>
      <c r="C71" s="1918"/>
      <c r="D71" s="1918" t="s">
        <v>318</v>
      </c>
      <c r="E71" s="545" t="s">
        <v>319</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c r="A72" s="535" t="s">
        <v>1892</v>
      </c>
      <c r="B72" s="536" t="s">
        <v>320</v>
      </c>
      <c r="C72" s="539">
        <f ca="1">ROUND(D45/(1+'数据-取费表'!C42),0)</f>
        <v>443713</v>
      </c>
      <c r="D72" s="532" t="s">
        <v>167</v>
      </c>
      <c r="E72" s="1921"/>
      <c r="F72" s="1922"/>
      <c r="G72" s="1922"/>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c r="A73" s="535" t="s">
        <v>1889</v>
      </c>
      <c r="B73" s="505" t="s">
        <v>321</v>
      </c>
      <c r="C73" s="539">
        <f ca="1">C74+C78</f>
        <v>2219</v>
      </c>
      <c r="D73" s="532" t="s">
        <v>167</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c r="A74" s="549" t="s">
        <v>1893</v>
      </c>
      <c r="B74" s="530" t="s">
        <v>322</v>
      </c>
      <c r="C74" s="532">
        <f>ROUND(IF(G77="2016年5月1日后购买",C75/(1+'数据-取费表'!C42)+C76+C77,C75+C76+C77),0)</f>
        <v>0</v>
      </c>
      <c r="D74" s="532" t="s">
        <v>167</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c r="A75" s="549" t="s">
        <v>1894</v>
      </c>
      <c r="B75" s="530" t="s">
        <v>323</v>
      </c>
      <c r="C75" s="550"/>
      <c r="D75" s="532" t="s">
        <v>167</v>
      </c>
      <c r="E75" s="551" t="s">
        <v>324</v>
      </c>
      <c r="F75" s="1427" t="s">
        <v>2414</v>
      </c>
      <c r="G75" s="551" t="s">
        <v>789</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customHeight="1">
      <c r="A76" s="549" t="s">
        <v>1896</v>
      </c>
      <c r="B76" s="553" t="s">
        <v>325</v>
      </c>
      <c r="C76" s="532">
        <f>IF(F75="购房发票",ROUND(C75*H75*D76,0),0)</f>
        <v>0</v>
      </c>
      <c r="D76" s="554">
        <v>0.05</v>
      </c>
      <c r="E76" s="3657" t="s">
        <v>326</v>
      </c>
      <c r="F76" s="3632"/>
      <c r="G76" s="3632"/>
      <c r="H76" s="3684"/>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customHeight="1">
      <c r="A77" s="549" t="s">
        <v>1897</v>
      </c>
      <c r="B77" s="530" t="s">
        <v>327</v>
      </c>
      <c r="C77" s="532">
        <f>ROUND(IF(G77="个人住宅",0,IF(G77="2016年5月1日前购买",C75*D77,C75*D77/(1+'数据-取费表'!C42))),0)</f>
        <v>0</v>
      </c>
      <c r="D77" s="555">
        <f>'数据-取费表'!B48+'数据-取费表'!B49</f>
        <v>3.0499999999999999E-2</v>
      </c>
      <c r="E77" s="303" t="s">
        <v>790</v>
      </c>
      <c r="F77" s="556"/>
      <c r="G77" s="1428" t="s">
        <v>2504</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customHeight="1">
      <c r="A78" s="549" t="s">
        <v>1895</v>
      </c>
      <c r="B78" s="530" t="s">
        <v>328</v>
      </c>
      <c r="C78" s="557">
        <f ca="1">ROUND(D45*D78/(1+'数据-取费表'!C42),0)</f>
        <v>2219</v>
      </c>
      <c r="D78" s="558">
        <f>'数据-取费表'!B43</f>
        <v>5.000000000000001E-3</v>
      </c>
      <c r="E78" s="3652" t="s">
        <v>2505</v>
      </c>
      <c r="F78" s="3643"/>
      <c r="G78" s="3643"/>
      <c r="H78" s="3653"/>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c r="A79" s="1800" t="s">
        <v>1898</v>
      </c>
      <c r="B79" s="536" t="s">
        <v>329</v>
      </c>
      <c r="C79" s="539">
        <f ca="1">C72-C73</f>
        <v>441494</v>
      </c>
      <c r="D79" s="532" t="s">
        <v>167</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c r="A80" s="1800" t="s">
        <v>1899</v>
      </c>
      <c r="B80" s="536" t="s">
        <v>330</v>
      </c>
      <c r="C80" s="559">
        <f ca="1">IF(C79&lt;=0,0,C79/C73)</f>
        <v>198.96079315006759</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thickBot="1">
      <c r="A81" s="1801" t="s">
        <v>1900</v>
      </c>
      <c r="B81" s="541" t="s">
        <v>331</v>
      </c>
      <c r="C81" s="560">
        <f ca="1">ROUND(IF(C79&lt;=0,0,IF(C80&gt;=200%,C79*60%-C73*35%,IF(C80&gt;=100%,C79*50%-C73*15%,IF(C80&gt;=50%,C79*40%-C73*5%,IF(C80&lt;50%,C79*30%,0))))),0)</f>
        <v>264120</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thickBot="1">
      <c r="A83" s="3685" t="s">
        <v>332</v>
      </c>
      <c r="B83" s="3686"/>
      <c r="C83" s="3686"/>
      <c r="D83" s="3686"/>
      <c r="E83" s="3686"/>
      <c r="F83" s="3686"/>
      <c r="G83" s="3686"/>
      <c r="H83" s="3686"/>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c r="A84" s="3662" t="s">
        <v>310</v>
      </c>
      <c r="B84" s="3663"/>
      <c r="C84" s="1918"/>
      <c r="D84" s="1918" t="s">
        <v>318</v>
      </c>
      <c r="E84" s="545" t="s">
        <v>319</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c r="A85" s="535" t="s">
        <v>1892</v>
      </c>
      <c r="B85" s="536" t="s">
        <v>320</v>
      </c>
      <c r="C85" s="539">
        <f ca="1">ROUND(D45/(1+'数据-取费表'!C42),0)</f>
        <v>443713</v>
      </c>
      <c r="D85" s="532" t="s">
        <v>167</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c r="A86" s="535" t="s">
        <v>1889</v>
      </c>
      <c r="B86" s="505" t="s">
        <v>321</v>
      </c>
      <c r="C86" s="539">
        <f ca="1">IF(H88="仅含出让金",C87+C90+C91+C92+C93+C94,C87+C91+C92+C93+C94)</f>
        <v>2219</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c r="A87" s="549" t="s">
        <v>1893</v>
      </c>
      <c r="B87" s="530" t="s">
        <v>333</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c r="A88" s="549" t="s">
        <v>1894</v>
      </c>
      <c r="B88" s="530" t="s">
        <v>334</v>
      </c>
      <c r="C88" s="568"/>
      <c r="D88" s="558"/>
      <c r="E88" s="569" t="s">
        <v>335</v>
      </c>
      <c r="F88" s="1917"/>
      <c r="G88" s="570" t="s">
        <v>336</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c r="A89" s="549" t="s">
        <v>1896</v>
      </c>
      <c r="B89" s="530" t="s">
        <v>327</v>
      </c>
      <c r="C89" s="557">
        <f>ROUND(C88*D89,0)</f>
        <v>0</v>
      </c>
      <c r="D89" s="558">
        <f>'数据-取费表'!B48+'数据-取费表'!B49</f>
        <v>3.0499999999999999E-2</v>
      </c>
      <c r="E89" s="569" t="s">
        <v>337</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c r="A90" s="549" t="s">
        <v>1895</v>
      </c>
      <c r="B90" s="530" t="s">
        <v>338</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customHeight="1">
      <c r="A91" s="1802" t="s">
        <v>1901</v>
      </c>
      <c r="B91" s="530" t="s">
        <v>339</v>
      </c>
      <c r="C91" s="557">
        <f>IF(H91="——",成本法!C33,I91)</f>
        <v>0</v>
      </c>
      <c r="D91" s="558"/>
      <c r="E91" s="3642" t="s">
        <v>791</v>
      </c>
      <c r="F91" s="3643"/>
      <c r="G91" s="3643"/>
      <c r="H91" s="1430" t="s">
        <v>2315</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customHeight="1">
      <c r="A92" s="1802" t="s">
        <v>1902</v>
      </c>
      <c r="B92" s="530" t="s">
        <v>340</v>
      </c>
      <c r="C92" s="557">
        <f>ROUND((C87+C90+C91)*D92,0)</f>
        <v>0</v>
      </c>
      <c r="D92" s="558">
        <v>0.1</v>
      </c>
      <c r="E92" s="3642" t="s">
        <v>341</v>
      </c>
      <c r="F92" s="3643"/>
      <c r="G92" s="3643"/>
      <c r="H92" s="3653"/>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customHeight="1">
      <c r="A93" s="1802" t="s">
        <v>1903</v>
      </c>
      <c r="B93" s="530" t="s">
        <v>328</v>
      </c>
      <c r="C93" s="557">
        <f ca="1">ROUND(D45*D93/(1+'数据-取费表'!C42),0)</f>
        <v>2219</v>
      </c>
      <c r="D93" s="558">
        <f>'数据-取费表'!B43</f>
        <v>5.000000000000001E-3</v>
      </c>
      <c r="E93" s="3652" t="s">
        <v>2505</v>
      </c>
      <c r="F93" s="3643"/>
      <c r="G93" s="3643"/>
      <c r="H93" s="3653"/>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customHeight="1">
      <c r="A94" s="1802" t="s">
        <v>1904</v>
      </c>
      <c r="B94" s="530" t="s">
        <v>342</v>
      </c>
      <c r="C94" s="568">
        <f>ROUND((C87+C90+C91)*D94,0)</f>
        <v>0</v>
      </c>
      <c r="D94" s="558">
        <v>0.2</v>
      </c>
      <c r="E94" s="3654" t="s">
        <v>3054</v>
      </c>
      <c r="F94" s="3655"/>
      <c r="G94" s="3655"/>
      <c r="H94" s="3656"/>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c r="A95" s="1800" t="s">
        <v>1898</v>
      </c>
      <c r="B95" s="536" t="s">
        <v>329</v>
      </c>
      <c r="C95" s="539">
        <f ca="1">ROUND(C85-C86,0)</f>
        <v>441494</v>
      </c>
      <c r="D95" s="532" t="s">
        <v>167</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c r="A96" s="1800" t="s">
        <v>1899</v>
      </c>
      <c r="B96" s="536" t="s">
        <v>330</v>
      </c>
      <c r="C96" s="559">
        <f ca="1">IF(C95&lt;=0,0,C95/C86)</f>
        <v>198.96079315006759</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thickBot="1">
      <c r="A97" s="1801" t="s">
        <v>1900</v>
      </c>
      <c r="B97" s="541" t="s">
        <v>331</v>
      </c>
      <c r="C97" s="560">
        <f ca="1">ROUND(IF(C95&lt;=0,0,IF(C96&gt;=200%,C95*60%-C86*35%,IF(C96&gt;=100%,C95*50%-C86*15%,IF(C96&gt;=50%,C95*40%-C86*5%,IF(C96&lt;50%,C95*30%,0))))),0)</f>
        <v>264120</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227</v>
      </c>
      <c r="B99" s="1243"/>
      <c r="C99" s="1243"/>
      <c r="D99" s="1243"/>
      <c r="E99" s="229"/>
      <c r="F99" s="229"/>
      <c r="G99" s="229"/>
      <c r="H99" s="241"/>
      <c r="I99" s="2278"/>
    </row>
    <row r="100" spans="1:35" ht="18.75" customHeight="1">
      <c r="A100" s="3626" t="s">
        <v>228</v>
      </c>
      <c r="B100" s="3627"/>
      <c r="C100" s="3627"/>
      <c r="D100" s="3644"/>
      <c r="E100" s="3627" t="s">
        <v>2905</v>
      </c>
      <c r="F100" s="3627"/>
      <c r="G100" s="3627"/>
      <c r="H100" s="3644"/>
      <c r="I100" s="2278"/>
    </row>
    <row r="101" spans="1:35" ht="18.75" customHeight="1">
      <c r="A101" s="3710" t="s">
        <v>206</v>
      </c>
      <c r="B101" s="3711"/>
      <c r="C101" s="1266" t="str">
        <f>C4</f>
        <v>成本法</v>
      </c>
      <c r="D101" s="1267" t="str">
        <f>D4</f>
        <v>假设开发法</v>
      </c>
      <c r="E101" s="3728" t="s">
        <v>1906</v>
      </c>
      <c r="F101" s="3677"/>
      <c r="G101" s="1268" t="s">
        <v>208</v>
      </c>
      <c r="H101" s="1986">
        <f ca="1">H118</f>
        <v>465899</v>
      </c>
      <c r="I101" s="2278"/>
    </row>
    <row r="102" spans="1:35" ht="18.75" customHeight="1">
      <c r="A102" s="3679" t="s">
        <v>207</v>
      </c>
      <c r="B102" s="1268" t="s">
        <v>208</v>
      </c>
      <c r="C102" s="1235">
        <f ca="1">C19</f>
        <v>449170</v>
      </c>
      <c r="D102" s="1236">
        <f ca="1">D19</f>
        <v>482627</v>
      </c>
      <c r="E102" s="3728"/>
      <c r="F102" s="3677"/>
      <c r="G102" s="1268" t="s">
        <v>209</v>
      </c>
      <c r="H102" s="711">
        <f ca="1">I118</f>
        <v>14289</v>
      </c>
      <c r="I102" s="2278"/>
    </row>
    <row r="103" spans="1:35" ht="42.75" customHeight="1">
      <c r="A103" s="3679"/>
      <c r="B103" s="1268" t="s">
        <v>209</v>
      </c>
      <c r="C103" s="1237">
        <f ca="1">C20</f>
        <v>14158</v>
      </c>
      <c r="D103" s="1238">
        <f ca="1">D20</f>
        <v>15212</v>
      </c>
      <c r="E103" s="3723" t="s">
        <v>3014</v>
      </c>
      <c r="F103" s="3724"/>
      <c r="G103" s="1269" t="s">
        <v>211</v>
      </c>
      <c r="H103" s="1986">
        <f>IF(D36="正常操作",H104+H105+H106,H105+H106)</f>
        <v>14478</v>
      </c>
      <c r="I103" s="2278"/>
    </row>
    <row r="104" spans="1:35" ht="18.75" customHeight="1">
      <c r="A104" s="3679" t="s">
        <v>210</v>
      </c>
      <c r="B104" s="1270" t="s">
        <v>208</v>
      </c>
      <c r="C104" s="1239">
        <f ca="1">H118</f>
        <v>465899</v>
      </c>
      <c r="D104" s="1240"/>
      <c r="E104" s="13" t="s">
        <v>1905</v>
      </c>
      <c r="F104" s="6"/>
      <c r="G104" s="1269" t="s">
        <v>211</v>
      </c>
      <c r="H104" s="1987">
        <f>IF(D36="同一抵押权人同一抵押物续贷",C36&amp;"（未扣减，详见特别提示）",C36)</f>
        <v>0</v>
      </c>
      <c r="I104" s="2278"/>
    </row>
    <row r="105" spans="1:35" ht="18.75" customHeight="1" thickBot="1">
      <c r="A105" s="3680"/>
      <c r="B105" s="1271" t="s">
        <v>209</v>
      </c>
      <c r="C105" s="1241">
        <f ca="1">I118</f>
        <v>14289</v>
      </c>
      <c r="D105" s="1242"/>
      <c r="E105" s="13" t="s">
        <v>1907</v>
      </c>
      <c r="F105" s="6"/>
      <c r="G105" s="1269" t="s">
        <v>211</v>
      </c>
      <c r="H105" s="1987">
        <f>C37</f>
        <v>14478</v>
      </c>
      <c r="I105" s="2278"/>
    </row>
    <row r="106" spans="1:35" ht="18.75" customHeight="1">
      <c r="A106" s="1243" t="s">
        <v>2003</v>
      </c>
      <c r="B106" s="1243"/>
      <c r="C106" s="1243"/>
      <c r="D106" s="1243"/>
      <c r="E106" s="467" t="s">
        <v>1908</v>
      </c>
      <c r="F106" s="6"/>
      <c r="G106" s="1269" t="s">
        <v>211</v>
      </c>
      <c r="H106" s="1987">
        <f>C38</f>
        <v>0</v>
      </c>
      <c r="I106" s="2278"/>
    </row>
    <row r="107" spans="1:35" ht="18.75" customHeight="1">
      <c r="A107" s="2278"/>
      <c r="B107" s="2278"/>
      <c r="C107" s="2278"/>
      <c r="D107" s="2278"/>
      <c r="E107" s="3676" t="str">
        <f>IF(项目基本情况!E8="已注销","——","3.房地产抵押价值")</f>
        <v>——</v>
      </c>
      <c r="F107" s="3677"/>
      <c r="G107" s="1268" t="s">
        <v>208</v>
      </c>
      <c r="H107" s="1986" t="str">
        <f>IF(E107="——","——",H101-H103)</f>
        <v>——</v>
      </c>
      <c r="I107" s="2278"/>
    </row>
    <row r="108" spans="1:35" ht="18.75" customHeight="1">
      <c r="A108" s="2278"/>
      <c r="B108" s="2278"/>
      <c r="C108" s="2278"/>
      <c r="D108" s="2278"/>
      <c r="E108" s="3676"/>
      <c r="F108" s="3677"/>
      <c r="G108" s="1268" t="s">
        <v>209</v>
      </c>
      <c r="H108" s="711" t="e">
        <f>ROUND(H107*10000/'数据-汇总表'!E3,0)</f>
        <v>#VALUE!</v>
      </c>
      <c r="I108" s="2278"/>
    </row>
    <row r="109" spans="1:35" ht="18.75" customHeight="1">
      <c r="A109" s="2278"/>
      <c r="B109" s="2278"/>
      <c r="C109" s="2278"/>
      <c r="D109" s="2278"/>
      <c r="E109" s="3676" t="str">
        <f>IF(项目基本情况!E8="已注销及未注销","4.抵押担保权已注销时的房地产抵押价值",IF(项目基本情况!E8="已注销","3.抵押担保权已注销时的房地产抵押价值","——"))</f>
        <v>3.抵押担保权已注销时的房地产抵押价值</v>
      </c>
      <c r="F109" s="3677"/>
      <c r="G109" s="1268" t="s">
        <v>208</v>
      </c>
      <c r="H109" s="685">
        <f ca="1">IF(E109="——","——",H101-H105-H106)</f>
        <v>451421</v>
      </c>
      <c r="I109" s="2278"/>
    </row>
    <row r="110" spans="1:35" ht="18.75" customHeight="1">
      <c r="A110" s="2278"/>
      <c r="B110" s="2278"/>
      <c r="C110" s="2278"/>
      <c r="D110" s="2278"/>
      <c r="E110" s="3676"/>
      <c r="F110" s="3677"/>
      <c r="G110" s="1268" t="s">
        <v>209</v>
      </c>
      <c r="H110" s="711">
        <f ca="1">IF(H109="——","——",ROUND(H109*10000/'数据-汇总表'!E3,0))</f>
        <v>13845</v>
      </c>
      <c r="I110" s="2278"/>
    </row>
    <row r="111" spans="1:35" ht="18.75" customHeight="1">
      <c r="A111" s="2278"/>
      <c r="B111" s="2278"/>
      <c r="C111" s="2278"/>
      <c r="D111" s="2278"/>
      <c r="E111" s="3713" t="str">
        <f>IF(项目基本情况!E9="抵押净值",IF(OR(项目基本情况!E8="已注销",项目基本情况!E8="房地产抵押价值"),"4.抵押净值","5.抵押净值"),"——")</f>
        <v>——</v>
      </c>
      <c r="F111" s="3714"/>
      <c r="G111" s="1268" t="s">
        <v>208</v>
      </c>
      <c r="H111" s="1986" t="str">
        <f>IF(E111="——","——",N59)</f>
        <v>——</v>
      </c>
      <c r="I111" s="2278"/>
    </row>
    <row r="112" spans="1:35" ht="18.75" customHeight="1" thickBot="1">
      <c r="A112" s="2278"/>
      <c r="B112" s="2278"/>
      <c r="C112" s="2278"/>
      <c r="D112" s="2278"/>
      <c r="E112" s="3715"/>
      <c r="F112" s="3716"/>
      <c r="G112" s="1272" t="s">
        <v>209</v>
      </c>
      <c r="H112" s="1423" t="str">
        <f>IF(E111="——","——",N61)</f>
        <v>——</v>
      </c>
      <c r="I112" s="2278"/>
    </row>
    <row r="113" spans="1:11" ht="18.75" customHeight="1">
      <c r="A113" s="2278"/>
      <c r="B113" s="2278"/>
      <c r="C113" s="2278"/>
      <c r="D113" s="2278"/>
      <c r="E113" s="3681" t="s">
        <v>2003</v>
      </c>
      <c r="F113" s="3681"/>
      <c r="G113" s="3681"/>
      <c r="H113" s="3681"/>
      <c r="I113" s="2278"/>
    </row>
    <row r="114" spans="1:11" ht="3.75" customHeight="1">
      <c r="A114" s="1243"/>
      <c r="B114" s="1243"/>
      <c r="C114" s="1243"/>
      <c r="D114" s="1243"/>
      <c r="E114" s="1258"/>
      <c r="F114" s="1258"/>
      <c r="G114" s="1258"/>
      <c r="H114" s="1258"/>
      <c r="I114" s="1243"/>
    </row>
    <row r="115" spans="1:11" ht="18.75" customHeight="1">
      <c r="A115" s="3695" t="s">
        <v>224</v>
      </c>
      <c r="B115" s="3696"/>
      <c r="C115" s="3696"/>
      <c r="D115" s="3696"/>
      <c r="E115" s="3696"/>
      <c r="F115" s="3696"/>
      <c r="G115" s="3696"/>
      <c r="H115" s="3696"/>
      <c r="I115" s="3697"/>
    </row>
    <row r="116" spans="1:11" ht="27" customHeight="1">
      <c r="A116" s="3545" t="s">
        <v>5</v>
      </c>
      <c r="B116" s="3682" t="s">
        <v>3893</v>
      </c>
      <c r="C116" s="3682" t="s">
        <v>3895</v>
      </c>
      <c r="D116" s="3699" t="s">
        <v>204</v>
      </c>
      <c r="E116" s="3700"/>
      <c r="F116" s="3691" t="s">
        <v>2383</v>
      </c>
      <c r="G116" s="3691"/>
      <c r="H116" s="3545" t="s">
        <v>6</v>
      </c>
      <c r="I116" s="3545"/>
    </row>
    <row r="117" spans="1:11" ht="18.75" customHeight="1">
      <c r="A117" s="3545"/>
      <c r="B117" s="3683"/>
      <c r="C117" s="3683"/>
      <c r="D117" s="1915" t="s">
        <v>7</v>
      </c>
      <c r="E117" s="1915" t="s">
        <v>782</v>
      </c>
      <c r="F117" s="1915" t="s">
        <v>7</v>
      </c>
      <c r="G117" s="1915" t="s">
        <v>8</v>
      </c>
      <c r="H117" s="1915" t="s">
        <v>7</v>
      </c>
      <c r="I117" s="1915" t="s">
        <v>8</v>
      </c>
    </row>
    <row r="118" spans="1:11" ht="24.75" customHeight="1">
      <c r="A118" s="2033" t="str">
        <f>项目基本情况!S2</f>
        <v>北京市密云县司马台村出让国有建设用地使用权及在建建筑物房地产</v>
      </c>
      <c r="B118" s="1920">
        <f>M18</f>
        <v>326059.4499999999</v>
      </c>
      <c r="C118" s="1920">
        <f>M19</f>
        <v>346512.69</v>
      </c>
      <c r="D118" s="1920">
        <f ca="1">ROUND(IF(D32="总价",C34,E118*B118/10000),0)</f>
        <v>78961</v>
      </c>
      <c r="E118" s="1920">
        <f ca="1">ROUND(IF(C33="自定义",IF(D32="楼面单价",C34,D118*10000/B118),I118-G118),0)</f>
        <v>2422</v>
      </c>
      <c r="F118" s="1920">
        <f ca="1">ROUND(IF(D32="总价",C35,G118*B118/10000),0)</f>
        <v>386938</v>
      </c>
      <c r="G118" s="1920">
        <f ca="1">ROUND(IF(D32="楼面单价",C35,F118*10000/B118),0)</f>
        <v>11867</v>
      </c>
      <c r="H118" s="1920">
        <f ca="1">ROUND(IF(D32="总价",C32,I118*B118/10000),0)</f>
        <v>465899</v>
      </c>
      <c r="I118" s="1920">
        <f ca="1">ROUND(IF(D32="楼面单价",C32,H118*10000/B118),0)</f>
        <v>14289</v>
      </c>
    </row>
    <row r="119" spans="1:11" ht="18.75" customHeight="1">
      <c r="A119" s="3545" t="s">
        <v>9</v>
      </c>
      <c r="B119" s="3545"/>
      <c r="C119" s="3545"/>
      <c r="D119" s="3688" t="str">
        <f ca="1">NUMBERSTRING(INT(D118*10000),2)&amp;"元整"</f>
        <v>柒亿捌仟玖佰陆拾壹万元整</v>
      </c>
      <c r="E119" s="3690"/>
      <c r="F119" s="3688" t="str">
        <f ca="1">NUMBERSTRING(INT(F118*10000),2)&amp;"元整"</f>
        <v>叁拾捌亿陆仟玖佰叁拾捌万元整</v>
      </c>
      <c r="G119" s="3690"/>
      <c r="H119" s="3688" t="str">
        <f ca="1">NUMBERSTRING(INT(H118*10000),2)&amp;"元整"</f>
        <v>肆拾陆亿伍仟捌佰玖拾玖万元整</v>
      </c>
      <c r="I119" s="3690"/>
    </row>
    <row r="120" spans="1:11" ht="18.75" customHeight="1">
      <c r="A120" s="3720" t="str">
        <f>MID(E103,3,LEN(E103)-2)</f>
        <v>估价师知悉的法定优先受偿款</v>
      </c>
      <c r="B120" s="3721"/>
      <c r="C120" s="3722"/>
      <c r="D120" s="3717">
        <f>H103</f>
        <v>14478</v>
      </c>
      <c r="E120" s="3718"/>
      <c r="F120" s="3718"/>
      <c r="G120" s="3718"/>
      <c r="H120" s="3718"/>
      <c r="I120" s="3719"/>
      <c r="K120" s="1434" t="str">
        <f>IF(D120=0,"故，本次评估不存在"&amp;A120,"故，本次评估"&amp;A120&amp;"为人民币"&amp;D120&amp;"万元整。")</f>
        <v>故，本次评估估价师知悉的法定优先受偿款为人民币14478万元整。</v>
      </c>
    </row>
    <row r="121" spans="1:11" ht="18.75" customHeight="1">
      <c r="A121" s="3692" t="s">
        <v>9</v>
      </c>
      <c r="B121" s="3693"/>
      <c r="C121" s="3694"/>
      <c r="D121" s="3688" t="str">
        <f>IF(D120=0,"零元整",NUMBERSTRING(INT(D120*10000),2)&amp;"元整")</f>
        <v>壹亿肆仟肆佰柒拾捌万元整</v>
      </c>
      <c r="E121" s="3689"/>
      <c r="F121" s="3689"/>
      <c r="G121" s="3689"/>
      <c r="H121" s="3689"/>
      <c r="I121" s="3690"/>
    </row>
    <row r="122" spans="1:11" ht="18.75" customHeight="1">
      <c r="A122" s="3678" t="str">
        <f>MID(E107,3,LEN(E107)-2)</f>
        <v/>
      </c>
      <c r="B122" s="3678"/>
      <c r="C122" s="3678"/>
      <c r="D122" s="3717" t="str">
        <f>H107</f>
        <v>——</v>
      </c>
      <c r="E122" s="3718"/>
      <c r="F122" s="3718"/>
      <c r="G122" s="3718"/>
      <c r="H122" s="3718"/>
      <c r="I122" s="3719"/>
    </row>
    <row r="123" spans="1:11" ht="18.75" customHeight="1">
      <c r="A123" s="3545" t="s">
        <v>9</v>
      </c>
      <c r="B123" s="3545"/>
      <c r="C123" s="3545"/>
      <c r="D123" s="3688" t="e">
        <f>NUMBERSTRING(INT(D122*10000),2)&amp;"元整"</f>
        <v>#VALUE!</v>
      </c>
      <c r="E123" s="3689"/>
      <c r="F123" s="3689"/>
      <c r="G123" s="3689"/>
      <c r="H123" s="3689"/>
      <c r="I123" s="3690"/>
    </row>
    <row r="124" spans="1:11" ht="18.75" customHeight="1">
      <c r="A124" s="3678" t="str">
        <f>MID(E109,3,LEN(E109)-2)</f>
        <v>抵押担保权已注销时的房地产抵押价值</v>
      </c>
      <c r="B124" s="3678"/>
      <c r="C124" s="3678"/>
      <c r="D124" s="3717">
        <f ca="1">H109</f>
        <v>451421</v>
      </c>
      <c r="E124" s="3718"/>
      <c r="F124" s="3718"/>
      <c r="G124" s="3718"/>
      <c r="H124" s="3718"/>
      <c r="I124" s="3719"/>
    </row>
    <row r="125" spans="1:11" ht="18.75" customHeight="1">
      <c r="A125" s="3545" t="s">
        <v>9</v>
      </c>
      <c r="B125" s="3545"/>
      <c r="C125" s="3545"/>
      <c r="D125" s="3688" t="str">
        <f ca="1">NUMBERSTRING(INT(D124*10000),2)&amp;"元整"</f>
        <v>肆拾伍亿壹仟肆佰贰拾壹万元整</v>
      </c>
      <c r="E125" s="3689"/>
      <c r="F125" s="3689"/>
      <c r="G125" s="3689"/>
      <c r="H125" s="3689"/>
      <c r="I125" s="3690"/>
    </row>
    <row r="126" spans="1:11" ht="18.75" customHeight="1">
      <c r="A126" s="3678" t="str">
        <f>MID(E111,3,LEN(E111)-2)</f>
        <v/>
      </c>
      <c r="B126" s="3678"/>
      <c r="C126" s="3678"/>
      <c r="D126" s="3717" t="str">
        <f>H111</f>
        <v>——</v>
      </c>
      <c r="E126" s="3718"/>
      <c r="F126" s="3718"/>
      <c r="G126" s="3718"/>
      <c r="H126" s="3718"/>
      <c r="I126" s="3719"/>
    </row>
    <row r="127" spans="1:11" ht="18.75" customHeight="1">
      <c r="A127" s="3545" t="s">
        <v>9</v>
      </c>
      <c r="B127" s="3545"/>
      <c r="C127" s="3545"/>
      <c r="D127" s="3688" t="e">
        <f>NUMBERSTRING(INT(D126*10000),2)&amp;"元整"</f>
        <v>#VALUE!</v>
      </c>
      <c r="E127" s="3689"/>
      <c r="F127" s="3689"/>
      <c r="G127" s="3689"/>
      <c r="H127" s="3689"/>
      <c r="I127" s="3690"/>
    </row>
    <row r="128" spans="1:11" ht="21.75" customHeight="1">
      <c r="A128" s="3698" t="s">
        <v>2002</v>
      </c>
      <c r="B128" s="3698"/>
      <c r="C128" s="3698"/>
      <c r="D128" s="3698"/>
      <c r="E128" s="3698"/>
      <c r="F128" s="3698"/>
      <c r="G128" s="3698"/>
      <c r="H128" s="3698"/>
      <c r="I128" s="3698"/>
    </row>
    <row r="129" spans="1:35" ht="21.75" customHeight="1">
      <c r="A129" s="2028" t="s">
        <v>783</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784</v>
      </c>
      <c r="G135" s="1448"/>
      <c r="H135" s="1448"/>
      <c r="I135" s="1449" t="s">
        <v>785</v>
      </c>
    </row>
    <row r="136" spans="1:35" ht="21.75" customHeight="1">
      <c r="A136" s="1446"/>
      <c r="B136" s="1450" t="s">
        <v>786</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787</v>
      </c>
    </row>
    <row r="139" spans="1:35" ht="21.75" customHeight="1">
      <c r="A139" s="1446"/>
      <c r="B139" s="1450" t="s">
        <v>788</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787</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E36" sqref="E3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812</v>
      </c>
      <c r="B1" s="2753" t="s">
        <v>3530</v>
      </c>
      <c r="C1" s="574"/>
      <c r="D1" s="574"/>
      <c r="E1" s="574"/>
      <c r="F1" s="574"/>
      <c r="G1" s="2754">
        <f>MATCH(B1,'数据-取费表'!A6:A16,0)+5</f>
        <v>6</v>
      </c>
    </row>
    <row r="2" spans="1:9" s="576" customFormat="1" ht="18" customHeight="1">
      <c r="A2" s="577" t="s">
        <v>444</v>
      </c>
      <c r="B2" s="578">
        <f ca="1">IF(D2="——",C52,C52-E2)</f>
        <v>449170</v>
      </c>
      <c r="C2" s="85" t="s">
        <v>862</v>
      </c>
      <c r="D2" s="2874" t="s">
        <v>529</v>
      </c>
      <c r="E2" s="2872" t="e">
        <f ca="1">SUMIF(INDIRECT("'"&amp;G2&amp;"'"&amp;"!A:A"),"承租人权益价值",INDIRECT("'"&amp;G2&amp;"'"&amp;"!c:c"))</f>
        <v>#REF!</v>
      </c>
      <c r="F2" s="2870" t="s">
        <v>862</v>
      </c>
      <c r="G2" s="2873"/>
    </row>
    <row r="3" spans="1:9" s="576" customFormat="1" ht="18" customHeight="1" thickBot="1">
      <c r="A3" s="579" t="s">
        <v>445</v>
      </c>
      <c r="B3" s="580">
        <f ca="1">ROUND(B2*10000/(IF(B1="",'数据-汇总表'!E3,INDIRECT("'数据-取费表'!k"&amp;$G$1))),0)</f>
        <v>14158</v>
      </c>
      <c r="C3" s="85" t="s">
        <v>863</v>
      </c>
      <c r="D3" s="575"/>
      <c r="E3" s="575"/>
      <c r="F3" s="575"/>
      <c r="G3" s="575"/>
    </row>
    <row r="4" spans="1:9" s="584" customFormat="1" ht="15.75">
      <c r="A4" s="581" t="s">
        <v>815</v>
      </c>
      <c r="B4" s="582"/>
      <c r="C4" s="582"/>
      <c r="D4" s="582"/>
      <c r="E4" s="582"/>
      <c r="F4" s="582"/>
      <c r="G4" s="583"/>
    </row>
    <row r="5" spans="1:9" s="590" customFormat="1" ht="13.5" customHeight="1">
      <c r="A5" s="631" t="s">
        <v>2506</v>
      </c>
      <c r="B5" s="586" t="s">
        <v>816</v>
      </c>
      <c r="C5" s="587">
        <f ca="1">C6+C7+C8</f>
        <v>42936</v>
      </c>
      <c r="D5" s="587" t="s">
        <v>817</v>
      </c>
      <c r="E5" s="588" t="s">
        <v>818</v>
      </c>
      <c r="F5" s="588" t="s">
        <v>819</v>
      </c>
      <c r="G5" s="589"/>
    </row>
    <row r="6" spans="1:9" s="590" customFormat="1" ht="13.5" customHeight="1">
      <c r="A6" s="1804" t="s">
        <v>1918</v>
      </c>
      <c r="B6" s="591" t="s">
        <v>820</v>
      </c>
      <c r="C6" s="592">
        <f ca="1">基准地价修正!B2</f>
        <v>39538</v>
      </c>
      <c r="D6" s="593"/>
      <c r="E6" s="594"/>
      <c r="F6" s="594"/>
      <c r="G6" s="595"/>
    </row>
    <row r="7" spans="1:9" s="590" customFormat="1" ht="13.5" customHeight="1">
      <c r="A7" s="1804" t="s">
        <v>1919</v>
      </c>
      <c r="B7" s="591" t="s">
        <v>345</v>
      </c>
      <c r="C7" s="596">
        <f ca="1">ROUND(C6*F7,0)</f>
        <v>1206</v>
      </c>
      <c r="D7" s="596"/>
      <c r="E7" s="594"/>
      <c r="F7" s="597">
        <f>'数据-取费表'!B48+'数据-取费表'!B49</f>
        <v>3.0499999999999999E-2</v>
      </c>
      <c r="G7" s="595"/>
    </row>
    <row r="8" spans="1:9" s="599" customFormat="1">
      <c r="A8" s="1804" t="s">
        <v>1920</v>
      </c>
      <c r="B8" s="591" t="s">
        <v>821</v>
      </c>
      <c r="C8" s="596">
        <f>IF(G8="已包含在土地购买价格中","0",IF(B1="",'数据-取费表'!B29,IF(G9="全部缴纳",C9+C10,H9)))</f>
        <v>2192</v>
      </c>
      <c r="D8" s="598"/>
      <c r="E8" s="596"/>
      <c r="F8" s="597"/>
      <c r="G8" s="84" t="s">
        <v>3546</v>
      </c>
    </row>
    <row r="9" spans="1:9" s="590" customFormat="1" ht="13.5" customHeight="1">
      <c r="A9" s="1805" t="s">
        <v>1927</v>
      </c>
      <c r="B9" s="600" t="s">
        <v>822</v>
      </c>
      <c r="C9" s="601">
        <f ca="1">ROUND(D9*E9/10000,0)</f>
        <v>0</v>
      </c>
      <c r="D9" s="1909">
        <f ca="1">IF(B1="",'数据-汇总表'!E5,IF(INDIRECT("'数据-取费表'!c"&amp;$G$1)="住宅",INDIRECT("'数据-取费表'!k"&amp;$G$1),0))</f>
        <v>0</v>
      </c>
      <c r="E9" s="601">
        <f>'数据-取费表'!B27</f>
        <v>100</v>
      </c>
      <c r="F9" s="597"/>
      <c r="G9" s="2804" t="s">
        <v>3896</v>
      </c>
      <c r="H9" s="2805">
        <v>2192</v>
      </c>
      <c r="I9" s="2806" t="s">
        <v>2688</v>
      </c>
    </row>
    <row r="10" spans="1:9" s="590" customFormat="1" ht="13.5" customHeight="1">
      <c r="A10" s="1805" t="s">
        <v>1928</v>
      </c>
      <c r="B10" s="600" t="s">
        <v>823</v>
      </c>
      <c r="C10" s="601">
        <f ca="1">ROUND(D10*E10/10000,0)</f>
        <v>2445</v>
      </c>
      <c r="D10" s="1909">
        <f ca="1">IF(B1="",'数据-汇总表'!E6,IF(INDIRECT("'数据-取费表'!c"&amp;$G$1)="住宅",INDIRECT("'数据-取费表'!s"&amp;$G$1),INDIRECT("'数据-取费表'!k"&amp;$G$1)+INDIRECT("'数据-取费表'!s"&amp;$G$1)))</f>
        <v>326059.4499999999</v>
      </c>
      <c r="E10" s="601">
        <f>'数据-取费表'!B28</f>
        <v>75</v>
      </c>
      <c r="F10" s="597"/>
      <c r="G10" s="602"/>
    </row>
    <row r="11" spans="1:9" s="590" customFormat="1" ht="13.5" hidden="1" customHeight="1">
      <c r="A11" s="603" t="s">
        <v>42</v>
      </c>
      <c r="B11" s="591" t="s">
        <v>824</v>
      </c>
      <c r="C11" s="587"/>
      <c r="D11" s="1911"/>
      <c r="E11" s="594"/>
      <c r="F11" s="594"/>
      <c r="G11" s="595"/>
    </row>
    <row r="12" spans="1:9" s="590" customFormat="1" ht="13.5" hidden="1" customHeight="1">
      <c r="A12" s="603" t="s">
        <v>43</v>
      </c>
      <c r="B12" s="591" t="s">
        <v>825</v>
      </c>
      <c r="C12" s="587">
        <v>0</v>
      </c>
      <c r="D12" s="1911"/>
      <c r="E12" s="604"/>
      <c r="F12" s="597">
        <v>3.0499999999999999E-2</v>
      </c>
      <c r="G12" s="595"/>
    </row>
    <row r="13" spans="1:9" s="590" customFormat="1" ht="13.5" hidden="1" customHeight="1">
      <c r="A13" s="603" t="s">
        <v>44</v>
      </c>
      <c r="B13" s="591" t="s">
        <v>826</v>
      </c>
      <c r="C13" s="587"/>
      <c r="D13" s="1911"/>
      <c r="E13" s="594"/>
      <c r="F13" s="594"/>
      <c r="G13" s="595"/>
    </row>
    <row r="14" spans="1:9" s="590" customFormat="1" ht="13.5" hidden="1" customHeight="1">
      <c r="A14" s="603" t="s">
        <v>45</v>
      </c>
      <c r="B14" s="591" t="s">
        <v>821</v>
      </c>
      <c r="C14" s="587"/>
      <c r="D14" s="1911"/>
      <c r="E14" s="594"/>
      <c r="F14" s="594"/>
      <c r="G14" s="595" t="s">
        <v>827</v>
      </c>
    </row>
    <row r="15" spans="1:9" s="590" customFormat="1" ht="13.5" hidden="1" customHeight="1">
      <c r="A15" s="603" t="s">
        <v>46</v>
      </c>
      <c r="B15" s="591" t="s">
        <v>828</v>
      </c>
      <c r="C15" s="596"/>
      <c r="D15" s="1911"/>
      <c r="E15" s="594"/>
      <c r="F15" s="594"/>
      <c r="G15" s="595" t="s">
        <v>829</v>
      </c>
    </row>
    <row r="16" spans="1:9" s="590" customFormat="1" ht="13.5" hidden="1" customHeight="1">
      <c r="A16" s="603" t="s">
        <v>47</v>
      </c>
      <c r="B16" s="591" t="s">
        <v>821</v>
      </c>
      <c r="C16" s="596"/>
      <c r="D16" s="1911"/>
      <c r="E16" s="594"/>
      <c r="F16" s="594"/>
      <c r="G16" s="595"/>
    </row>
    <row r="17" spans="1:7" s="590" customFormat="1" ht="13.5" hidden="1" customHeight="1">
      <c r="A17" s="603" t="s">
        <v>48</v>
      </c>
      <c r="B17" s="591" t="s">
        <v>830</v>
      </c>
      <c r="C17" s="605"/>
      <c r="D17" s="1912"/>
      <c r="E17" s="605"/>
      <c r="F17" s="605"/>
      <c r="G17" s="595" t="s">
        <v>829</v>
      </c>
    </row>
    <row r="18" spans="1:7" s="590" customFormat="1" ht="13.5" hidden="1" customHeight="1">
      <c r="A18" s="603" t="s">
        <v>49</v>
      </c>
      <c r="B18" s="591" t="s">
        <v>831</v>
      </c>
      <c r="C18" s="596">
        <v>0</v>
      </c>
      <c r="D18" s="1911"/>
      <c r="E18" s="594"/>
      <c r="F18" s="597">
        <v>3.0499999999999999E-2</v>
      </c>
      <c r="G18" s="595" t="s">
        <v>832</v>
      </c>
    </row>
    <row r="19" spans="1:7" s="599" customFormat="1" ht="13.5" customHeight="1">
      <c r="A19" s="1803" t="s">
        <v>2507</v>
      </c>
      <c r="B19" s="586" t="s">
        <v>840</v>
      </c>
      <c r="C19" s="587" t="str">
        <f>IF(G19="已包含在土地取得成本中","0",ROUND(D19*E19/10000,0))</f>
        <v>0</v>
      </c>
      <c r="D19" s="1913">
        <f ca="1">D9+D10</f>
        <v>326059.4499999999</v>
      </c>
      <c r="E19" s="587">
        <f>'数据-取费表'!B31</f>
        <v>500</v>
      </c>
      <c r="F19" s="607"/>
      <c r="G19" s="84" t="s">
        <v>3547</v>
      </c>
    </row>
    <row r="20" spans="1:7" s="590" customFormat="1" ht="13.5" customHeight="1">
      <c r="A20" s="1803" t="s">
        <v>2509</v>
      </c>
      <c r="B20" s="586" t="s">
        <v>833</v>
      </c>
      <c r="C20" s="608">
        <f ca="1">ROUND((C5+C19)*F20,0)</f>
        <v>1288</v>
      </c>
      <c r="D20" s="608"/>
      <c r="E20" s="608"/>
      <c r="F20" s="609">
        <f>'数据-取费表'!B37</f>
        <v>0.03</v>
      </c>
      <c r="G20" s="2621" t="s">
        <v>2520</v>
      </c>
    </row>
    <row r="21" spans="1:7" s="590" customFormat="1" ht="13.5" customHeight="1">
      <c r="A21" s="1803" t="s">
        <v>2511</v>
      </c>
      <c r="B21" s="586" t="s">
        <v>834</v>
      </c>
      <c r="C21" s="611">
        <f>F21</f>
        <v>0.03</v>
      </c>
      <c r="D21" s="612" t="s">
        <v>855</v>
      </c>
      <c r="E21" s="608"/>
      <c r="F21" s="609">
        <f>'数据-取费表'!B38</f>
        <v>0.03</v>
      </c>
      <c r="G21" s="610" t="s">
        <v>835</v>
      </c>
    </row>
    <row r="22" spans="1:7" s="590" customFormat="1" ht="13.5" customHeight="1">
      <c r="A22" s="1803" t="s">
        <v>1913</v>
      </c>
      <c r="B22" s="586" t="s">
        <v>836</v>
      </c>
      <c r="C22" s="2700">
        <f ca="1">ROUND(SUM(C23:C25),0)</f>
        <v>8640</v>
      </c>
      <c r="D22" s="611">
        <f ca="1">C26</f>
        <v>2.8E-3</v>
      </c>
      <c r="E22" s="612" t="s">
        <v>855</v>
      </c>
      <c r="F22" s="613">
        <f ca="1">'数据-取费表'!B40</f>
        <v>4.7500000000000001E-2</v>
      </c>
      <c r="G22" s="2621" t="str">
        <f>IF('数据-取费表'!B22&lt;=1,"单利计息","复利计息")</f>
        <v>复利计息</v>
      </c>
    </row>
    <row r="23" spans="1:7" s="590" customFormat="1" ht="13.5" customHeight="1">
      <c r="A23" s="1806" t="s">
        <v>1918</v>
      </c>
      <c r="B23" s="591" t="s">
        <v>2513</v>
      </c>
      <c r="C23" s="2701">
        <f ca="1">ROUND(IF('数据-取费表'!B22&lt;=1,C5*F22*'数据-取费表'!B23,C5*(POWER((1+F22),'数据-取费表'!B23)-1)),0)</f>
        <v>8518</v>
      </c>
      <c r="D23" s="614"/>
      <c r="E23" s="614"/>
      <c r="F23" s="615"/>
      <c r="G23" s="616" t="s">
        <v>837</v>
      </c>
    </row>
    <row r="24" spans="1:7" s="590" customFormat="1" ht="13.5" customHeight="1">
      <c r="A24" s="1806" t="s">
        <v>1919</v>
      </c>
      <c r="B24" s="591" t="s">
        <v>2508</v>
      </c>
      <c r="C24" s="2701">
        <f ca="1">ROUND(IF('数据-取费表'!B22&lt;=1,C19*F22*('数据-取费表'!B19/2+'数据-取费表'!B21),C19*(POWER((1+F22),('数据-取费表'!B19/2+'数据-取费表'!B21))-1)),0)</f>
        <v>0</v>
      </c>
      <c r="D24" s="614"/>
      <c r="E24" s="614"/>
      <c r="F24" s="615"/>
      <c r="G24" s="616" t="s">
        <v>838</v>
      </c>
    </row>
    <row r="25" spans="1:7" s="590" customFormat="1" ht="24">
      <c r="A25" s="1806" t="s">
        <v>1920</v>
      </c>
      <c r="B25" s="591" t="s">
        <v>2510</v>
      </c>
      <c r="C25" s="2701">
        <f ca="1">ROUND(IF('数据-取费表'!B22&lt;=1,C20*F22*'数据-取费表'!B23/2,C20*(POWER((1+F22),'数据-取费表'!B23/2)-1)),0)</f>
        <v>122</v>
      </c>
      <c r="D25" s="614"/>
      <c r="E25" s="617"/>
      <c r="F25" s="615"/>
      <c r="G25" s="618" t="s">
        <v>839</v>
      </c>
    </row>
    <row r="26" spans="1:7" s="590" customFormat="1">
      <c r="A26" s="1806" t="s">
        <v>1922</v>
      </c>
      <c r="B26" s="591" t="s">
        <v>2512</v>
      </c>
      <c r="C26" s="614">
        <f ca="1">ROUND(IF('数据-取费表'!B22&lt;=1,F21*F22*'数据-取费表'!B23/2,F21*(POWER((1+F22),'数据-取费表'!B23/2)-1)),4)</f>
        <v>2.8E-3</v>
      </c>
      <c r="D26" s="614"/>
      <c r="E26" s="617"/>
      <c r="F26" s="615"/>
      <c r="G26" s="619"/>
    </row>
    <row r="27" spans="1:7" s="590" customFormat="1" ht="24.75">
      <c r="A27" s="1803" t="s">
        <v>1914</v>
      </c>
      <c r="B27" s="620" t="s">
        <v>841</v>
      </c>
      <c r="C27" s="621">
        <f ca="1">C28</f>
        <v>15954</v>
      </c>
      <c r="D27" s="611">
        <f ca="1">C29</f>
        <v>1.0800000000000001E-2</v>
      </c>
      <c r="E27" s="612" t="s">
        <v>855</v>
      </c>
      <c r="F27" s="622">
        <f ca="1">IF(B1="",'数据-取费表'!Q16,INDIRECT("'数据-取费表'!q"&amp;$G$1))</f>
        <v>0.37</v>
      </c>
      <c r="G27" s="623" t="s">
        <v>2521</v>
      </c>
    </row>
    <row r="28" spans="1:7" s="590" customFormat="1" ht="13.5" customHeight="1">
      <c r="A28" s="1806" t="s">
        <v>1918</v>
      </c>
      <c r="B28" s="624" t="s">
        <v>2514</v>
      </c>
      <c r="C28" s="625">
        <f ca="1">ROUND((C5+C19+C20)*F27*'数据-取费表'!B21/'数据-取费表'!B20,0)</f>
        <v>15954</v>
      </c>
      <c r="D28" s="611"/>
      <c r="E28" s="612"/>
      <c r="F28" s="622"/>
      <c r="G28" s="623"/>
    </row>
    <row r="29" spans="1:7" s="590" customFormat="1" ht="13.5" customHeight="1">
      <c r="A29" s="1806" t="s">
        <v>1919</v>
      </c>
      <c r="B29" s="624" t="s">
        <v>2515</v>
      </c>
      <c r="C29" s="614">
        <f ca="1">ROUND(C21*F27*'数据-取费表'!B21/'数据-取费表'!B20,4)</f>
        <v>1.0800000000000001E-2</v>
      </c>
      <c r="D29" s="611"/>
      <c r="E29" s="612"/>
      <c r="F29" s="622"/>
      <c r="G29" s="623"/>
    </row>
    <row r="30" spans="1:7" s="590" customFormat="1" ht="13.5" customHeight="1">
      <c r="A30" s="1803" t="s">
        <v>1915</v>
      </c>
      <c r="B30" s="586" t="s">
        <v>346</v>
      </c>
      <c r="C30" s="611">
        <f>ROUND(F30/(1+'数据-取费表'!C42),4)</f>
        <v>5.2400000000000002E-2</v>
      </c>
      <c r="D30" s="612" t="s">
        <v>2942</v>
      </c>
      <c r="E30" s="617"/>
      <c r="F30" s="613">
        <f>'数据-取费表'!B41</f>
        <v>5.5000000000000007E-2</v>
      </c>
      <c r="G30" s="2621" t="s">
        <v>2943</v>
      </c>
    </row>
    <row r="31" spans="1:7" ht="16.5" customHeight="1">
      <c r="A31" s="585">
        <v>1</v>
      </c>
      <c r="B31" s="586" t="s">
        <v>857</v>
      </c>
      <c r="C31" s="587">
        <f ca="1">ROUND((C5+C19+C20+C22+C27)/(1-C21-D22-D27-C30),0)</f>
        <v>76126</v>
      </c>
      <c r="D31" s="606"/>
      <c r="E31" s="587"/>
      <c r="F31" s="626"/>
      <c r="G31" s="610" t="s">
        <v>2522</v>
      </c>
    </row>
    <row r="32" spans="1:7" s="584" customFormat="1" ht="15.75">
      <c r="A32" s="628" t="s">
        <v>843</v>
      </c>
      <c r="B32" s="629"/>
      <c r="C32" s="629"/>
      <c r="D32" s="629"/>
      <c r="E32" s="629"/>
      <c r="F32" s="629"/>
      <c r="G32" s="630"/>
    </row>
    <row r="33" spans="1:7" s="590" customFormat="1" ht="13.5" customHeight="1">
      <c r="A33" s="631" t="s">
        <v>1909</v>
      </c>
      <c r="B33" s="586" t="s">
        <v>844</v>
      </c>
      <c r="C33" s="632">
        <f ca="1">SUM(C34:C38)</f>
        <v>223457</v>
      </c>
      <c r="D33" s="608"/>
      <c r="E33" s="588"/>
      <c r="F33" s="617"/>
      <c r="G33" s="610"/>
    </row>
    <row r="34" spans="1:7" s="634" customFormat="1" ht="13.5" customHeight="1">
      <c r="A34" s="1806" t="s">
        <v>1918</v>
      </c>
      <c r="B34" s="591" t="s">
        <v>347</v>
      </c>
      <c r="C34" s="596">
        <f ca="1">IF(B1="",IF(F34=100%,'数据-取费表'!M16,'数据-取费表'!O16),IF(F34=100%,INDIRECT("'数据-取费表'!m"&amp;$G$1)+INDIRECT("'数据-取费表'!t"&amp;$G$1),INDIRECT("'数据-取费表'!o"&amp;$G$1)+INDIRECT("'数据-取费表'!aq"&amp;$G$1)))</f>
        <v>186081</v>
      </c>
      <c r="D34" s="593"/>
      <c r="E34" s="596"/>
      <c r="F34" s="633">
        <f ca="1">IF('数据-取费表'!B24=0,1,IF(B1="",'数据-取费表'!N16,INDIRECT("'数据-取费表'!n"&amp;$G$1)))</f>
        <v>0.98</v>
      </c>
      <c r="G34" s="595" t="s">
        <v>845</v>
      </c>
    </row>
    <row r="35" spans="1:7" ht="13.5" customHeight="1">
      <c r="A35" s="1806" t="s">
        <v>1923</v>
      </c>
      <c r="B35" s="591" t="s">
        <v>348</v>
      </c>
      <c r="C35" s="596">
        <f ca="1">ROUND(C34*F35,0)</f>
        <v>18608</v>
      </c>
      <c r="D35" s="596"/>
      <c r="E35" s="596"/>
      <c r="F35" s="635">
        <f>'数据-取费表'!B33</f>
        <v>0.1</v>
      </c>
      <c r="G35" s="595" t="s">
        <v>846</v>
      </c>
    </row>
    <row r="36" spans="1:7" ht="24">
      <c r="A36" s="1806" t="s">
        <v>1924</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6" t="s">
        <v>1925</v>
      </c>
      <c r="B37" s="591" t="s">
        <v>847</v>
      </c>
      <c r="C37" s="625">
        <f ca="1">ROUND(E37*D37*F34/10000,0)</f>
        <v>15977</v>
      </c>
      <c r="D37" s="593">
        <f ca="1">D19</f>
        <v>326059.4499999999</v>
      </c>
      <c r="E37" s="625">
        <f>'数据-取费表'!B35</f>
        <v>500</v>
      </c>
      <c r="F37" s="635"/>
      <c r="G37" s="637" t="s">
        <v>848</v>
      </c>
    </row>
    <row r="38" spans="1:7" ht="13.5" customHeight="1">
      <c r="A38" s="1806" t="s">
        <v>1926</v>
      </c>
      <c r="B38" s="591" t="s">
        <v>351</v>
      </c>
      <c r="C38" s="596">
        <f ca="1">ROUND(C34*F38,0)</f>
        <v>2791</v>
      </c>
      <c r="D38" s="596"/>
      <c r="E38" s="596"/>
      <c r="F38" s="635">
        <f>'数据-取费表'!B36</f>
        <v>1.4999999999999999E-2</v>
      </c>
      <c r="G38" s="595" t="s">
        <v>846</v>
      </c>
    </row>
    <row r="39" spans="1:7" s="590" customFormat="1" ht="13.5" customHeight="1">
      <c r="A39" s="1803" t="s">
        <v>1910</v>
      </c>
      <c r="B39" s="586" t="s">
        <v>833</v>
      </c>
      <c r="C39" s="608">
        <f ca="1">ROUND(C33*F20,0)</f>
        <v>6704</v>
      </c>
      <c r="D39" s="608"/>
      <c r="E39" s="608"/>
      <c r="F39" s="609"/>
      <c r="G39" s="2621" t="s">
        <v>2523</v>
      </c>
    </row>
    <row r="40" spans="1:7" s="590" customFormat="1" ht="13.5" customHeight="1">
      <c r="A40" s="1803" t="s">
        <v>1911</v>
      </c>
      <c r="B40" s="586" t="s">
        <v>834</v>
      </c>
      <c r="C40" s="3240">
        <f>F21</f>
        <v>0.03</v>
      </c>
      <c r="D40" s="612" t="s">
        <v>858</v>
      </c>
      <c r="E40" s="608"/>
      <c r="F40" s="609"/>
      <c r="G40" s="610" t="s">
        <v>849</v>
      </c>
    </row>
    <row r="41" spans="1:7" s="590" customFormat="1" ht="13.5" customHeight="1">
      <c r="A41" s="1803" t="s">
        <v>1912</v>
      </c>
      <c r="B41" s="586" t="s">
        <v>836</v>
      </c>
      <c r="C41" s="608">
        <f ca="1">ROUND(SUM(C42:C43),0)</f>
        <v>21799</v>
      </c>
      <c r="D41" s="611">
        <f ca="1">C44</f>
        <v>2.8E-3</v>
      </c>
      <c r="E41" s="612" t="s">
        <v>858</v>
      </c>
      <c r="F41" s="613"/>
      <c r="G41" s="2621" t="str">
        <f>IF('数据-取费表'!B22&lt;=1,"单利计息","复利计息")</f>
        <v>复利计息</v>
      </c>
    </row>
    <row r="42" spans="1:7" ht="13.5" customHeight="1">
      <c r="A42" s="1806" t="s">
        <v>1918</v>
      </c>
      <c r="B42" s="591" t="s">
        <v>2513</v>
      </c>
      <c r="C42" s="614">
        <f ca="1">ROUND(IF('数据-取费表'!B22&lt;=1,C33*F22*'数据-取费表'!B21/2,C33*(POWER((1+F22),'数据-取费表'!B21/2)-1)),0)</f>
        <v>21164</v>
      </c>
      <c r="D42" s="614"/>
      <c r="E42" s="614"/>
      <c r="F42" s="615"/>
      <c r="G42" s="3734" t="s">
        <v>850</v>
      </c>
    </row>
    <row r="43" spans="1:7" ht="13.5" customHeight="1">
      <c r="A43" s="1806" t="s">
        <v>1919</v>
      </c>
      <c r="B43" s="591" t="s">
        <v>2516</v>
      </c>
      <c r="C43" s="614">
        <f ca="1">ROUND(IF('数据-取费表'!B22&lt;=1,C39*F22*'数据-取费表'!B21/2,C39*(POWER((1+F22),'数据-取费表'!B21/2)-1)),0)</f>
        <v>635</v>
      </c>
      <c r="D43" s="614"/>
      <c r="E43" s="614"/>
      <c r="F43" s="615"/>
      <c r="G43" s="3735"/>
    </row>
    <row r="44" spans="1:7" ht="13.5" customHeight="1">
      <c r="A44" s="1806" t="s">
        <v>1920</v>
      </c>
      <c r="B44" s="591" t="s">
        <v>2518</v>
      </c>
      <c r="C44" s="614">
        <f ca="1">ROUND(IF('数据-取费表'!B22&lt;=1,C40*F22*'数据-取费表'!B21/2,C40*(POWER((1+F22),'数据-取费表'!B21/2)-1)),4)</f>
        <v>2.8E-3</v>
      </c>
      <c r="D44" s="614"/>
      <c r="E44" s="614"/>
      <c r="F44" s="615"/>
      <c r="G44" s="3736"/>
    </row>
    <row r="45" spans="1:7" s="590" customFormat="1" ht="13.5" customHeight="1">
      <c r="A45" s="1803" t="s">
        <v>1913</v>
      </c>
      <c r="B45" s="620" t="s">
        <v>841</v>
      </c>
      <c r="C45" s="621">
        <f ca="1">C46</f>
        <v>85160</v>
      </c>
      <c r="D45" s="611">
        <f ca="1">C47</f>
        <v>1.11E-2</v>
      </c>
      <c r="E45" s="612" t="s">
        <v>858</v>
      </c>
      <c r="F45" s="622"/>
      <c r="G45" s="623" t="s">
        <v>2524</v>
      </c>
    </row>
    <row r="46" spans="1:7" s="590" customFormat="1" ht="13.5" customHeight="1">
      <c r="A46" s="1806" t="s">
        <v>1918</v>
      </c>
      <c r="B46" s="624" t="s">
        <v>2517</v>
      </c>
      <c r="C46" s="625">
        <f ca="1">ROUND((C33+C39)*F27,0)</f>
        <v>85160</v>
      </c>
      <c r="D46" s="639"/>
      <c r="E46" s="612"/>
      <c r="F46" s="622"/>
      <c r="G46" s="623"/>
    </row>
    <row r="47" spans="1:7" s="590" customFormat="1" ht="13.5" customHeight="1">
      <c r="A47" s="1806" t="s">
        <v>1919</v>
      </c>
      <c r="B47" s="624" t="s">
        <v>2519</v>
      </c>
      <c r="C47" s="614">
        <f ca="1">ROUND(C40*F27,4)</f>
        <v>1.11E-2</v>
      </c>
      <c r="D47" s="639"/>
      <c r="E47" s="612"/>
      <c r="F47" s="622"/>
      <c r="G47" s="623"/>
    </row>
    <row r="48" spans="1:7" s="590" customFormat="1" ht="13.5" customHeight="1">
      <c r="A48" s="1803" t="s">
        <v>1914</v>
      </c>
      <c r="B48" s="586" t="s">
        <v>851</v>
      </c>
      <c r="C48" s="3240">
        <f>ROUND(F30/(1+'数据-取费表'!C42),4)</f>
        <v>5.2400000000000002E-2</v>
      </c>
      <c r="D48" s="612" t="s">
        <v>2944</v>
      </c>
      <c r="E48" s="608"/>
      <c r="F48" s="613"/>
      <c r="G48" s="2621" t="s">
        <v>2945</v>
      </c>
    </row>
    <row r="49" spans="1:7" ht="16.5" customHeight="1">
      <c r="A49" s="1803" t="s">
        <v>1915</v>
      </c>
      <c r="B49" s="586" t="s">
        <v>860</v>
      </c>
      <c r="C49" s="608">
        <f ca="1">ROUND((C33+C39+C41+C45)/(1-C40-D41-D45-C48),0)</f>
        <v>373044</v>
      </c>
      <c r="D49" s="608"/>
      <c r="E49" s="608"/>
      <c r="F49" s="640"/>
      <c r="G49" s="610" t="s">
        <v>2525</v>
      </c>
    </row>
    <row r="50" spans="1:7" s="634" customFormat="1" ht="24">
      <c r="A50" s="1803" t="s">
        <v>1916</v>
      </c>
      <c r="B50" s="586" t="s">
        <v>853</v>
      </c>
      <c r="C50" s="608"/>
      <c r="D50" s="608"/>
      <c r="E50" s="608"/>
      <c r="F50" s="640">
        <f>IF('数据-取费表'!B24=0,'数据-取费表'!N16,1)</f>
        <v>1</v>
      </c>
      <c r="G50" s="623" t="s">
        <v>854</v>
      </c>
    </row>
    <row r="51" spans="1:7" ht="16.5" customHeight="1">
      <c r="A51" s="1803" t="s">
        <v>1917</v>
      </c>
      <c r="B51" s="586" t="s">
        <v>861</v>
      </c>
      <c r="C51" s="608">
        <f ca="1">ROUND(C49*F50,0)</f>
        <v>373044</v>
      </c>
      <c r="D51" s="608"/>
      <c r="E51" s="608"/>
      <c r="F51" s="640"/>
      <c r="G51" s="610" t="s">
        <v>352</v>
      </c>
    </row>
    <row r="52" spans="1:7" s="584" customFormat="1" ht="16.5" thickBot="1">
      <c r="A52" s="641" t="s">
        <v>353</v>
      </c>
      <c r="B52" s="642"/>
      <c r="C52" s="643">
        <f ca="1">C31+C51</f>
        <v>449170</v>
      </c>
      <c r="D52" s="642"/>
      <c r="E52" s="642"/>
      <c r="F52" s="642"/>
      <c r="G52" s="644"/>
    </row>
    <row r="55" spans="1:7" ht="15">
      <c r="B55" s="646" t="s">
        <v>354</v>
      </c>
      <c r="C55" s="647"/>
    </row>
    <row r="56" spans="1:7">
      <c r="B56" s="2876" t="s">
        <v>2700</v>
      </c>
      <c r="C56" s="651">
        <f ca="1">1-C57</f>
        <v>0.16900000000000004</v>
      </c>
    </row>
    <row r="57" spans="1:7">
      <c r="B57" s="2876" t="s">
        <v>2699</v>
      </c>
      <c r="C57" s="650">
        <f ca="1">ROUND(C51/C52,3)</f>
        <v>0.83099999999999996</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812</v>
      </c>
      <c r="B1" s="2753"/>
      <c r="C1" s="2758" t="s">
        <v>2630</v>
      </c>
      <c r="D1" s="574"/>
      <c r="E1" s="574"/>
      <c r="F1" s="574"/>
      <c r="G1" s="2754">
        <f>MATCH(B1,'数据-取费表'!A6:A16,0)+5</f>
        <v>7</v>
      </c>
      <c r="H1" s="2585" t="str">
        <f>IF(ISERROR(FIND("住宅",B1)),"非住宅","住宅")</f>
        <v>非住宅</v>
      </c>
    </row>
    <row r="2" spans="1:8" s="576" customFormat="1" ht="18" customHeight="1">
      <c r="A2" s="577" t="s">
        <v>343</v>
      </c>
      <c r="B2" s="578">
        <f ca="1">ROUND(IF(D2="——",C52/10000,C52/10000-E2),0)</f>
        <v>416328</v>
      </c>
      <c r="C2" s="85" t="s">
        <v>862</v>
      </c>
      <c r="D2" s="2874" t="s">
        <v>529</v>
      </c>
      <c r="E2" s="2872" t="e">
        <f ca="1">SUMIF(INDIRECT("'"&amp;G2&amp;"'"&amp;"!A:A"),"承租人权益价值",INDIRECT("'"&amp;G2&amp;"'"&amp;"!c:c"))</f>
        <v>#REF!</v>
      </c>
      <c r="F2" s="2870" t="s">
        <v>862</v>
      </c>
      <c r="G2" s="2873"/>
    </row>
    <row r="3" spans="1:8" s="576" customFormat="1" ht="18" customHeight="1" thickBot="1">
      <c r="A3" s="579" t="s">
        <v>344</v>
      </c>
      <c r="B3" s="580">
        <f ca="1">ROUND(B2*10000/(IF(B1="",'数据-汇总表'!E3,INDIRECT("'数据-取费表'!k"&amp;$G$1))),0)</f>
        <v>12768</v>
      </c>
      <c r="C3" s="85" t="s">
        <v>863</v>
      </c>
      <c r="D3" s="575"/>
      <c r="E3" s="575"/>
      <c r="F3" s="575"/>
      <c r="G3" s="575"/>
    </row>
    <row r="4" spans="1:8" s="584" customFormat="1" ht="15.75">
      <c r="A4" s="581" t="s">
        <v>815</v>
      </c>
      <c r="B4" s="582"/>
      <c r="C4" s="582"/>
      <c r="D4" s="582"/>
      <c r="E4" s="582"/>
      <c r="F4" s="582"/>
      <c r="G4" s="583"/>
    </row>
    <row r="5" spans="1:8" s="590" customFormat="1" ht="13.5" customHeight="1">
      <c r="A5" s="631" t="s">
        <v>1909</v>
      </c>
      <c r="B5" s="586" t="s">
        <v>816</v>
      </c>
      <c r="C5" s="587">
        <f ca="1">C6+C7+C8</f>
        <v>24454459</v>
      </c>
      <c r="D5" s="587" t="s">
        <v>817</v>
      </c>
      <c r="E5" s="588" t="s">
        <v>818</v>
      </c>
      <c r="F5" s="588" t="s">
        <v>819</v>
      </c>
      <c r="G5" s="589"/>
    </row>
    <row r="6" spans="1:8" s="590" customFormat="1" ht="13.5" customHeight="1">
      <c r="A6" s="1804" t="s">
        <v>1918</v>
      </c>
      <c r="B6" s="591" t="s">
        <v>820</v>
      </c>
      <c r="C6" s="592"/>
      <c r="D6" s="593"/>
      <c r="E6" s="594"/>
      <c r="F6" s="594"/>
      <c r="G6" s="595"/>
    </row>
    <row r="7" spans="1:8" s="590" customFormat="1" ht="13.5" customHeight="1">
      <c r="A7" s="1804" t="s">
        <v>1919</v>
      </c>
      <c r="B7" s="591" t="s">
        <v>345</v>
      </c>
      <c r="C7" s="596">
        <f>ROUND(C6*F7,0)</f>
        <v>0</v>
      </c>
      <c r="D7" s="596"/>
      <c r="E7" s="594"/>
      <c r="F7" s="597">
        <f>'数据-取费表'!B48+'数据-取费表'!B49</f>
        <v>3.0499999999999999E-2</v>
      </c>
      <c r="G7" s="595"/>
    </row>
    <row r="8" spans="1:8" s="599" customFormat="1">
      <c r="A8" s="1804" t="s">
        <v>1920</v>
      </c>
      <c r="B8" s="591" t="s">
        <v>821</v>
      </c>
      <c r="C8" s="596">
        <f ca="1">IF(G8="已包含在土地购买价格中",0,C9+C10)</f>
        <v>24454459</v>
      </c>
      <c r="D8" s="598"/>
      <c r="E8" s="596"/>
      <c r="F8" s="597"/>
      <c r="G8" s="84"/>
    </row>
    <row r="9" spans="1:8" s="590" customFormat="1" ht="13.5" customHeight="1">
      <c r="A9" s="1805" t="s">
        <v>1927</v>
      </c>
      <c r="B9" s="600" t="s">
        <v>822</v>
      </c>
      <c r="C9" s="601">
        <f ca="1">ROUND(D9*E9,0)</f>
        <v>0</v>
      </c>
      <c r="D9" s="1909">
        <f ca="1">IF(B1="",'数据-汇总表'!E5,IF(INDIRECT("'数据-取费表'!c"&amp;$G$1)="住宅",INDIRECT("'数据-取费表'!k"&amp;$G$1),0))</f>
        <v>0</v>
      </c>
      <c r="E9" s="601">
        <f>'数据-取费表'!B27</f>
        <v>100</v>
      </c>
      <c r="F9" s="597"/>
      <c r="G9" s="602"/>
    </row>
    <row r="10" spans="1:8" s="590" customFormat="1" ht="13.5" customHeight="1">
      <c r="A10" s="1805" t="s">
        <v>1928</v>
      </c>
      <c r="B10" s="600" t="s">
        <v>823</v>
      </c>
      <c r="C10" s="601">
        <f ca="1">ROUND(D10*E10,0)</f>
        <v>24454459</v>
      </c>
      <c r="D10" s="1909">
        <f ca="1">IF(B1="",'数据-汇总表'!E6,IF(INDIRECT("'数据-取费表'!c"&amp;$G$1)="住宅",INDIRECT("'数据-取费表'!s"&amp;$G$1),INDIRECT("'数据-取费表'!k"&amp;$G$1)+INDIRECT("'数据-取费表'!s"&amp;$G$1)))</f>
        <v>326059.4499999999</v>
      </c>
      <c r="E10" s="601">
        <f>'数据-取费表'!B28</f>
        <v>75</v>
      </c>
      <c r="F10" s="597"/>
      <c r="G10" s="602"/>
    </row>
    <row r="11" spans="1:8" s="590" customFormat="1" ht="13.5" hidden="1" customHeight="1">
      <c r="A11" s="603" t="s">
        <v>42</v>
      </c>
      <c r="B11" s="591" t="s">
        <v>824</v>
      </c>
      <c r="C11" s="587"/>
      <c r="D11" s="1911"/>
      <c r="E11" s="594"/>
      <c r="F11" s="594"/>
      <c r="G11" s="595"/>
    </row>
    <row r="12" spans="1:8" s="590" customFormat="1" ht="13.5" hidden="1" customHeight="1">
      <c r="A12" s="603" t="s">
        <v>43</v>
      </c>
      <c r="B12" s="591" t="s">
        <v>825</v>
      </c>
      <c r="C12" s="587">
        <v>0</v>
      </c>
      <c r="D12" s="1911"/>
      <c r="E12" s="604"/>
      <c r="F12" s="597">
        <v>3.0499999999999999E-2</v>
      </c>
      <c r="G12" s="595"/>
    </row>
    <row r="13" spans="1:8" s="590" customFormat="1" ht="13.5" hidden="1" customHeight="1">
      <c r="A13" s="603" t="s">
        <v>44</v>
      </c>
      <c r="B13" s="591" t="s">
        <v>826</v>
      </c>
      <c r="C13" s="587"/>
      <c r="D13" s="1911"/>
      <c r="E13" s="594"/>
      <c r="F13" s="594"/>
      <c r="G13" s="595"/>
    </row>
    <row r="14" spans="1:8" s="590" customFormat="1" ht="13.5" hidden="1" customHeight="1">
      <c r="A14" s="603" t="s">
        <v>45</v>
      </c>
      <c r="B14" s="591" t="s">
        <v>821</v>
      </c>
      <c r="C14" s="587"/>
      <c r="D14" s="1911"/>
      <c r="E14" s="594"/>
      <c r="F14" s="594"/>
      <c r="G14" s="595" t="s">
        <v>827</v>
      </c>
    </row>
    <row r="15" spans="1:8" s="590" customFormat="1" ht="13.5" hidden="1" customHeight="1">
      <c r="A15" s="603" t="s">
        <v>46</v>
      </c>
      <c r="B15" s="591" t="s">
        <v>828</v>
      </c>
      <c r="C15" s="596"/>
      <c r="D15" s="1911"/>
      <c r="E15" s="594"/>
      <c r="F15" s="594"/>
      <c r="G15" s="595" t="s">
        <v>829</v>
      </c>
    </row>
    <row r="16" spans="1:8" s="590" customFormat="1" ht="13.5" hidden="1" customHeight="1">
      <c r="A16" s="603" t="s">
        <v>47</v>
      </c>
      <c r="B16" s="591" t="s">
        <v>821</v>
      </c>
      <c r="C16" s="596"/>
      <c r="D16" s="1911"/>
      <c r="E16" s="594"/>
      <c r="F16" s="594"/>
      <c r="G16" s="595"/>
    </row>
    <row r="17" spans="1:7" s="590" customFormat="1" ht="13.5" hidden="1" customHeight="1">
      <c r="A17" s="603" t="s">
        <v>48</v>
      </c>
      <c r="B17" s="591" t="s">
        <v>830</v>
      </c>
      <c r="C17" s="605"/>
      <c r="D17" s="1912"/>
      <c r="E17" s="605"/>
      <c r="F17" s="605"/>
      <c r="G17" s="595" t="s">
        <v>829</v>
      </c>
    </row>
    <row r="18" spans="1:7" s="590" customFormat="1" ht="13.5" hidden="1" customHeight="1">
      <c r="A18" s="603" t="s">
        <v>49</v>
      </c>
      <c r="B18" s="591" t="s">
        <v>831</v>
      </c>
      <c r="C18" s="596">
        <v>0</v>
      </c>
      <c r="D18" s="1911"/>
      <c r="E18" s="594"/>
      <c r="F18" s="597">
        <v>3.0499999999999999E-2</v>
      </c>
      <c r="G18" s="595" t="s">
        <v>832</v>
      </c>
    </row>
    <row r="19" spans="1:7" s="599" customFormat="1" ht="13.5" customHeight="1">
      <c r="A19" s="1803" t="s">
        <v>1910</v>
      </c>
      <c r="B19" s="586" t="s">
        <v>840</v>
      </c>
      <c r="C19" s="587">
        <f ca="1">IF(G19="已包含在土地取得成本中","0",ROUND(D19*E19,0))</f>
        <v>163029725</v>
      </c>
      <c r="D19" s="1913">
        <f ca="1">D9+D10</f>
        <v>326059.4499999999</v>
      </c>
      <c r="E19" s="587">
        <f>'数据-取费表'!B31</f>
        <v>500</v>
      </c>
      <c r="F19" s="607"/>
      <c r="G19" s="84"/>
    </row>
    <row r="20" spans="1:7" s="590" customFormat="1" ht="13.5" customHeight="1">
      <c r="A20" s="1803" t="s">
        <v>1911</v>
      </c>
      <c r="B20" s="586" t="s">
        <v>833</v>
      </c>
      <c r="C20" s="608">
        <f ca="1">ROUND((C5+C19)*F20,0)</f>
        <v>5624526</v>
      </c>
      <c r="D20" s="608"/>
      <c r="E20" s="608"/>
      <c r="F20" s="609">
        <f>'数据-取费表'!B37</f>
        <v>0.03</v>
      </c>
      <c r="G20" s="2621" t="s">
        <v>2520</v>
      </c>
    </row>
    <row r="21" spans="1:7" s="590" customFormat="1" ht="13.5" customHeight="1">
      <c r="A21" s="1803" t="s">
        <v>1912</v>
      </c>
      <c r="B21" s="586" t="s">
        <v>834</v>
      </c>
      <c r="C21" s="611">
        <f>F21</f>
        <v>0.03</v>
      </c>
      <c r="D21" s="612" t="s">
        <v>855</v>
      </c>
      <c r="E21" s="608"/>
      <c r="F21" s="609">
        <f>'数据-取费表'!B38</f>
        <v>0.03</v>
      </c>
      <c r="G21" s="610" t="s">
        <v>835</v>
      </c>
    </row>
    <row r="22" spans="1:7" s="590" customFormat="1" ht="13.5" customHeight="1">
      <c r="A22" s="1803" t="s">
        <v>1913</v>
      </c>
      <c r="B22" s="586" t="s">
        <v>836</v>
      </c>
      <c r="C22" s="2755">
        <f ca="1">ROUND(SUM(C23:C25),0)</f>
        <v>38788408</v>
      </c>
      <c r="D22" s="611">
        <f ca="1">C26</f>
        <v>2.8999999999999998E-3</v>
      </c>
      <c r="E22" s="612" t="s">
        <v>855</v>
      </c>
      <c r="F22" s="613">
        <f ca="1">'数据-取费表'!B40</f>
        <v>4.7500000000000001E-2</v>
      </c>
      <c r="G22" s="2621" t="str">
        <f>IF('数据-取费表'!B22&lt;=1,"单利计息","复利计息")</f>
        <v>复利计息</v>
      </c>
    </row>
    <row r="23" spans="1:7" s="590" customFormat="1" ht="13.5" customHeight="1">
      <c r="A23" s="1806" t="s">
        <v>1918</v>
      </c>
      <c r="B23" s="591" t="s">
        <v>2513</v>
      </c>
      <c r="C23" s="2756">
        <f ca="1">ROUND(IF('数据-取费表'!B22&lt;=1,C5*F22*'数据-取费表'!B22,C5*(POWER((1+F22),'数据-取费表'!B22)-1)),0)</f>
        <v>4988007</v>
      </c>
      <c r="D23" s="614"/>
      <c r="E23" s="614"/>
      <c r="F23" s="615"/>
      <c r="G23" s="616" t="s">
        <v>837</v>
      </c>
    </row>
    <row r="24" spans="1:7" s="590" customFormat="1" ht="13.5" customHeight="1">
      <c r="A24" s="1806" t="s">
        <v>1919</v>
      </c>
      <c r="B24" s="591" t="s">
        <v>2508</v>
      </c>
      <c r="C24" s="2756">
        <f ca="1">ROUND(IF('数据-取费表'!B22&lt;=1,C19*F22*('数据-取费表'!B19/2+'数据-取费表'!B20),C19*(POWER((1+F22),('数据-取费表'!B19/2+'数据-取费表'!B20))-1)),0)</f>
        <v>33253381</v>
      </c>
      <c r="D24" s="614"/>
      <c r="E24" s="614"/>
      <c r="F24" s="615"/>
      <c r="G24" s="616" t="s">
        <v>838</v>
      </c>
    </row>
    <row r="25" spans="1:7" s="590" customFormat="1" ht="24">
      <c r="A25" s="1806" t="s">
        <v>1920</v>
      </c>
      <c r="B25" s="591" t="s">
        <v>2510</v>
      </c>
      <c r="C25" s="2756">
        <f ca="1">ROUND(IF('数据-取费表'!B22&lt;=1,C20*F22*'数据-取费表'!B22/2,C20*(POWER((1+F22),'数据-取费表'!B22/2)-1)),0)</f>
        <v>547020</v>
      </c>
      <c r="D25" s="614"/>
      <c r="E25" s="617"/>
      <c r="F25" s="615"/>
      <c r="G25" s="618" t="s">
        <v>839</v>
      </c>
    </row>
    <row r="26" spans="1:7" s="590" customFormat="1">
      <c r="A26" s="1806" t="s">
        <v>1922</v>
      </c>
      <c r="B26" s="591" t="s">
        <v>2512</v>
      </c>
      <c r="C26" s="614">
        <f ca="1">ROUND(IF('数据-取费表'!B22&lt;=1,F21*F22*'数据-取费表'!B22/2,F21*(POWER((1+F22),'数据-取费表'!B22/2)-1)),4)</f>
        <v>2.8999999999999998E-3</v>
      </c>
      <c r="D26" s="614"/>
      <c r="E26" s="617"/>
      <c r="F26" s="615"/>
      <c r="G26" s="619"/>
    </row>
    <row r="27" spans="1:7" s="590" customFormat="1" ht="24.75">
      <c r="A27" s="1803" t="s">
        <v>1914</v>
      </c>
      <c r="B27" s="620" t="s">
        <v>841</v>
      </c>
      <c r="C27" s="621">
        <f ca="1">C28</f>
        <v>71450223</v>
      </c>
      <c r="D27" s="611">
        <f ca="1">C29</f>
        <v>1.11E-2</v>
      </c>
      <c r="E27" s="612" t="s">
        <v>855</v>
      </c>
      <c r="F27" s="622">
        <f ca="1">IF(B1="",'数据-取费表'!Q16,INDIRECT("'数据-取费表'!q"&amp;$G$1))</f>
        <v>0.37</v>
      </c>
      <c r="G27" s="623" t="s">
        <v>2521</v>
      </c>
    </row>
    <row r="28" spans="1:7" s="590" customFormat="1" ht="13.5" customHeight="1">
      <c r="A28" s="1806" t="s">
        <v>1918</v>
      </c>
      <c r="B28" s="624" t="s">
        <v>2514</v>
      </c>
      <c r="C28" s="625">
        <f ca="1">ROUND((C5+C19+C20)*F27,0)</f>
        <v>71450223</v>
      </c>
      <c r="D28" s="611"/>
      <c r="E28" s="612"/>
      <c r="F28" s="622"/>
      <c r="G28" s="623"/>
    </row>
    <row r="29" spans="1:7" s="590" customFormat="1" ht="13.5" customHeight="1">
      <c r="A29" s="1806" t="s">
        <v>1919</v>
      </c>
      <c r="B29" s="624" t="s">
        <v>2515</v>
      </c>
      <c r="C29" s="614">
        <f ca="1">ROUND(C21*F27,4)</f>
        <v>1.11E-2</v>
      </c>
      <c r="D29" s="611"/>
      <c r="E29" s="612"/>
      <c r="F29" s="622"/>
      <c r="G29" s="623"/>
    </row>
    <row r="30" spans="1:7" s="590" customFormat="1" ht="13.5" customHeight="1">
      <c r="A30" s="1803" t="s">
        <v>1915</v>
      </c>
      <c r="B30" s="586" t="s">
        <v>346</v>
      </c>
      <c r="C30" s="611">
        <f>ROUND(F30/(1+'数据-取费表'!C42),4)</f>
        <v>5.2400000000000002E-2</v>
      </c>
      <c r="D30" s="612" t="s">
        <v>2946</v>
      </c>
      <c r="E30" s="617"/>
      <c r="F30" s="613">
        <f>'数据-取费表'!B41</f>
        <v>5.5000000000000007E-2</v>
      </c>
      <c r="G30" s="2621" t="s">
        <v>2947</v>
      </c>
    </row>
    <row r="31" spans="1:7" ht="16.5" customHeight="1">
      <c r="A31" s="585">
        <v>1</v>
      </c>
      <c r="B31" s="586" t="s">
        <v>857</v>
      </c>
      <c r="C31" s="587">
        <f ca="1">ROUND((C5+C19+C20+C22+C27)/(1-C21-D22-D27-C30),0)</f>
        <v>335709762</v>
      </c>
      <c r="D31" s="606"/>
      <c r="E31" s="587"/>
      <c r="F31" s="626"/>
      <c r="G31" s="610" t="s">
        <v>2522</v>
      </c>
    </row>
    <row r="32" spans="1:7" s="584" customFormat="1" ht="15.75">
      <c r="A32" s="628" t="s">
        <v>2625</v>
      </c>
      <c r="B32" s="629"/>
      <c r="C32" s="629"/>
      <c r="D32" s="629"/>
      <c r="E32" s="629"/>
      <c r="F32" s="629"/>
      <c r="G32" s="630"/>
    </row>
    <row r="33" spans="1:7" s="590" customFormat="1" ht="13.5" customHeight="1">
      <c r="A33" s="631" t="s">
        <v>1909</v>
      </c>
      <c r="B33" s="2757" t="s">
        <v>2626</v>
      </c>
      <c r="C33" s="632">
        <f ca="1">SUM(C34:C38)</f>
        <v>2288530462</v>
      </c>
      <c r="D33" s="608"/>
      <c r="E33" s="588"/>
      <c r="F33" s="617"/>
      <c r="G33" s="610"/>
    </row>
    <row r="34" spans="1:7" s="634" customFormat="1" ht="13.5" customHeight="1">
      <c r="A34" s="1806" t="s">
        <v>1918</v>
      </c>
      <c r="B34" s="591" t="s">
        <v>347</v>
      </c>
      <c r="C34" s="596">
        <f ca="1">ROUND(IF(B1="",SUMPRODUCT('数据-取费表'!K6:K14,'数据-取费表'!L6:L14),INDIRECT("'数据-取费表'!l"&amp;$G$1)*INDIRECT("'数据-取费表'!k"&amp;$G$1)+'数据-取费表'!L14*INDIRECT("'数据-取费表'!S"&amp;$G$1)),0)</f>
        <v>1906278688</v>
      </c>
      <c r="D34" s="593"/>
      <c r="E34" s="596"/>
      <c r="F34" s="633"/>
      <c r="G34" s="595"/>
    </row>
    <row r="35" spans="1:7" ht="13.5" customHeight="1">
      <c r="A35" s="1806" t="s">
        <v>1923</v>
      </c>
      <c r="B35" s="591" t="s">
        <v>348</v>
      </c>
      <c r="C35" s="596">
        <f ca="1">ROUND(C34*F35,0)</f>
        <v>190627869</v>
      </c>
      <c r="D35" s="596"/>
      <c r="E35" s="596"/>
      <c r="F35" s="635">
        <f>'数据-取费表'!B33</f>
        <v>0.1</v>
      </c>
      <c r="G35" s="595" t="s">
        <v>846</v>
      </c>
    </row>
    <row r="36" spans="1:7" ht="24">
      <c r="A36" s="1806" t="s">
        <v>1924</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6" t="s">
        <v>1925</v>
      </c>
      <c r="B37" s="591" t="s">
        <v>847</v>
      </c>
      <c r="C37" s="625">
        <f ca="1">ROUND(E37*D37,0)</f>
        <v>163029725</v>
      </c>
      <c r="D37" s="593">
        <f ca="1">D19</f>
        <v>326059.4499999999</v>
      </c>
      <c r="E37" s="625">
        <f>'数据-取费表'!B35</f>
        <v>500</v>
      </c>
      <c r="F37" s="635"/>
      <c r="G37" s="637"/>
    </row>
    <row r="38" spans="1:7" ht="13.5" customHeight="1">
      <c r="A38" s="1806" t="s">
        <v>1926</v>
      </c>
      <c r="B38" s="591" t="s">
        <v>351</v>
      </c>
      <c r="C38" s="596">
        <f ca="1">ROUND(C34*F38,0)</f>
        <v>28594180</v>
      </c>
      <c r="D38" s="596"/>
      <c r="E38" s="596"/>
      <c r="F38" s="635">
        <f>'数据-取费表'!B36</f>
        <v>1.4999999999999999E-2</v>
      </c>
      <c r="G38" s="595" t="s">
        <v>846</v>
      </c>
    </row>
    <row r="39" spans="1:7" s="590" customFormat="1" ht="13.5" customHeight="1">
      <c r="A39" s="1803" t="s">
        <v>1910</v>
      </c>
      <c r="B39" s="586" t="s">
        <v>833</v>
      </c>
      <c r="C39" s="608">
        <f ca="1">ROUND(C33*F20,0)</f>
        <v>68655914</v>
      </c>
      <c r="D39" s="608"/>
      <c r="E39" s="608"/>
      <c r="F39" s="609"/>
      <c r="G39" s="2621" t="s">
        <v>2523</v>
      </c>
    </row>
    <row r="40" spans="1:7" s="590" customFormat="1" ht="13.5" customHeight="1">
      <c r="A40" s="1803" t="s">
        <v>1911</v>
      </c>
      <c r="B40" s="586" t="s">
        <v>834</v>
      </c>
      <c r="C40" s="3240">
        <f>F21</f>
        <v>0.03</v>
      </c>
      <c r="D40" s="612" t="s">
        <v>858</v>
      </c>
      <c r="E40" s="608"/>
      <c r="F40" s="609"/>
      <c r="G40" s="610" t="s">
        <v>849</v>
      </c>
    </row>
    <row r="41" spans="1:7" s="590" customFormat="1" ht="13.5" customHeight="1">
      <c r="A41" s="1803" t="s">
        <v>1912</v>
      </c>
      <c r="B41" s="586" t="s">
        <v>836</v>
      </c>
      <c r="C41" s="608">
        <f ca="1">ROUND(SUM(C42:C43),0)</f>
        <v>229251108</v>
      </c>
      <c r="D41" s="611">
        <f ca="1">C44</f>
        <v>2.8999999999999998E-3</v>
      </c>
      <c r="E41" s="612" t="s">
        <v>858</v>
      </c>
      <c r="F41" s="613"/>
      <c r="G41" s="2621" t="str">
        <f>IF('数据-取费表'!B22&lt;=1,"单利计息","复利计息")</f>
        <v>复利计息</v>
      </c>
    </row>
    <row r="42" spans="1:7" ht="13.5" customHeight="1">
      <c r="A42" s="1806" t="s">
        <v>1918</v>
      </c>
      <c r="B42" s="591" t="s">
        <v>2513</v>
      </c>
      <c r="C42" s="614">
        <f ca="1">ROUND(IF('数据-取费表'!B22&lt;=1,C33*F22*'数据-取费表'!B20/2,C33*(POWER((1+F22),'数据-取费表'!B20/2)-1)),0)</f>
        <v>222573891</v>
      </c>
      <c r="D42" s="614"/>
      <c r="E42" s="614"/>
      <c r="F42" s="615"/>
      <c r="G42" s="3737" t="s">
        <v>2629</v>
      </c>
    </row>
    <row r="43" spans="1:7" ht="13.5" customHeight="1">
      <c r="A43" s="1806" t="s">
        <v>1919</v>
      </c>
      <c r="B43" s="591" t="s">
        <v>2508</v>
      </c>
      <c r="C43" s="614">
        <f ca="1">ROUND(IF('数据-取费表'!B22&lt;=1,C39*F22*'数据-取费表'!B20/2,C39*(POWER((1+F22),'数据-取费表'!B20/2)-1)),0)</f>
        <v>6677217</v>
      </c>
      <c r="D43" s="614"/>
      <c r="E43" s="614"/>
      <c r="F43" s="615"/>
      <c r="G43" s="3735"/>
    </row>
    <row r="44" spans="1:7" ht="13.5" customHeight="1">
      <c r="A44" s="1806" t="s">
        <v>1920</v>
      </c>
      <c r="B44" s="591" t="s">
        <v>2510</v>
      </c>
      <c r="C44" s="614">
        <f ca="1">ROUND(IF('数据-取费表'!B22&lt;=1,C40*F22*'数据-取费表'!B20/2,C40*(POWER((1+F22),'数据-取费表'!B20/2)-1)),4)</f>
        <v>2.8999999999999998E-3</v>
      </c>
      <c r="D44" s="614"/>
      <c r="E44" s="614"/>
      <c r="F44" s="615"/>
      <c r="G44" s="3736"/>
    </row>
    <row r="45" spans="1:7" s="590" customFormat="1" ht="13.5" customHeight="1">
      <c r="A45" s="1803" t="s">
        <v>1913</v>
      </c>
      <c r="B45" s="620" t="s">
        <v>841</v>
      </c>
      <c r="C45" s="621">
        <f ca="1">C46</f>
        <v>872158959</v>
      </c>
      <c r="D45" s="611">
        <f ca="1">C47</f>
        <v>1.11E-2</v>
      </c>
      <c r="E45" s="612" t="s">
        <v>858</v>
      </c>
      <c r="F45" s="622"/>
      <c r="G45" s="623" t="s">
        <v>2524</v>
      </c>
    </row>
    <row r="46" spans="1:7" s="590" customFormat="1" ht="13.5" customHeight="1">
      <c r="A46" s="1806" t="s">
        <v>1918</v>
      </c>
      <c r="B46" s="624" t="s">
        <v>2517</v>
      </c>
      <c r="C46" s="625">
        <f ca="1">ROUND((C33+C39)*F27,0)</f>
        <v>872158959</v>
      </c>
      <c r="D46" s="639"/>
      <c r="E46" s="612"/>
      <c r="F46" s="622"/>
      <c r="G46" s="623"/>
    </row>
    <row r="47" spans="1:7" s="590" customFormat="1" ht="13.5" customHeight="1">
      <c r="A47" s="1806" t="s">
        <v>1919</v>
      </c>
      <c r="B47" s="624" t="s">
        <v>2519</v>
      </c>
      <c r="C47" s="614">
        <f ca="1">ROUND(C40*F27,4)</f>
        <v>1.11E-2</v>
      </c>
      <c r="D47" s="639"/>
      <c r="E47" s="612"/>
      <c r="F47" s="622"/>
      <c r="G47" s="623"/>
    </row>
    <row r="48" spans="1:7" s="590" customFormat="1" ht="13.5" customHeight="1">
      <c r="A48" s="1803" t="s">
        <v>1914</v>
      </c>
      <c r="B48" s="586" t="s">
        <v>851</v>
      </c>
      <c r="C48" s="638">
        <f>ROUND(F30/(1+'数据-取费表'!C42),4)</f>
        <v>5.2400000000000002E-2</v>
      </c>
      <c r="D48" s="612" t="s">
        <v>2944</v>
      </c>
      <c r="E48" s="608"/>
      <c r="F48" s="613"/>
      <c r="G48" s="2621" t="s">
        <v>2945</v>
      </c>
    </row>
    <row r="49" spans="1:7" ht="16.5" customHeight="1">
      <c r="A49" s="1803" t="s">
        <v>1915</v>
      </c>
      <c r="B49" s="586" t="s">
        <v>2627</v>
      </c>
      <c r="C49" s="608">
        <f ca="1">ROUND((C33+C39+C41+C45)/(1-C40-D41-D45-C48),0)</f>
        <v>3827574638</v>
      </c>
      <c r="D49" s="608"/>
      <c r="E49" s="608"/>
      <c r="F49" s="640"/>
      <c r="G49" s="610" t="s">
        <v>2525</v>
      </c>
    </row>
    <row r="50" spans="1:7" s="634" customFormat="1">
      <c r="A50" s="1803" t="s">
        <v>1916</v>
      </c>
      <c r="B50" s="586" t="s">
        <v>853</v>
      </c>
      <c r="C50" s="608"/>
      <c r="D50" s="608"/>
      <c r="E50" s="608"/>
      <c r="F50" s="640">
        <f>IF('数据-取费表'!B24=0,'数据-取费表'!N16,1)</f>
        <v>1</v>
      </c>
      <c r="G50" s="623"/>
    </row>
    <row r="51" spans="1:7" ht="16.5" customHeight="1">
      <c r="A51" s="1803" t="s">
        <v>1917</v>
      </c>
      <c r="B51" s="586" t="s">
        <v>2628</v>
      </c>
      <c r="C51" s="608">
        <f ca="1">ROUND(C49*F50,0)</f>
        <v>3827574638</v>
      </c>
      <c r="D51" s="608"/>
      <c r="E51" s="608"/>
      <c r="F51" s="640"/>
      <c r="G51" s="610" t="s">
        <v>352</v>
      </c>
    </row>
    <row r="52" spans="1:7" s="584" customFormat="1" ht="16.5" thickBot="1">
      <c r="A52" s="641" t="s">
        <v>353</v>
      </c>
      <c r="B52" s="642"/>
      <c r="C52" s="643">
        <f ca="1">C31+C51</f>
        <v>4163284400</v>
      </c>
      <c r="D52" s="642"/>
      <c r="E52" s="642"/>
      <c r="F52" s="642"/>
      <c r="G52" s="644"/>
    </row>
    <row r="55" spans="1:7" ht="15">
      <c r="B55" s="646" t="s">
        <v>354</v>
      </c>
      <c r="C55" s="647"/>
    </row>
    <row r="56" spans="1:7">
      <c r="B56" s="2876" t="s">
        <v>2700</v>
      </c>
      <c r="C56" s="651">
        <f ca="1">1-C57</f>
        <v>8.0999999999999961E-2</v>
      </c>
    </row>
    <row r="57" spans="1:7">
      <c r="B57" s="2876" t="s">
        <v>2699</v>
      </c>
      <c r="C57" s="650">
        <f ca="1">ROUND(C51/C52,3)</f>
        <v>0.91900000000000004</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8" sqref="C18"/>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864</v>
      </c>
      <c r="B1" s="3055"/>
      <c r="C1" s="3056" t="s">
        <v>3530</v>
      </c>
      <c r="D1" s="3054"/>
      <c r="E1" s="652"/>
      <c r="F1" s="652"/>
      <c r="G1" s="3055"/>
      <c r="H1" s="652"/>
      <c r="I1" s="652"/>
      <c r="J1" s="652"/>
      <c r="K1" s="652">
        <f>MATCH(C1,'数据-取费表'!A6:A16,0)+5</f>
        <v>6</v>
      </c>
    </row>
    <row r="2" spans="1:33" ht="18" customHeight="1">
      <c r="A2" s="577" t="s">
        <v>813</v>
      </c>
      <c r="B2" s="580">
        <f ca="1">C32</f>
        <v>482627</v>
      </c>
      <c r="C2" s="88" t="s">
        <v>1096</v>
      </c>
      <c r="D2" s="652"/>
      <c r="E2" s="652"/>
      <c r="F2" s="652"/>
      <c r="G2" s="652"/>
      <c r="H2" s="652"/>
      <c r="I2" s="652"/>
      <c r="J2" s="652"/>
      <c r="K2" s="652"/>
    </row>
    <row r="3" spans="1:33" ht="18" customHeight="1" thickBot="1">
      <c r="A3" s="579" t="s">
        <v>814</v>
      </c>
      <c r="B3" s="580">
        <f ca="1">ROUND(B2*10000/IF(C1="",'数据-汇总表'!E3,INDIRECT("'数据-取费表'!K"&amp;$K$1)),0)</f>
        <v>15212</v>
      </c>
      <c r="C3" s="88" t="s">
        <v>863</v>
      </c>
      <c r="D3" s="652"/>
      <c r="E3" s="652"/>
      <c r="F3" s="652"/>
      <c r="G3" s="652"/>
      <c r="H3" s="652"/>
      <c r="I3" s="652"/>
      <c r="J3" s="652"/>
      <c r="K3" s="652"/>
    </row>
    <row r="4" spans="1:33" s="1811" customFormat="1" ht="16.5" customHeight="1">
      <c r="A4" s="1808" t="s">
        <v>865</v>
      </c>
      <c r="B4" s="1809"/>
      <c r="C4" s="1852">
        <f ca="1">SUM(C8:K8)</f>
        <v>540253</v>
      </c>
      <c r="D4" s="1809"/>
      <c r="E4" s="1809"/>
      <c r="F4" s="1809"/>
      <c r="G4" s="1809"/>
      <c r="H4" s="1809"/>
      <c r="I4" s="1809"/>
      <c r="J4" s="1809"/>
      <c r="K4" s="1810"/>
    </row>
    <row r="5" spans="1:33" s="1815" customFormat="1" ht="15">
      <c r="A5" s="1812" t="s">
        <v>866</v>
      </c>
      <c r="B5" s="1813" t="s">
        <v>867</v>
      </c>
      <c r="C5" s="1273" t="s">
        <v>3530</v>
      </c>
      <c r="D5" s="1273"/>
      <c r="E5" s="1273"/>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1929</v>
      </c>
      <c r="B6" s="471" t="s">
        <v>868</v>
      </c>
      <c r="C6" s="1817">
        <f ca="1">收益法!B3</f>
        <v>17029</v>
      </c>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1910</v>
      </c>
      <c r="B7" s="471" t="s">
        <v>869</v>
      </c>
      <c r="C7" s="653">
        <f>SUMIF('数据-汇总表'!$C19:$C33,假设开发法!C5,'数据-汇总表'!$E19:$E33)</f>
        <v>317263.48999999987</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1911</v>
      </c>
      <c r="B8" s="509" t="s">
        <v>870</v>
      </c>
      <c r="C8" s="3492">
        <f ca="1">收益法!B2</f>
        <v>540253</v>
      </c>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871</v>
      </c>
      <c r="B9" s="1809"/>
      <c r="C9" s="1809"/>
      <c r="D9" s="1809"/>
      <c r="E9" s="1809"/>
      <c r="F9" s="1809"/>
      <c r="G9" s="1809"/>
      <c r="H9" s="1809"/>
      <c r="I9" s="1809"/>
      <c r="J9" s="1809"/>
      <c r="K9" s="1810"/>
    </row>
    <row r="10" spans="1:33" s="1826" customFormat="1" ht="13.5" customHeight="1">
      <c r="A10" s="1812" t="s">
        <v>866</v>
      </c>
      <c r="B10" s="295" t="s">
        <v>867</v>
      </c>
      <c r="C10" s="1822" t="s">
        <v>872</v>
      </c>
      <c r="D10" s="1823" t="s">
        <v>873</v>
      </c>
      <c r="E10" s="1823" t="s">
        <v>874</v>
      </c>
      <c r="F10" s="1823" t="s">
        <v>875</v>
      </c>
      <c r="G10" s="295"/>
      <c r="H10" s="1824"/>
      <c r="I10" s="1824"/>
      <c r="J10" s="1824"/>
      <c r="K10" s="1825"/>
    </row>
    <row r="11" spans="1:33" s="1831" customFormat="1" ht="13.5" customHeight="1">
      <c r="A11" s="1827" t="s">
        <v>2950</v>
      </c>
      <c r="B11" s="1828" t="s">
        <v>876</v>
      </c>
      <c r="C11" s="655">
        <f ca="1">IF(C1="",'数据-取费表'!P16,INDIRECT("'数据-取费表'!p"&amp;$K$1)+INDIRECT("'数据-取费表'!ar"&amp;$K$1))</f>
        <v>4547</v>
      </c>
      <c r="D11" s="1829"/>
      <c r="E11" s="715"/>
      <c r="F11" s="1830">
        <f ca="1">1-IF('数据-取费表'!B24=0,1,IF(C1="",'数据-取费表'!N16,INDIRECT("'数据-取费表'!n"&amp;$K$1)))</f>
        <v>2.0000000000000018E-2</v>
      </c>
      <c r="G11" s="295"/>
      <c r="H11" s="1824"/>
      <c r="I11" s="1824"/>
      <c r="J11" s="1824"/>
      <c r="K11" s="1825"/>
    </row>
    <row r="12" spans="1:33" s="1831" customFormat="1" ht="13.5" customHeight="1">
      <c r="A12" s="1827" t="s">
        <v>2951</v>
      </c>
      <c r="B12" s="1828" t="s">
        <v>877</v>
      </c>
      <c r="C12" s="313">
        <f ca="1">ROUND(C11*F12,0)</f>
        <v>455</v>
      </c>
      <c r="D12" s="1829"/>
      <c r="E12" s="715"/>
      <c r="F12" s="1832">
        <f>'数据-取费表'!B33</f>
        <v>0.1</v>
      </c>
      <c r="G12" s="295" t="s">
        <v>878</v>
      </c>
      <c r="H12" s="1824"/>
      <c r="I12" s="1824"/>
      <c r="J12" s="1824"/>
      <c r="K12" s="1825"/>
    </row>
    <row r="13" spans="1:33" s="1831" customFormat="1" ht="13.5" customHeight="1">
      <c r="A13" s="1827" t="s">
        <v>2952</v>
      </c>
      <c r="B13" s="1828" t="s">
        <v>879</v>
      </c>
      <c r="C13" s="313">
        <f ca="1">ROUND(IF(C1="",SUMIF('数据-取费表'!C:C,"住宅",'数据-取费表'!P:P)*F13,IF(INDIRECT("'数据-取费表'!c"&amp;$K$1)="住宅",INDIRECT("'数据-取费表'!P"&amp;$K$1)*F13,0)),0)</f>
        <v>0</v>
      </c>
      <c r="D13" s="1910"/>
      <c r="E13" s="715"/>
      <c r="F13" s="1832">
        <f>'数据-取费表'!B34</f>
        <v>0</v>
      </c>
      <c r="G13" s="295" t="s">
        <v>880</v>
      </c>
      <c r="H13" s="1824"/>
      <c r="I13" s="1824"/>
      <c r="J13" s="1824"/>
      <c r="K13" s="1825"/>
    </row>
    <row r="14" spans="1:33" s="1833" customFormat="1" ht="13.5" customHeight="1">
      <c r="A14" s="1827" t="s">
        <v>2953</v>
      </c>
      <c r="B14" s="1828" t="s">
        <v>881</v>
      </c>
      <c r="C14" s="313">
        <f ca="1">ROUND(D14*E14*F11/10000,0)</f>
        <v>326</v>
      </c>
      <c r="D14" s="1910">
        <f ca="1">IF(C1="",'数据-汇总表'!E3,INDIRECT("'数据-取费表'!K"&amp;$K$1)+INDIRECT("'数据-取费表'!S"&amp;$K$1))</f>
        <v>326059.4499999999</v>
      </c>
      <c r="E14" s="313">
        <f>'数据-取费表'!B35</f>
        <v>500</v>
      </c>
      <c r="F14" s="1832"/>
      <c r="G14" s="295" t="s">
        <v>882</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2954</v>
      </c>
      <c r="B15" s="1828" t="s">
        <v>888</v>
      </c>
      <c r="C15" s="1839">
        <f ca="1">ROUND(C11*F15,0)</f>
        <v>68</v>
      </c>
      <c r="D15" s="1834"/>
      <c r="E15" s="1839"/>
      <c r="F15" s="1840">
        <f>'数据-取费表'!B36</f>
        <v>1.4999999999999999E-2</v>
      </c>
      <c r="G15" s="471" t="s">
        <v>889</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1930</v>
      </c>
      <c r="B16" s="3241" t="s">
        <v>2955</v>
      </c>
      <c r="C16" s="1839">
        <f ca="1">SUM(C11:C15)</f>
        <v>5396</v>
      </c>
      <c r="D16" s="1834"/>
      <c r="E16" s="1839"/>
      <c r="F16" s="1840"/>
      <c r="G16" s="471"/>
      <c r="H16" s="3052"/>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1931</v>
      </c>
      <c r="B17" s="1828" t="s">
        <v>883</v>
      </c>
      <c r="C17" s="313">
        <f ca="1">ROUND(D17*E17/10000,0)</f>
        <v>0</v>
      </c>
      <c r="D17" s="1910">
        <f ca="1">D14</f>
        <v>326059.4499999999</v>
      </c>
      <c r="E17" s="313">
        <f>'数据-取费表'!B32</f>
        <v>0</v>
      </c>
      <c r="F17" s="1834"/>
      <c r="G17" s="471" t="s">
        <v>884</v>
      </c>
      <c r="H17" s="3052"/>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2956</v>
      </c>
      <c r="B18" s="1828" t="s">
        <v>885</v>
      </c>
      <c r="C18" s="313">
        <f ca="1">C19+C20-IF(C1="",'数据-取费表'!B29,IF(G18="已全部缴纳",C19+C20,H18))</f>
        <v>253</v>
      </c>
      <c r="D18" s="1910"/>
      <c r="E18" s="313"/>
      <c r="F18" s="1832"/>
      <c r="G18" s="3051" t="s">
        <v>3897</v>
      </c>
      <c r="H18" s="3049">
        <v>2192</v>
      </c>
      <c r="I18" s="3050" t="s">
        <v>2800</v>
      </c>
      <c r="J18" s="1835"/>
      <c r="K18" s="1836"/>
    </row>
    <row r="19" spans="1:33" s="1831" customFormat="1" ht="13.5" customHeight="1">
      <c r="A19" s="1827" t="s">
        <v>1932</v>
      </c>
      <c r="B19" s="1828" t="s">
        <v>886</v>
      </c>
      <c r="C19" s="313">
        <f ca="1">ROUND(D19*E19/10000,0)</f>
        <v>0</v>
      </c>
      <c r="D19" s="1910">
        <f ca="1">IF(C1="",'数据-汇总表'!E5,IF(INDIRECT("'数据-取费表'!c"&amp;$K$1)="住宅",INDIRECT("'数据-取费表'!k"&amp;$K$1),0))</f>
        <v>0</v>
      </c>
      <c r="E19" s="313">
        <f>'数据-取费表'!B27</f>
        <v>100</v>
      </c>
      <c r="F19" s="1832"/>
      <c r="G19" s="303"/>
      <c r="H19" s="3053"/>
      <c r="I19" s="1837"/>
      <c r="J19" s="1837"/>
      <c r="K19" s="1838"/>
    </row>
    <row r="20" spans="1:33" s="1831" customFormat="1" ht="13.5" customHeight="1">
      <c r="A20" s="1827" t="s">
        <v>1933</v>
      </c>
      <c r="B20" s="1828" t="s">
        <v>887</v>
      </c>
      <c r="C20" s="313">
        <f ca="1">ROUND(D20*E20/10000,0)</f>
        <v>2445</v>
      </c>
      <c r="D20" s="1910">
        <f ca="1">IF(C1="",'数据-汇总表'!E6,IF(INDIRECT("'数据-取费表'!c"&amp;$K$1)="住宅",INDIRECT("'数据-取费表'!s"&amp;$K$1),INDIRECT("'数据-取费表'!k"&amp;$K$1)+INDIRECT("'数据-取费表'!s"&amp;$K$1)))</f>
        <v>326059.4499999999</v>
      </c>
      <c r="E20" s="313">
        <f>'数据-取费表'!B28</f>
        <v>75</v>
      </c>
      <c r="F20" s="1832"/>
      <c r="G20" s="303"/>
      <c r="H20" s="1837"/>
      <c r="I20" s="1837"/>
      <c r="J20" s="1837"/>
      <c r="K20" s="1838"/>
    </row>
    <row r="21" spans="1:33" s="1831" customFormat="1" ht="13.5" customHeight="1">
      <c r="A21" s="1816" t="s">
        <v>1929</v>
      </c>
      <c r="B21" s="1841" t="s">
        <v>890</v>
      </c>
      <c r="C21" s="1842">
        <f ca="1">C16+C17+C18</f>
        <v>5649</v>
      </c>
      <c r="D21" s="1843"/>
      <c r="E21" s="657"/>
      <c r="F21" s="657"/>
      <c r="G21" s="471" t="s">
        <v>2526</v>
      </c>
      <c r="H21" s="1835"/>
      <c r="I21" s="1835"/>
      <c r="J21" s="1835"/>
      <c r="K21" s="1836"/>
    </row>
    <row r="22" spans="1:33" s="1831" customFormat="1" ht="13.5" customHeight="1">
      <c r="A22" s="1821" t="s">
        <v>1910</v>
      </c>
      <c r="B22" s="1841" t="s">
        <v>891</v>
      </c>
      <c r="C22" s="1842">
        <f ca="1">ROUND(C21*F22,0)</f>
        <v>169</v>
      </c>
      <c r="D22" s="657"/>
      <c r="E22" s="657"/>
      <c r="F22" s="1844">
        <f>'数据-取费表'!B37</f>
        <v>0.03</v>
      </c>
      <c r="G22" s="295" t="s">
        <v>892</v>
      </c>
      <c r="H22" s="1824"/>
      <c r="I22" s="1824"/>
      <c r="J22" s="1824"/>
      <c r="K22" s="1825"/>
    </row>
    <row r="23" spans="1:33" s="1831" customFormat="1" ht="13.5" customHeight="1">
      <c r="A23" s="1821" t="s">
        <v>1911</v>
      </c>
      <c r="B23" s="1841" t="s">
        <v>893</v>
      </c>
      <c r="C23" s="1842">
        <f ca="1">ROUND(C4*F23*F11,0)</f>
        <v>324</v>
      </c>
      <c r="D23" s="657"/>
      <c r="E23" s="657"/>
      <c r="F23" s="1844">
        <f>'数据-取费表'!B38</f>
        <v>0.03</v>
      </c>
      <c r="G23" s="295" t="s">
        <v>894</v>
      </c>
      <c r="H23" s="1824"/>
      <c r="I23" s="1824"/>
      <c r="J23" s="1824"/>
      <c r="K23" s="1825"/>
    </row>
    <row r="24" spans="1:33" s="1831" customFormat="1" ht="13.5" customHeight="1">
      <c r="A24" s="1821" t="s">
        <v>1912</v>
      </c>
      <c r="B24" s="1841" t="s">
        <v>895</v>
      </c>
      <c r="C24" s="656">
        <f>ROUND(F24/(1+'数据-取费表'!C42),4)</f>
        <v>2.9000000000000001E-2</v>
      </c>
      <c r="D24" s="657" t="s">
        <v>50</v>
      </c>
      <c r="E24" s="657"/>
      <c r="F24" s="1844">
        <f>'数据-取费表'!B48+'数据-取费表'!B49</f>
        <v>3.0499999999999999E-2</v>
      </c>
      <c r="G24" s="2023" t="s">
        <v>2948</v>
      </c>
      <c r="H24" s="1846"/>
      <c r="I24" s="1846"/>
      <c r="J24" s="1846"/>
      <c r="K24" s="1847"/>
    </row>
    <row r="25" spans="1:33" s="1831" customFormat="1" ht="13.5" customHeight="1">
      <c r="A25" s="1821" t="s">
        <v>1913</v>
      </c>
      <c r="B25" s="1843" t="s">
        <v>896</v>
      </c>
      <c r="C25" s="2703">
        <f ca="1">C27</f>
        <v>14</v>
      </c>
      <c r="D25" s="656">
        <f ca="1">C26</f>
        <v>4.7999999999999996E-3</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1930</v>
      </c>
      <c r="B26" s="1848" t="s">
        <v>897</v>
      </c>
      <c r="C26" s="2704">
        <f ca="1">ROUND(IF('数据-取费表'!B22&lt;=1,(1+C24)*F25*'数据-取费表'!B24,(1+C24)*(POWER((1+F25),'数据-取费表'!B24)-1)),4)</f>
        <v>4.7999999999999996E-3</v>
      </c>
      <c r="D26" s="660"/>
      <c r="E26" s="661"/>
      <c r="F26" s="662"/>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1931</v>
      </c>
      <c r="B27" s="1848" t="s">
        <v>2616</v>
      </c>
      <c r="C27" s="2705">
        <f ca="1">ROUND(IF('数据-取费表'!B22&lt;=1,(C21+C22+C23)*F25*'数据-取费表'!B24/2,(C21+C22+C23)*(POWER((1+F25),'数据-取费表'!B24/2)-1)),0)</f>
        <v>14</v>
      </c>
      <c r="D27" s="660"/>
      <c r="E27" s="661"/>
      <c r="F27" s="662"/>
      <c r="G27" s="2709" t="str">
        <f>IF('数据-取费表'!B22&lt;=1,"（1）-（3）项×年利率×建设期÷2","（1）-（3）项×((1+年利率)^(建设期÷2)-1)")</f>
        <v>（1）-（3）项×((1+年利率)^(建设期÷2)-1)</v>
      </c>
      <c r="H27" s="1835"/>
      <c r="I27" s="1835"/>
      <c r="J27" s="1835"/>
      <c r="K27" s="1836"/>
    </row>
    <row r="28" spans="1:33" s="665" customFormat="1" ht="13.5" customHeight="1">
      <c r="A28" s="1821" t="s">
        <v>1914</v>
      </c>
      <c r="B28" s="3242" t="s">
        <v>2957</v>
      </c>
      <c r="C28" s="663">
        <f ca="1">C30</f>
        <v>2273</v>
      </c>
      <c r="D28" s="656">
        <f ca="1">C29</f>
        <v>9.4999999999999998E-3</v>
      </c>
      <c r="E28" s="658" t="s">
        <v>50</v>
      </c>
      <c r="F28" s="664">
        <f ca="1">IF(C1="",'数据-取费表'!Q16,INDIRECT("'数据-取费表'!q"&amp;$K$1))</f>
        <v>0.37</v>
      </c>
      <c r="G28" s="1845"/>
      <c r="H28" s="1846"/>
      <c r="I28" s="1846"/>
      <c r="J28" s="1846"/>
      <c r="K28" s="1847"/>
    </row>
    <row r="29" spans="1:33" s="667" customFormat="1" ht="13.5" customHeight="1">
      <c r="A29" s="1827" t="s">
        <v>1930</v>
      </c>
      <c r="B29" s="1850" t="s">
        <v>898</v>
      </c>
      <c r="C29" s="660">
        <f ca="1">ROUND((1+C24)*F28*'数据-取费表'!B24/'数据-取费表'!B20,4)</f>
        <v>9.4999999999999998E-3</v>
      </c>
      <c r="D29" s="660"/>
      <c r="E29" s="661"/>
      <c r="F29" s="666"/>
      <c r="G29" s="471" t="s">
        <v>899</v>
      </c>
      <c r="H29" s="1835"/>
      <c r="I29" s="1835"/>
      <c r="J29" s="1835"/>
      <c r="K29" s="1836"/>
    </row>
    <row r="30" spans="1:33" s="667" customFormat="1" ht="13.5" customHeight="1">
      <c r="A30" s="1827" t="s">
        <v>1931</v>
      </c>
      <c r="B30" s="2710" t="s">
        <v>2617</v>
      </c>
      <c r="C30" s="668">
        <f ca="1">ROUND((C21+C22+C23)*F28,0)</f>
        <v>2273</v>
      </c>
      <c r="D30" s="660"/>
      <c r="E30" s="661"/>
      <c r="F30" s="666"/>
      <c r="G30" s="471"/>
      <c r="H30" s="1835"/>
      <c r="I30" s="1835"/>
      <c r="J30" s="1835"/>
      <c r="K30" s="1836"/>
    </row>
    <row r="31" spans="1:33" s="1831" customFormat="1" ht="13.5" customHeight="1" thickBot="1">
      <c r="A31" s="1862" t="s">
        <v>1915</v>
      </c>
      <c r="B31" s="1863" t="s">
        <v>900</v>
      </c>
      <c r="C31" s="1864">
        <f ca="1">ROUND(C4*F31/(1+'数据-取费表'!C42),0)</f>
        <v>28299</v>
      </c>
      <c r="D31" s="1865"/>
      <c r="E31" s="1866"/>
      <c r="F31" s="1867">
        <f>'数据-取费表'!B41</f>
        <v>5.5000000000000007E-2</v>
      </c>
      <c r="G31" s="1868" t="s">
        <v>901</v>
      </c>
      <c r="H31" s="1869"/>
      <c r="I31" s="1869"/>
      <c r="J31" s="1869"/>
      <c r="K31" s="1870"/>
    </row>
    <row r="32" spans="1:33" s="1826" customFormat="1" ht="13.5" customHeight="1" thickBot="1">
      <c r="A32" s="1857" t="s">
        <v>2949</v>
      </c>
      <c r="B32" s="1858"/>
      <c r="C32" s="1859">
        <f ca="1">ROUND((C4-C21-C22-C23-C25-C28-C31)/(1+C24+D25+D28),0)</f>
        <v>482627</v>
      </c>
      <c r="D32" s="1858"/>
      <c r="E32" s="1858"/>
      <c r="F32" s="1858"/>
      <c r="G32" s="1860" t="s">
        <v>902</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0" zoomScaleNormal="80" zoomScaleSheetLayoutView="90" workbookViewId="0">
      <selection activeCell="C14" sqref="C14"/>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903</v>
      </c>
      <c r="B1" s="670"/>
      <c r="C1" s="2393" t="s">
        <v>3530</v>
      </c>
      <c r="D1" s="1274"/>
      <c r="E1" s="2586" t="s">
        <v>2445</v>
      </c>
      <c r="F1" s="2587">
        <f ca="1">J53</f>
        <v>34.06</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813</v>
      </c>
      <c r="B2" s="1407">
        <f ca="1">C40+J29+L46</f>
        <v>540253</v>
      </c>
      <c r="C2" s="1300" t="s">
        <v>1097</v>
      </c>
      <c r="D2" s="1276"/>
      <c r="E2" s="2576"/>
      <c r="F2" s="1277"/>
      <c r="G2" s="2288"/>
      <c r="H2" s="1275"/>
      <c r="I2" s="1275"/>
      <c r="J2" s="1275"/>
      <c r="K2" s="1299"/>
      <c r="L2" s="1275"/>
      <c r="M2" s="1275"/>
    </row>
    <row r="3" spans="1:37" ht="18" customHeight="1" thickBot="1">
      <c r="A3" s="675" t="s">
        <v>814</v>
      </c>
      <c r="B3" s="1408">
        <f ca="1">IF(ISERROR(B2*10000/F43),0,ROUND(B2*10000/F43,0))</f>
        <v>17029</v>
      </c>
      <c r="C3" s="1300" t="s">
        <v>1098</v>
      </c>
      <c r="D3" s="1276"/>
      <c r="E3" s="2576"/>
      <c r="F3" s="1277"/>
      <c r="G3" s="2288"/>
      <c r="H3" s="676" t="s">
        <v>904</v>
      </c>
      <c r="I3" s="1275"/>
      <c r="J3" s="1275"/>
      <c r="K3" s="1299"/>
      <c r="L3" s="1275"/>
      <c r="M3" s="1275"/>
    </row>
    <row r="4" spans="1:37" ht="18" customHeight="1">
      <c r="A4" s="677" t="s">
        <v>905</v>
      </c>
      <c r="B4" s="678" t="s">
        <v>906</v>
      </c>
      <c r="C4" s="678" t="s">
        <v>907</v>
      </c>
      <c r="D4" s="678" t="s">
        <v>908</v>
      </c>
      <c r="E4" s="679" t="s">
        <v>909</v>
      </c>
      <c r="F4" s="680"/>
      <c r="G4" s="2289"/>
      <c r="H4" s="677" t="s">
        <v>905</v>
      </c>
      <c r="I4" s="678" t="s">
        <v>906</v>
      </c>
      <c r="J4" s="678" t="s">
        <v>907</v>
      </c>
      <c r="K4" s="678" t="s">
        <v>908</v>
      </c>
      <c r="L4" s="679" t="s">
        <v>909</v>
      </c>
      <c r="M4" s="680"/>
    </row>
    <row r="5" spans="1:37" ht="18" customHeight="1">
      <c r="A5" s="681">
        <v>1</v>
      </c>
      <c r="B5" s="682" t="s">
        <v>2534</v>
      </c>
      <c r="C5" s="2627">
        <f ca="1">C6+C10+C12</f>
        <v>44583</v>
      </c>
      <c r="D5" s="2637" t="s">
        <v>2536</v>
      </c>
      <c r="E5" s="2628"/>
      <c r="F5" s="2629"/>
      <c r="G5" s="2289"/>
      <c r="H5" s="681">
        <v>1</v>
      </c>
      <c r="I5" s="682" t="s">
        <v>2534</v>
      </c>
      <c r="J5" s="2627">
        <f ca="1">J6+J10+J12</f>
        <v>0</v>
      </c>
      <c r="K5" s="2630" t="s">
        <v>2536</v>
      </c>
      <c r="L5" s="2628"/>
      <c r="M5" s="2629"/>
    </row>
    <row r="6" spans="1:37" ht="18" customHeight="1">
      <c r="A6" s="2623" t="s">
        <v>2541</v>
      </c>
      <c r="B6" s="3740" t="s">
        <v>2535</v>
      </c>
      <c r="C6" s="2632">
        <f ca="1">ROUND(F6*F8*F7*(1-F9)/10000,0)</f>
        <v>44583</v>
      </c>
      <c r="D6" s="2626" t="s">
        <v>2537</v>
      </c>
      <c r="E6" s="684" t="s">
        <v>910</v>
      </c>
      <c r="F6" s="685">
        <f ca="1">INDIRECT("'数据-取费表'!u"&amp;$G$1)</f>
        <v>5.5</v>
      </c>
      <c r="G6" s="2289"/>
      <c r="H6" s="2623" t="s">
        <v>2544</v>
      </c>
      <c r="I6" s="3740" t="s">
        <v>2535</v>
      </c>
      <c r="J6" s="683">
        <f ca="1">ROUND(M6*M8*M7*(1-M9)/10000,0)</f>
        <v>0</v>
      </c>
      <c r="K6" s="2626" t="s">
        <v>2537</v>
      </c>
      <c r="L6" s="684" t="s">
        <v>910</v>
      </c>
      <c r="M6" s="685">
        <f ca="1">INDIRECT("'数据-取费表'!z"&amp;$G$1)</f>
        <v>0</v>
      </c>
    </row>
    <row r="7" spans="1:37" ht="18" customHeight="1">
      <c r="A7" s="2631"/>
      <c r="B7" s="3741"/>
      <c r="C7" s="2633"/>
      <c r="D7" s="2062"/>
      <c r="E7" s="2634" t="s">
        <v>911</v>
      </c>
      <c r="F7" s="685">
        <f ca="1">IF(INDIRECT("'数据-取费表'!ah"&amp;$G$1)="",INDIRECT("'数据-取费表'!k"&amp;$G$1),INDIRECT("'数据-取费表'!ah"&amp;$G$1))</f>
        <v>317263.48999999987</v>
      </c>
      <c r="G7" s="2289"/>
      <c r="H7" s="686"/>
      <c r="I7" s="3741"/>
      <c r="J7" s="688"/>
      <c r="K7" s="689"/>
      <c r="L7" s="684" t="s">
        <v>911</v>
      </c>
      <c r="M7" s="685">
        <f ca="1">F7</f>
        <v>317263.48999999987</v>
      </c>
    </row>
    <row r="8" spans="1:37" ht="18" customHeight="1">
      <c r="A8" s="686"/>
      <c r="B8" s="3741"/>
      <c r="C8" s="688"/>
      <c r="D8" s="689"/>
      <c r="E8" s="684" t="s">
        <v>912</v>
      </c>
      <c r="F8" s="685">
        <f ca="1">INDIRECT("'数据-取费表'!ai"&amp;$G$1)</f>
        <v>365</v>
      </c>
      <c r="G8" s="2289"/>
      <c r="H8" s="686"/>
      <c r="I8" s="3741"/>
      <c r="J8" s="688"/>
      <c r="K8" s="689"/>
      <c r="L8" s="684" t="s">
        <v>912</v>
      </c>
      <c r="M8" s="685">
        <f ca="1">INDIRECT("'数据-取费表'!ai"&amp;$G$1)</f>
        <v>365</v>
      </c>
    </row>
    <row r="9" spans="1:37" ht="18" customHeight="1">
      <c r="A9" s="686"/>
      <c r="B9" s="3742"/>
      <c r="C9" s="688"/>
      <c r="D9" s="689"/>
      <c r="E9" s="684" t="s">
        <v>913</v>
      </c>
      <c r="F9" s="694">
        <f ca="1">INDIRECT("'数据-取费表'!w"&amp;$G$1)</f>
        <v>0.3</v>
      </c>
      <c r="G9" s="2289"/>
      <c r="H9" s="686"/>
      <c r="I9" s="3742"/>
      <c r="J9" s="688"/>
      <c r="K9" s="689"/>
      <c r="L9" s="695" t="s">
        <v>913</v>
      </c>
      <c r="M9" s="696">
        <f ca="1">INDIRECT("'数据-取费表'!ab"&amp;$G$1)</f>
        <v>0</v>
      </c>
    </row>
    <row r="10" spans="1:37" ht="18" customHeight="1">
      <c r="A10" s="2623" t="s">
        <v>2542</v>
      </c>
      <c r="B10" s="2624" t="s">
        <v>2530</v>
      </c>
      <c r="C10" s="698">
        <f ca="1">ROUND(IF(F10="押一",F6*F8*F7/12*F11,IF(F10="押二",F6*F8*F7/12*2*F11,IF(F10="押三",F6*F8*F7/12*3*F11,C11*F11)))/10000,0)</f>
        <v>0</v>
      </c>
      <c r="D10" s="2635" t="s">
        <v>2538</v>
      </c>
      <c r="E10" s="2098" t="s">
        <v>2532</v>
      </c>
      <c r="F10" s="3490" t="s">
        <v>2694</v>
      </c>
      <c r="G10" s="2289"/>
      <c r="H10" s="2623" t="s">
        <v>2545</v>
      </c>
      <c r="I10" s="2624" t="s">
        <v>2530</v>
      </c>
      <c r="J10" s="683">
        <f ca="1">ROUND(IF(M10="押一",M6*M8*M7/12*M11,IF(M10="押二",M6*M8*M7/12*2*M11,IF(M10="押三",M6*M8*M7/12*3*M11,J11*M11)))/10000,0)</f>
        <v>0</v>
      </c>
      <c r="K10" s="2635" t="s">
        <v>2538</v>
      </c>
      <c r="L10" s="2098" t="s">
        <v>2532</v>
      </c>
      <c r="M10" s="2730" t="s">
        <v>2624</v>
      </c>
    </row>
    <row r="11" spans="1:37" ht="18" customHeight="1">
      <c r="A11" s="690"/>
      <c r="B11" s="2625" t="s">
        <v>2697</v>
      </c>
      <c r="C11" s="2416"/>
      <c r="D11" s="2871"/>
      <c r="E11" s="2098" t="s">
        <v>2533</v>
      </c>
      <c r="F11" s="696">
        <f ca="1">'数据-取费表'!B39</f>
        <v>1.4999999999999999E-2</v>
      </c>
      <c r="G11" s="2289"/>
      <c r="H11" s="2636"/>
      <c r="I11" s="2625" t="s">
        <v>2697</v>
      </c>
      <c r="J11" s="2416"/>
      <c r="K11" s="1281"/>
      <c r="L11" s="2098" t="s">
        <v>2533</v>
      </c>
      <c r="M11" s="2097">
        <f ca="1">'数据-取费表'!B39</f>
        <v>1.4999999999999999E-2</v>
      </c>
    </row>
    <row r="12" spans="1:37" ht="18" customHeight="1" thickBot="1">
      <c r="A12" s="2671" t="s">
        <v>2543</v>
      </c>
      <c r="B12" s="2672" t="s">
        <v>2531</v>
      </c>
      <c r="C12" s="2673"/>
      <c r="D12" s="2674"/>
      <c r="E12" s="2675"/>
      <c r="F12" s="2676"/>
      <c r="G12" s="2289"/>
      <c r="H12" s="2671" t="s">
        <v>2546</v>
      </c>
      <c r="I12" s="2672" t="s">
        <v>2531</v>
      </c>
      <c r="J12" s="2673"/>
      <c r="K12" s="2690"/>
      <c r="L12" s="2675"/>
      <c r="M12" s="2691"/>
    </row>
    <row r="13" spans="1:37" ht="18" customHeight="1" thickTop="1">
      <c r="A13" s="2667">
        <v>2</v>
      </c>
      <c r="B13" s="2668" t="s">
        <v>914</v>
      </c>
      <c r="C13" s="692">
        <f ca="1">ROUND(C29*F13,0)</f>
        <v>382758</v>
      </c>
      <c r="D13" s="2669" t="s">
        <v>915</v>
      </c>
      <c r="E13" s="2669" t="s">
        <v>916</v>
      </c>
      <c r="F13" s="2670">
        <f ca="1">INDIRECT("'数据-取费表'!y"&amp;$G$1)</f>
        <v>1</v>
      </c>
      <c r="G13" s="2289"/>
      <c r="H13" s="2667">
        <v>2</v>
      </c>
      <c r="I13" s="2668" t="s">
        <v>914</v>
      </c>
      <c r="J13" s="2622">
        <f ca="1">ROUND(J14*J15,0)</f>
        <v>0</v>
      </c>
      <c r="K13" s="2677" t="s">
        <v>915</v>
      </c>
      <c r="L13" s="2688"/>
      <c r="M13" s="2689"/>
    </row>
    <row r="14" spans="1:37" ht="18" customHeight="1">
      <c r="A14" s="2439" t="s">
        <v>2372</v>
      </c>
      <c r="B14" s="684" t="s">
        <v>357</v>
      </c>
      <c r="C14" s="702">
        <f ca="1">INDIRECT("'数据-取费表'!m"&amp;$G$1)+INDIRECT("'数据-取费表'!t"&amp;$G$1)</f>
        <v>190628</v>
      </c>
      <c r="D14" s="2216" t="s">
        <v>917</v>
      </c>
      <c r="E14" s="2215"/>
      <c r="F14" s="703"/>
      <c r="G14" s="2289"/>
      <c r="H14" s="2439" t="s">
        <v>2375</v>
      </c>
      <c r="I14" s="684" t="s">
        <v>918</v>
      </c>
      <c r="J14" s="313">
        <f ca="1">C29</f>
        <v>382758</v>
      </c>
      <c r="K14" s="303"/>
      <c r="L14" s="700"/>
      <c r="M14" s="701"/>
    </row>
    <row r="15" spans="1:37" s="706" customFormat="1" ht="18" customHeight="1" thickBot="1">
      <c r="A15" s="2439" t="s">
        <v>2607</v>
      </c>
      <c r="B15" s="684" t="s">
        <v>358</v>
      </c>
      <c r="C15" s="313">
        <f ca="1">ROUND(C14*F15,0)</f>
        <v>19063</v>
      </c>
      <c r="D15" s="704" t="s">
        <v>919</v>
      </c>
      <c r="E15" s="704" t="s">
        <v>920</v>
      </c>
      <c r="F15" s="705">
        <f>'数据-取费表'!B33</f>
        <v>0.1</v>
      </c>
      <c r="G15" s="2290"/>
      <c r="H15" s="2679" t="s">
        <v>2382</v>
      </c>
      <c r="I15" s="2680" t="s">
        <v>916</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2608</v>
      </c>
      <c r="B16" s="684" t="s">
        <v>359</v>
      </c>
      <c r="C16" s="313">
        <f ca="1">ROUND(INDIRECT("'数据-取费表'!m"&amp;$G$1)*F16,0)</f>
        <v>0</v>
      </c>
      <c r="D16" s="684" t="s">
        <v>919</v>
      </c>
      <c r="E16" s="684" t="s">
        <v>920</v>
      </c>
      <c r="F16" s="707">
        <f ca="1">IF(INDIRECT("'数据-取费表'!c"&amp;$G$1)="住宅",'数据-取费表'!B34,0)</f>
        <v>0</v>
      </c>
      <c r="G16" s="2289"/>
      <c r="H16" s="2667" t="s">
        <v>2340</v>
      </c>
      <c r="I16" s="2668" t="s">
        <v>921</v>
      </c>
      <c r="J16" s="692">
        <f ca="1">ROUND(J17+J22+J23+J24,0)</f>
        <v>9009</v>
      </c>
      <c r="K16" s="2677" t="s">
        <v>922</v>
      </c>
      <c r="L16" s="2678"/>
      <c r="M16" s="2629"/>
    </row>
    <row r="17" spans="1:37" s="706" customFormat="1" ht="18" customHeight="1">
      <c r="A17" s="2439" t="s">
        <v>2609</v>
      </c>
      <c r="B17" s="684" t="s">
        <v>360</v>
      </c>
      <c r="C17" s="313">
        <f ca="1">ROUND(F17*(F43+INDIRECT("'数据-取费表'!S"&amp;$G$1))/10000,0)</f>
        <v>16303</v>
      </c>
      <c r="D17" s="684" t="s">
        <v>923</v>
      </c>
      <c r="E17" s="684" t="s">
        <v>924</v>
      </c>
      <c r="F17" s="315">
        <f>'数据-取费表'!B35</f>
        <v>500</v>
      </c>
      <c r="G17" s="2290"/>
      <c r="H17" s="2439" t="s">
        <v>2375</v>
      </c>
      <c r="I17" s="684" t="s">
        <v>361</v>
      </c>
      <c r="J17" s="313">
        <f ca="1">ROUND(IF(项目基本情况!B11="自然人",J5*M17,J18+J19+J20),1)</f>
        <v>3267.2</v>
      </c>
      <c r="K17" s="2216" t="s">
        <v>925</v>
      </c>
      <c r="L17" s="2214" t="s">
        <v>926</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2610</v>
      </c>
      <c r="B18" s="684" t="s">
        <v>362</v>
      </c>
      <c r="C18" s="313">
        <f ca="1">ROUND(C14*F18,0)</f>
        <v>2859</v>
      </c>
      <c r="D18" s="684" t="s">
        <v>919</v>
      </c>
      <c r="E18" s="684" t="s">
        <v>920</v>
      </c>
      <c r="F18" s="707">
        <f>'数据-取费表'!B36</f>
        <v>1.4999999999999999E-2</v>
      </c>
      <c r="G18" s="2290"/>
      <c r="H18" s="2439" t="s">
        <v>2372</v>
      </c>
      <c r="I18" s="684" t="s">
        <v>927</v>
      </c>
      <c r="J18" s="313">
        <f ca="1">ROUND(J5*M18/(1+'数据-取费表'!C42),2)</f>
        <v>0</v>
      </c>
      <c r="K18" s="2214" t="s">
        <v>928</v>
      </c>
      <c r="L18" s="684" t="s">
        <v>920</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2541</v>
      </c>
      <c r="B19" s="684" t="s">
        <v>364</v>
      </c>
      <c r="C19" s="313">
        <f ca="1">SUM(C14:C18)</f>
        <v>228853</v>
      </c>
      <c r="D19" s="471" t="s">
        <v>929</v>
      </c>
      <c r="E19" s="2224"/>
      <c r="F19" s="315"/>
      <c r="G19" s="2289"/>
      <c r="H19" s="2439" t="s">
        <v>2607</v>
      </c>
      <c r="I19" s="684" t="s">
        <v>930</v>
      </c>
      <c r="J19" s="313">
        <f ca="1">IF(K19="按租金收入计税",ROUND(J5*M19,2),ROUND(C29*M19*0.7,2))</f>
        <v>3215.17</v>
      </c>
      <c r="K19" s="1301" t="s">
        <v>2415</v>
      </c>
      <c r="L19" s="684" t="s">
        <v>920</v>
      </c>
      <c r="M19" s="707">
        <f>IF(K19="按租金收入计税",'数据-取费表'!B51,'数据-取费表'!B50)</f>
        <v>1.2E-2</v>
      </c>
    </row>
    <row r="20" spans="1:37" s="706" customFormat="1" ht="18" customHeight="1">
      <c r="A20" s="2439" t="s">
        <v>2611</v>
      </c>
      <c r="B20" s="684" t="s">
        <v>365</v>
      </c>
      <c r="C20" s="313">
        <f ca="1">ROUND(C19*F20,0)</f>
        <v>6866</v>
      </c>
      <c r="D20" s="709" t="s">
        <v>931</v>
      </c>
      <c r="E20" s="684" t="s">
        <v>920</v>
      </c>
      <c r="F20" s="707">
        <f>'数据-取费表'!B37</f>
        <v>0.03</v>
      </c>
      <c r="G20" s="2290"/>
      <c r="H20" s="2439" t="s">
        <v>2608</v>
      </c>
      <c r="I20" s="496" t="s">
        <v>932</v>
      </c>
      <c r="J20" s="314">
        <f ca="1">ROUND(M20*M21/10000,2)</f>
        <v>51.98</v>
      </c>
      <c r="K20" s="710" t="s">
        <v>933</v>
      </c>
      <c r="L20" s="684" t="s">
        <v>934</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2612</v>
      </c>
      <c r="B21" s="684" t="s">
        <v>935</v>
      </c>
      <c r="C21" s="313" t="s">
        <v>71</v>
      </c>
      <c r="D21" s="709" t="s">
        <v>936</v>
      </c>
      <c r="E21" s="684" t="s">
        <v>937</v>
      </c>
      <c r="F21" s="707">
        <f>'数据-取费表'!B38</f>
        <v>0.03</v>
      </c>
      <c r="G21" s="2290"/>
      <c r="H21" s="712"/>
      <c r="I21" s="693"/>
      <c r="J21" s="318"/>
      <c r="K21" s="713"/>
      <c r="L21" s="684" t="s">
        <v>938</v>
      </c>
      <c r="M21" s="685">
        <f ca="1">INDIRECT("'数据-取费表'!r"&amp;$G$1)</f>
        <v>346512.68999999994</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2613</v>
      </c>
      <c r="B22" s="684" t="s">
        <v>939</v>
      </c>
      <c r="C22" s="313"/>
      <c r="D22" s="2702" t="str">
        <f>IF(F23&lt;=1,"单利计息。","复利计息。")&amp;"建造成本、管理费用、销售费用产生的利息。"</f>
        <v>复利计息。建造成本、管理费用、销售费用产生的利息。</v>
      </c>
      <c r="E22" s="2224"/>
      <c r="F22" s="315"/>
      <c r="G22" s="2289"/>
      <c r="H22" s="2439" t="s">
        <v>2382</v>
      </c>
      <c r="I22" s="684" t="s">
        <v>940</v>
      </c>
      <c r="J22" s="313">
        <f ca="1">ROUND(J14*M22,1)</f>
        <v>5741.4</v>
      </c>
      <c r="K22" s="2214" t="s">
        <v>941</v>
      </c>
      <c r="L22" s="684" t="s">
        <v>920</v>
      </c>
      <c r="M22" s="714">
        <f ca="1">INDIRECT("'数据-取费表'!Ak"&amp;$G$1)</f>
        <v>1.4999999999999999E-2</v>
      </c>
    </row>
    <row r="23" spans="1:37" s="706" customFormat="1" ht="18" customHeight="1">
      <c r="A23" s="2439" t="s">
        <v>2372</v>
      </c>
      <c r="B23" s="684" t="s">
        <v>2527</v>
      </c>
      <c r="C23" s="313">
        <f ca="1">IF('数据-取费表'!B22&lt;=1,ROUND(C19*F24*F23/2,0)+ROUND(C20*F24*F23/2,0),ROUND(C19*(POWER((1+F24),F23/2)-1),0)+ROUND(C20*(POWER((1+F24),F23/2)-1),0))</f>
        <v>22925</v>
      </c>
      <c r="D23" s="2706" t="str">
        <f>IF(F23&lt;=1,"(建造成本+管理费用)×利率×(建设周期÷2)","(建造成本+管理费用)×((1+利率)^(建设周期÷2)-1)")</f>
        <v>(建造成本+管理费用)×((1+利率)^(建设周期÷2)-1)</v>
      </c>
      <c r="E23" s="684" t="s">
        <v>942</v>
      </c>
      <c r="F23" s="711">
        <f>'数据-取费表'!B20</f>
        <v>4</v>
      </c>
      <c r="G23" s="2290"/>
      <c r="H23" s="2439" t="s">
        <v>2612</v>
      </c>
      <c r="I23" s="684" t="s">
        <v>366</v>
      </c>
      <c r="J23" s="313">
        <f ca="1">ROUND(J13*M23,1)</f>
        <v>0</v>
      </c>
      <c r="K23" s="2214" t="s">
        <v>943</v>
      </c>
      <c r="L23" s="684" t="s">
        <v>920</v>
      </c>
      <c r="M23" s="716">
        <f ca="1">INDIRECT("'数据-取费表'!Al"&amp;$G$1)</f>
        <v>2.5000000000000001E-3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2378</v>
      </c>
      <c r="B24" s="684" t="s">
        <v>944</v>
      </c>
      <c r="C24" s="313">
        <f ca="1">ROUND(IF('数据-取费表'!B22&lt;=1,F21*F24*F23/2,F21*(POWER((1+F24),F23/2)-1)),4)</f>
        <v>2.8999999999999998E-3</v>
      </c>
      <c r="D24" s="2706" t="str">
        <f>IF(F23&lt;=1,"销售费用×利率×(建设周期÷2)","销售费用×((1+利率)^(建设周期÷2)-1)")</f>
        <v>销售费用×((1+利率)^(建设周期÷2)-1)</v>
      </c>
      <c r="E24" s="684" t="s">
        <v>945</v>
      </c>
      <c r="F24" s="717">
        <f ca="1">'数据-取费表'!B40</f>
        <v>4.7500000000000001E-2</v>
      </c>
      <c r="G24" s="2290"/>
      <c r="H24" s="2679" t="s">
        <v>2613</v>
      </c>
      <c r="I24" s="2680" t="s">
        <v>365</v>
      </c>
      <c r="J24" s="2681">
        <f ca="1">ROUND(J5*M24,1)</f>
        <v>0</v>
      </c>
      <c r="K24" s="2682" t="s">
        <v>946</v>
      </c>
      <c r="L24" s="2680" t="s">
        <v>920</v>
      </c>
      <c r="M24" s="2676">
        <f ca="1">INDIRECT("'数据-取费表'!Am"&amp;$G$1)</f>
        <v>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2379</v>
      </c>
      <c r="B25" s="684" t="s">
        <v>370</v>
      </c>
      <c r="C25" s="313"/>
      <c r="D25" s="471" t="s">
        <v>947</v>
      </c>
      <c r="E25" s="2224"/>
      <c r="F25" s="315"/>
      <c r="G25" s="2289"/>
      <c r="H25" s="2667" t="s">
        <v>2355</v>
      </c>
      <c r="I25" s="2684" t="s">
        <v>948</v>
      </c>
      <c r="J25" s="692">
        <f ca="1">J5-J16</f>
        <v>-9009</v>
      </c>
      <c r="K25" s="2685" t="s">
        <v>949</v>
      </c>
      <c r="L25" s="2686"/>
      <c r="M25" s="2687"/>
    </row>
    <row r="26" spans="1:37" ht="18" customHeight="1">
      <c r="A26" s="2439" t="s">
        <v>2372</v>
      </c>
      <c r="B26" s="684" t="s">
        <v>2528</v>
      </c>
      <c r="C26" s="313">
        <f ca="1">ROUND((C19+C20)*F26,0)</f>
        <v>87216</v>
      </c>
      <c r="D26" s="709" t="s">
        <v>950</v>
      </c>
      <c r="E26" s="695" t="s">
        <v>951</v>
      </c>
      <c r="F26" s="694">
        <f ca="1">INDIRECT("'数据-取费表'!q"&amp;$G$1)</f>
        <v>0.37</v>
      </c>
      <c r="G26" s="2289"/>
      <c r="H26" s="681" t="s">
        <v>2358</v>
      </c>
      <c r="I26" s="682" t="s">
        <v>952</v>
      </c>
      <c r="J26" s="683">
        <f ca="1">IF(J5&lt;&gt;0,ROUND(J25*(1-((1+M28)/(1+M26))^M27)/(M26-M28),0),0)</f>
        <v>0</v>
      </c>
      <c r="K26" s="710" t="s">
        <v>953</v>
      </c>
      <c r="L26" s="684" t="s">
        <v>959</v>
      </c>
      <c r="M26" s="694">
        <f ca="1">INDIRECT("'数据-取费表'!I"&amp;$G$1)</f>
        <v>6.5000000000000002E-2</v>
      </c>
    </row>
    <row r="27" spans="1:37" ht="18" customHeight="1">
      <c r="A27" s="2439" t="s">
        <v>2378</v>
      </c>
      <c r="B27" s="684" t="s">
        <v>373</v>
      </c>
      <c r="C27" s="313">
        <f ca="1">ROUND(F21*F26,4)</f>
        <v>1.11E-2</v>
      </c>
      <c r="D27" s="709" t="s">
        <v>954</v>
      </c>
      <c r="E27" s="704"/>
      <c r="F27" s="705"/>
      <c r="G27" s="2289"/>
      <c r="H27" s="686"/>
      <c r="I27" s="687"/>
      <c r="J27" s="688"/>
      <c r="K27" s="718" t="s">
        <v>955</v>
      </c>
      <c r="L27" s="684" t="s">
        <v>960</v>
      </c>
      <c r="M27" s="719">
        <f ca="1">INDIRECT("'数据-取费表'!ag"&amp;$G$1)</f>
        <v>0</v>
      </c>
    </row>
    <row r="28" spans="1:37" s="706" customFormat="1" ht="18" customHeight="1">
      <c r="A28" s="2439" t="s">
        <v>2380</v>
      </c>
      <c r="B28" s="684" t="s">
        <v>374</v>
      </c>
      <c r="C28" s="313">
        <f>ROUND(F28/(1+'数据-取费表'!C42),4)</f>
        <v>5.2400000000000002E-2</v>
      </c>
      <c r="D28" s="709" t="s">
        <v>961</v>
      </c>
      <c r="E28" s="684" t="s">
        <v>920</v>
      </c>
      <c r="F28" s="707">
        <f>'数据-取费表'!B41</f>
        <v>5.5000000000000007E-2</v>
      </c>
      <c r="G28" s="2290"/>
      <c r="H28" s="690"/>
      <c r="I28" s="691"/>
      <c r="J28" s="692"/>
      <c r="K28" s="713"/>
      <c r="L28" s="684" t="s">
        <v>962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2381</v>
      </c>
      <c r="B29" s="2680" t="s">
        <v>963</v>
      </c>
      <c r="C29" s="2681">
        <f ca="1">ROUND((C19+C20+C23+C26)/(1-F21-C24-C27-C28),0)</f>
        <v>382758</v>
      </c>
      <c r="D29" s="2682"/>
      <c r="E29" s="2680"/>
      <c r="F29" s="2683"/>
      <c r="G29" s="2290"/>
      <c r="H29" s="720" t="s">
        <v>2365</v>
      </c>
      <c r="I29" s="721" t="s">
        <v>956</v>
      </c>
      <c r="J29" s="722">
        <f ca="1">ROUND(J26/(1+F40)^F41,0)</f>
        <v>0</v>
      </c>
      <c r="K29" s="723" t="s">
        <v>957</v>
      </c>
      <c r="L29" s="724"/>
      <c r="M29" s="725">
        <f ca="1">INDIRECT("'数据-取费表'!k"&amp;$G$1)</f>
        <v>317263.48999999987</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2340</v>
      </c>
      <c r="B30" s="2668" t="s">
        <v>921</v>
      </c>
      <c r="C30" s="692">
        <f ca="1">ROUND(C31+C36+C37+C38,0)</f>
        <v>16759</v>
      </c>
      <c r="D30" s="2677" t="s">
        <v>922</v>
      </c>
      <c r="E30" s="2678"/>
      <c r="F30" s="2629"/>
      <c r="G30" s="2289"/>
      <c r="H30" s="1278"/>
      <c r="I30" s="1279"/>
      <c r="J30" s="1280"/>
      <c r="K30" s="1281"/>
      <c r="L30" s="1282"/>
      <c r="M30" s="1283"/>
    </row>
    <row r="31" spans="1:37" ht="18" customHeight="1">
      <c r="A31" s="2439" t="s">
        <v>2541</v>
      </c>
      <c r="B31" s="684" t="s">
        <v>361</v>
      </c>
      <c r="C31" s="313">
        <f ca="1">ROUND(IF(项目基本情况!B11="自然人",C5*F31,C32+C33+C34),1)</f>
        <v>5602.5</v>
      </c>
      <c r="D31" s="2216" t="s">
        <v>925</v>
      </c>
      <c r="E31" s="2214" t="s">
        <v>964</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2606</v>
      </c>
      <c r="B32" s="684" t="s">
        <v>927</v>
      </c>
      <c r="C32" s="313">
        <f ca="1">IF(项目基本情况!B11="自然人","——",ROUND(C5*F32/(1+'数据-取费表'!C42),2))</f>
        <v>2335.3000000000002</v>
      </c>
      <c r="D32" s="2214" t="s">
        <v>928</v>
      </c>
      <c r="E32" s="684" t="s">
        <v>920</v>
      </c>
      <c r="F32" s="717">
        <f>'数据-取费表'!B41</f>
        <v>5.5000000000000007E-2</v>
      </c>
      <c r="G32" s="2289"/>
      <c r="H32" s="1284"/>
      <c r="I32" s="1285"/>
      <c r="J32" s="1286"/>
      <c r="K32" s="1287"/>
      <c r="L32" s="1288"/>
      <c r="M32" s="1289"/>
    </row>
    <row r="33" spans="1:18" ht="18" customHeight="1">
      <c r="A33" s="2439" t="s">
        <v>2607</v>
      </c>
      <c r="B33" s="684" t="s">
        <v>930</v>
      </c>
      <c r="C33" s="313">
        <f ca="1">IF(项目基本情况!B11="自然人","——",IF(D33="按租金收入计税",ROUND(C5*F33,2),IF(D33="按房产原值计税",ROUND(C29*F33*0.7,2),INDIRECT("'数据-取费表'!Aj"&amp;$G$1))))</f>
        <v>3215.17</v>
      </c>
      <c r="D33" s="1301" t="s">
        <v>2415</v>
      </c>
      <c r="E33" s="684" t="s">
        <v>363</v>
      </c>
      <c r="F33" s="707">
        <f>IF(D33="按票据","——",IF(D33="按租金收入计税",'数据-取费表'!B51,'数据-取费表'!B50))</f>
        <v>1.2E-2</v>
      </c>
      <c r="G33" s="2289"/>
      <c r="H33" s="1290"/>
      <c r="I33" s="2885"/>
      <c r="J33" s="2886"/>
      <c r="K33" s="1291"/>
      <c r="L33" s="1290"/>
      <c r="M33" s="1290"/>
    </row>
    <row r="34" spans="1:18" ht="18" customHeight="1">
      <c r="A34" s="2623" t="s">
        <v>2608</v>
      </c>
      <c r="B34" s="496" t="s">
        <v>965</v>
      </c>
      <c r="C34" s="314">
        <f ca="1">IF(项目基本情况!B11="自然人","——",ROUND(F34*F35/10000,2))</f>
        <v>51.98</v>
      </c>
      <c r="D34" s="710" t="s">
        <v>966</v>
      </c>
      <c r="E34" s="684" t="s">
        <v>967</v>
      </c>
      <c r="F34" s="711">
        <f>'数据-取费表'!B52</f>
        <v>1.5</v>
      </c>
      <c r="G34" s="2289"/>
      <c r="H34" s="1278"/>
      <c r="I34" s="2885"/>
      <c r="J34" s="2886"/>
      <c r="K34" s="1292"/>
      <c r="L34" s="1293"/>
      <c r="M34" s="1293"/>
    </row>
    <row r="35" spans="1:18" ht="18" customHeight="1">
      <c r="A35" s="2697"/>
      <c r="B35" s="2695"/>
      <c r="C35" s="318"/>
      <c r="D35" s="713"/>
      <c r="E35" s="684" t="s">
        <v>938</v>
      </c>
      <c r="F35" s="685">
        <f ca="1">INDIRECT("'数据-取费表'!r"&amp;$G$1)</f>
        <v>346512.68999999994</v>
      </c>
      <c r="G35" s="2289"/>
      <c r="H35" s="1278"/>
      <c r="I35" s="2885"/>
      <c r="J35" s="2886"/>
      <c r="K35" s="1291"/>
      <c r="L35" s="1290"/>
      <c r="M35" s="1290"/>
    </row>
    <row r="36" spans="1:18" ht="18" customHeight="1">
      <c r="A36" s="2696" t="s">
        <v>2382</v>
      </c>
      <c r="B36" s="684" t="s">
        <v>940</v>
      </c>
      <c r="C36" s="313">
        <f ca="1">ROUND(C29*F36,1)</f>
        <v>5741.4</v>
      </c>
      <c r="D36" s="2214" t="s">
        <v>970</v>
      </c>
      <c r="E36" s="684" t="s">
        <v>971</v>
      </c>
      <c r="F36" s="714">
        <f ca="1">INDIRECT("'数据-取费表'!Ak"&amp;$G$1)</f>
        <v>1.4999999999999999E-2</v>
      </c>
      <c r="G36" s="2289"/>
      <c r="H36" s="1290"/>
      <c r="I36" s="2885"/>
      <c r="J36" s="2886"/>
      <c r="K36" s="1294"/>
      <c r="L36" s="1290"/>
      <c r="M36" s="1290"/>
    </row>
    <row r="37" spans="1:18" ht="18" customHeight="1">
      <c r="A37" s="2439" t="s">
        <v>2612</v>
      </c>
      <c r="B37" s="684" t="s">
        <v>366</v>
      </c>
      <c r="C37" s="313">
        <f ca="1">ROUND(C13*F37,1)</f>
        <v>956.9</v>
      </c>
      <c r="D37" s="2214" t="s">
        <v>367</v>
      </c>
      <c r="E37" s="684" t="s">
        <v>368</v>
      </c>
      <c r="F37" s="716">
        <f ca="1">INDIRECT("'数据-取费表'!Al"&amp;$G$1)</f>
        <v>2.5000000000000001E-3</v>
      </c>
      <c r="G37" s="2289"/>
      <c r="H37" s="1290"/>
      <c r="I37" s="2885"/>
      <c r="J37" s="2886"/>
      <c r="K37" s="1294"/>
      <c r="L37" s="1290"/>
      <c r="M37" s="1290"/>
    </row>
    <row r="38" spans="1:18" ht="18" customHeight="1" thickBot="1">
      <c r="A38" s="2679" t="s">
        <v>2613</v>
      </c>
      <c r="B38" s="2680" t="s">
        <v>365</v>
      </c>
      <c r="C38" s="2681">
        <f ca="1">ROUND(C5*F38,1)</f>
        <v>4458.3</v>
      </c>
      <c r="D38" s="2682" t="s">
        <v>369</v>
      </c>
      <c r="E38" s="2680" t="s">
        <v>368</v>
      </c>
      <c r="F38" s="2676">
        <f ca="1">INDIRECT("'数据-取费表'!Am"&amp;$G$1)</f>
        <v>0.1</v>
      </c>
      <c r="G38" s="2289"/>
      <c r="H38" s="1290"/>
      <c r="I38" s="2885"/>
      <c r="J38" s="2886"/>
      <c r="K38" s="1295"/>
      <c r="L38" s="1290"/>
      <c r="M38" s="1290"/>
    </row>
    <row r="39" spans="1:18" ht="24.6" customHeight="1" thickTop="1">
      <c r="A39" s="2667" t="s">
        <v>2355</v>
      </c>
      <c r="B39" s="2684" t="s">
        <v>375</v>
      </c>
      <c r="C39" s="692">
        <f ca="1">C5-C30</f>
        <v>27824</v>
      </c>
      <c r="D39" s="2685" t="s">
        <v>376</v>
      </c>
      <c r="E39" s="2686"/>
      <c r="F39" s="2687"/>
      <c r="G39" s="2289"/>
      <c r="H39" s="1290"/>
      <c r="I39" s="2885"/>
      <c r="J39" s="2886"/>
      <c r="K39" s="1295"/>
      <c r="L39" s="1290"/>
      <c r="M39" s="1290"/>
    </row>
    <row r="40" spans="1:18" ht="18" customHeight="1">
      <c r="A40" s="681" t="s">
        <v>2358</v>
      </c>
      <c r="B40" s="682" t="s">
        <v>377</v>
      </c>
      <c r="C40" s="683">
        <f ca="1">ROUND(C39*(1-((1+F42)/(1+F40))^F41)/(F40-F42),0)</f>
        <v>540253</v>
      </c>
      <c r="D40" s="710" t="s">
        <v>371</v>
      </c>
      <c r="E40" s="684" t="s">
        <v>372</v>
      </c>
      <c r="F40" s="694">
        <f ca="1">INDIRECT("'数据-取费表'!I"&amp;$G$1)</f>
        <v>6.5000000000000002E-2</v>
      </c>
      <c r="G40" s="2289"/>
      <c r="H40" s="1296"/>
      <c r="I40" s="2885"/>
      <c r="J40" s="2886"/>
      <c r="K40" s="1295"/>
      <c r="L40" s="1296"/>
      <c r="M40" s="1296"/>
    </row>
    <row r="41" spans="1:18" ht="18" customHeight="1">
      <c r="A41" s="686"/>
      <c r="B41" s="687"/>
      <c r="C41" s="688"/>
      <c r="D41" s="718" t="s">
        <v>378</v>
      </c>
      <c r="E41" s="684" t="s">
        <v>379</v>
      </c>
      <c r="F41" s="719">
        <f ca="1">IF(INDIRECT("'数据-取费表'!af"&amp;$G$1)=0,INDIRECT("'数据-取费表'!ae"&amp;$G$1),INDIRECT("'数据-取费表'!af"&amp;$G$1))</f>
        <v>34.06</v>
      </c>
      <c r="G41" s="2289"/>
      <c r="H41" s="1192"/>
      <c r="I41" s="2885"/>
      <c r="J41" s="2886"/>
      <c r="K41" s="1294"/>
      <c r="L41" s="1192"/>
      <c r="M41" s="1192"/>
    </row>
    <row r="42" spans="1:18" ht="18" customHeight="1">
      <c r="A42" s="690"/>
      <c r="B42" s="691"/>
      <c r="C42" s="692"/>
      <c r="D42" s="713"/>
      <c r="E42" s="684" t="s">
        <v>380</v>
      </c>
      <c r="F42" s="694">
        <f ca="1">INDIRECT("'数据-取费表'!v"&amp;$G$1)</f>
        <v>0.03</v>
      </c>
      <c r="G42" s="2289"/>
      <c r="H42" s="1192"/>
      <c r="I42" s="2885"/>
      <c r="J42" s="2886"/>
      <c r="K42" s="1294"/>
      <c r="L42" s="1192"/>
      <c r="M42" s="1192"/>
    </row>
    <row r="43" spans="1:18" ht="18" customHeight="1" thickBot="1">
      <c r="A43" s="720" t="s">
        <v>2365</v>
      </c>
      <c r="B43" s="721" t="s">
        <v>381</v>
      </c>
      <c r="C43" s="722">
        <f ca="1">ROUND(C40*10000/F43,0)</f>
        <v>17029</v>
      </c>
      <c r="D43" s="723" t="s">
        <v>382</v>
      </c>
      <c r="E43" s="724" t="s">
        <v>383</v>
      </c>
      <c r="F43" s="725">
        <f ca="1">INDIRECT("'数据-取费表'!k"&amp;$G$1)</f>
        <v>317263.48999999987</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2488</v>
      </c>
      <c r="P45" s="1296"/>
      <c r="Q45" s="1296"/>
      <c r="R45" s="1296"/>
    </row>
    <row r="46" spans="1:18" s="1455" customFormat="1" ht="21" thickBot="1">
      <c r="A46" s="2397" t="s">
        <v>2327</v>
      </c>
      <c r="B46" s="2398"/>
      <c r="C46" s="2726">
        <f ca="1">C68-C40</f>
        <v>-675625</v>
      </c>
      <c r="D46" s="2727" t="str">
        <f>C2</f>
        <v>万元</v>
      </c>
      <c r="E46" s="1433"/>
      <c r="F46" s="1433"/>
      <c r="I46" s="2579" t="s">
        <v>2423</v>
      </c>
      <c r="J46" s="2580"/>
      <c r="K46" s="2581"/>
      <c r="L46" s="2583" t="str">
        <f ca="1">IF(M47="住宅",0,IF(L48&gt;J51,L60,J60))</f>
        <v>0</v>
      </c>
      <c r="O46" s="2595" t="s">
        <v>2466</v>
      </c>
      <c r="P46" s="2596" t="s">
        <v>2467</v>
      </c>
      <c r="Q46" s="2597" t="s">
        <v>2465</v>
      </c>
      <c r="R46" s="2597" t="s">
        <v>2468</v>
      </c>
    </row>
    <row r="47" spans="1:18" s="1455" customFormat="1" ht="15.75" thickBot="1">
      <c r="A47" s="2399" t="s">
        <v>2329</v>
      </c>
      <c r="B47" s="2435" t="s">
        <v>2330</v>
      </c>
      <c r="C47" s="2731" t="s">
        <v>2331</v>
      </c>
      <c r="D47" s="2435" t="s">
        <v>2332</v>
      </c>
      <c r="E47" s="2538" t="s">
        <v>2333</v>
      </c>
      <c r="F47" s="2539"/>
      <c r="G47" s="1457"/>
      <c r="I47" s="2554" t="s">
        <v>2416</v>
      </c>
      <c r="J47" s="2555" t="s">
        <v>3548</v>
      </c>
      <c r="K47" s="2564" t="s">
        <v>2439</v>
      </c>
      <c r="L47" s="2565">
        <f ca="1">INDIRECT("'数据-取费表'!d"&amp;$G$1)</f>
        <v>40</v>
      </c>
      <c r="M47" s="2585" t="str">
        <f>IF(ISNUMBER(FIND("住宅",C1)),"住宅","非住宅")</f>
        <v>非住宅</v>
      </c>
      <c r="O47" s="2588" t="s">
        <v>2451</v>
      </c>
      <c r="P47" s="2598" t="s">
        <v>2469</v>
      </c>
      <c r="Q47" s="2589">
        <f ca="1">C40+J29</f>
        <v>540253</v>
      </c>
      <c r="R47" s="2589" t="s">
        <v>2470</v>
      </c>
    </row>
    <row r="48" spans="1:18" s="1455" customFormat="1" ht="47.25" thickBot="1">
      <c r="A48" s="2712" t="s">
        <v>2618</v>
      </c>
      <c r="B48" s="682" t="s">
        <v>2334</v>
      </c>
      <c r="C48" s="2722">
        <f ca="1">C49+C53+C55</f>
        <v>0</v>
      </c>
      <c r="D48" s="2716"/>
      <c r="E48" s="2717"/>
      <c r="F48" s="2419"/>
      <c r="G48" s="1457"/>
      <c r="H48" s="1458"/>
      <c r="I48" s="2545" t="s">
        <v>2417</v>
      </c>
      <c r="J48" s="2556" t="s">
        <v>2418</v>
      </c>
      <c r="K48" s="2566" t="s">
        <v>2440</v>
      </c>
      <c r="L48" s="2169">
        <f ca="1">INDIRECT("'数据-取费表'!f"&amp;$G$1)</f>
        <v>34.06</v>
      </c>
      <c r="O48" s="2588" t="s">
        <v>2452</v>
      </c>
      <c r="P48" s="2598" t="s">
        <v>2471</v>
      </c>
      <c r="Q48" s="2589" t="str">
        <f ca="1">J60</f>
        <v>0</v>
      </c>
      <c r="R48" s="2589" t="s">
        <v>2479</v>
      </c>
    </row>
    <row r="49" spans="1:18" s="1455" customFormat="1" ht="15.75" thickBot="1">
      <c r="A49" s="2432" t="s">
        <v>2619</v>
      </c>
      <c r="B49" s="2715" t="s">
        <v>2621</v>
      </c>
      <c r="C49" s="2724">
        <f ca="1">ROUND(F49*F51*F50*(1-F52)/10000,0)</f>
        <v>0</v>
      </c>
      <c r="D49" s="2534" t="s">
        <v>2335</v>
      </c>
      <c r="E49" s="2537" t="s">
        <v>2328</v>
      </c>
      <c r="F49" s="2540"/>
      <c r="G49" s="1459"/>
      <c r="H49" s="1458"/>
      <c r="I49" s="2545" t="s">
        <v>2437</v>
      </c>
      <c r="J49" s="2557">
        <v>2017</v>
      </c>
      <c r="K49" s="2567" t="s">
        <v>2442</v>
      </c>
      <c r="L49" s="2568"/>
      <c r="O49" s="2590" t="s">
        <v>2453</v>
      </c>
      <c r="P49" s="2598" t="s">
        <v>2472</v>
      </c>
      <c r="Q49" s="2589">
        <f ca="1">C29</f>
        <v>382758</v>
      </c>
      <c r="R49" s="2589" t="s">
        <v>2470</v>
      </c>
    </row>
    <row r="50" spans="1:18" s="1455" customFormat="1" ht="15.75" thickBot="1">
      <c r="A50" s="2433"/>
      <c r="B50" s="2436"/>
      <c r="C50" s="2732"/>
      <c r="D50" s="2406"/>
      <c r="E50" s="2535" t="s">
        <v>2336</v>
      </c>
      <c r="F50" s="2536">
        <f ca="1">F7</f>
        <v>317263.48999999987</v>
      </c>
      <c r="H50" s="1458"/>
      <c r="I50" s="2545" t="s">
        <v>2419</v>
      </c>
      <c r="J50" s="2558">
        <f>SUMPRODUCT((I63:I65=J47)*(J62:L62=J48)*(J63:L65))</f>
        <v>60</v>
      </c>
      <c r="K50" s="2567" t="s">
        <v>2443</v>
      </c>
      <c r="L50" s="2568"/>
      <c r="M50" s="2562"/>
      <c r="O50" s="2590" t="s">
        <v>2454</v>
      </c>
      <c r="P50" s="2598" t="s">
        <v>2480</v>
      </c>
      <c r="Q50" s="2591" t="e">
        <f ca="1">J58</f>
        <v>#VALUE!</v>
      </c>
      <c r="R50" s="2589"/>
    </row>
    <row r="51" spans="1:18" s="1455" customFormat="1" ht="15.75" thickBot="1">
      <c r="A51" s="2434"/>
      <c r="B51" s="2436"/>
      <c r="C51" s="2437"/>
      <c r="D51" s="2406"/>
      <c r="E51" s="2438" t="s">
        <v>2337</v>
      </c>
      <c r="F51" s="685">
        <f ca="1">F8</f>
        <v>365</v>
      </c>
      <c r="I51" s="2559" t="s">
        <v>2424</v>
      </c>
      <c r="J51" s="2560">
        <f>IF(J49="",J50,J49+J50-YEAR('数据-取费表'!B2))</f>
        <v>60</v>
      </c>
      <c r="K51" s="2569" t="s">
        <v>2444</v>
      </c>
      <c r="L51" s="2582">
        <f ca="1">ROUND(-PV(INDIRECT("'数据-取费表'!h"&amp;$G$1),L48,(C39-C13*C76),0),0)</f>
        <v>-67718</v>
      </c>
      <c r="M51" s="2563"/>
      <c r="O51" s="2590" t="s">
        <v>2455</v>
      </c>
      <c r="P51" s="2598" t="s">
        <v>2481</v>
      </c>
      <c r="Q51" s="2591">
        <f>J52</f>
        <v>0.09</v>
      </c>
      <c r="R51" s="2589"/>
    </row>
    <row r="52" spans="1:18" s="1455" customFormat="1" ht="15.75" thickBot="1">
      <c r="A52" s="2434"/>
      <c r="B52" s="2436"/>
      <c r="C52" s="2437"/>
      <c r="D52" s="2406"/>
      <c r="E52" s="2438" t="s">
        <v>2338</v>
      </c>
      <c r="F52" s="2533"/>
      <c r="I52" s="2561" t="s">
        <v>2447</v>
      </c>
      <c r="J52" s="2575">
        <v>0.09</v>
      </c>
      <c r="K52" s="2561" t="s">
        <v>2432</v>
      </c>
      <c r="L52" s="2575"/>
      <c r="M52" s="2398"/>
      <c r="O52" s="2590" t="s">
        <v>2456</v>
      </c>
      <c r="P52" s="2598" t="s">
        <v>2473</v>
      </c>
      <c r="Q52" s="2589">
        <f ca="1">J53</f>
        <v>34.06</v>
      </c>
      <c r="R52" s="2589" t="s">
        <v>2474</v>
      </c>
    </row>
    <row r="53" spans="1:18" s="1455" customFormat="1" ht="43.5" thickBot="1">
      <c r="A53" s="2830" t="s">
        <v>2620</v>
      </c>
      <c r="B53" s="433" t="s">
        <v>2530</v>
      </c>
      <c r="C53" s="698">
        <f ca="1">ROUND(IF(F53="押一",F49*F51*F50/12*F11,IF(F53="押二",F49*F51*F50/12*2*F11,IF(F53="押三",F49*F51*F50/12*3*F11,C54*F11)))/10000,0)</f>
        <v>0</v>
      </c>
      <c r="D53" s="2635" t="s">
        <v>2538</v>
      </c>
      <c r="E53" s="2098" t="s">
        <v>2532</v>
      </c>
      <c r="F53" s="2832"/>
      <c r="I53" s="2571" t="s">
        <v>2449</v>
      </c>
      <c r="J53" s="2572">
        <f ca="1">IF(M47="住宅",J51,MIN(J51,L48))</f>
        <v>34.06</v>
      </c>
      <c r="K53" s="37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39"/>
      <c r="O53" s="2588" t="s">
        <v>2457</v>
      </c>
      <c r="P53" s="2598" t="s">
        <v>2475</v>
      </c>
      <c r="Q53" s="2589">
        <f ca="1">Q47+Q48</f>
        <v>540253</v>
      </c>
      <c r="R53" s="2589" t="s">
        <v>2458</v>
      </c>
    </row>
    <row r="54" spans="1:18" s="1455" customFormat="1" ht="16.5" thickBot="1">
      <c r="A54" s="2831"/>
      <c r="B54" s="2625" t="s">
        <v>2697</v>
      </c>
      <c r="C54" s="2416"/>
      <c r="D54" s="2635"/>
      <c r="E54" s="2779"/>
      <c r="F54" s="2541"/>
      <c r="I54" s="2413"/>
      <c r="J54" s="2570"/>
      <c r="K54" s="2570"/>
      <c r="L54" s="2570"/>
      <c r="M54" s="1459"/>
      <c r="O54" s="2592" t="s">
        <v>2482</v>
      </c>
      <c r="P54" s="1296"/>
      <c r="Q54" s="1296"/>
      <c r="R54" s="1296"/>
    </row>
    <row r="55" spans="1:18" s="1455" customFormat="1" ht="15.75" thickBot="1">
      <c r="A55" s="2671" t="s">
        <v>2543</v>
      </c>
      <c r="B55" s="2672" t="s">
        <v>2531</v>
      </c>
      <c r="C55" s="2673"/>
      <c r="D55" s="2635"/>
      <c r="E55" s="2711"/>
      <c r="F55" s="2541"/>
      <c r="I55" s="3320" t="s">
        <v>2425</v>
      </c>
      <c r="J55" s="3319" t="e">
        <f ca="1">ROUND(IF(J47="钢混",J57/J50,1-(1-2%)*(J50-J57)/J50),3)</f>
        <v>#VALUE!</v>
      </c>
      <c r="K55" s="2552" t="s">
        <v>2426</v>
      </c>
      <c r="L55" s="2574"/>
      <c r="O55" s="2595" t="s">
        <v>2466</v>
      </c>
      <c r="P55" s="2596" t="s">
        <v>2467</v>
      </c>
      <c r="Q55" s="2597" t="s">
        <v>2465</v>
      </c>
      <c r="R55" s="2597" t="s">
        <v>2468</v>
      </c>
    </row>
    <row r="56" spans="1:18" s="1455" customFormat="1" ht="44.25" thickTop="1" thickBot="1">
      <c r="A56" s="2410">
        <v>2</v>
      </c>
      <c r="B56" s="2411" t="s">
        <v>2339</v>
      </c>
      <c r="C56" s="608">
        <f ca="1">C13</f>
        <v>382758</v>
      </c>
      <c r="D56" s="2699"/>
      <c r="E56" s="2412"/>
      <c r="F56" s="2541"/>
      <c r="I56" s="2544" t="s">
        <v>2427</v>
      </c>
      <c r="J56" s="2573" t="s">
        <v>3066</v>
      </c>
      <c r="K56" s="2545" t="s">
        <v>2431</v>
      </c>
      <c r="L56" s="2169" t="str">
        <f ca="1">IF(L48&lt;J51,"——",L48-J51)</f>
        <v>——</v>
      </c>
      <c r="O56" s="2588" t="s">
        <v>2451</v>
      </c>
      <c r="P56" s="2598" t="s">
        <v>2469</v>
      </c>
      <c r="Q56" s="2589">
        <f ca="1">C40+J29</f>
        <v>540253</v>
      </c>
      <c r="R56" s="2589" t="s">
        <v>2470</v>
      </c>
    </row>
    <row r="57" spans="1:18" s="1455" customFormat="1" ht="29.25" thickBot="1">
      <c r="A57" s="2542"/>
      <c r="B57" s="2403" t="s">
        <v>2369</v>
      </c>
      <c r="C57" s="614">
        <f ca="1">C29</f>
        <v>382758</v>
      </c>
      <c r="D57" s="2414"/>
      <c r="E57" s="2415"/>
      <c r="F57" s="2543"/>
      <c r="I57" s="2546" t="s">
        <v>2448</v>
      </c>
      <c r="J57" s="2550" t="str">
        <f ca="1">IF(OR(M47="住宅",J51&lt;L48,J56="是"),"——",J51-L48)</f>
        <v>——</v>
      </c>
      <c r="K57" s="2545" t="s">
        <v>2902</v>
      </c>
      <c r="L57" s="2169" t="str">
        <f ca="1">IF(L48&lt;J51,"——",IF(L55="比较法",L49,IF(L55="基准地价",L50,L51)))</f>
        <v>——</v>
      </c>
      <c r="O57" s="2588" t="s">
        <v>2452</v>
      </c>
      <c r="P57" s="2598" t="s">
        <v>2476</v>
      </c>
      <c r="Q57" s="2589">
        <f ca="1">L60</f>
        <v>0</v>
      </c>
      <c r="R57" s="2589" t="s">
        <v>2491</v>
      </c>
    </row>
    <row r="58" spans="1:18" s="1455" customFormat="1" ht="29.25" thickBot="1">
      <c r="A58" s="697" t="s">
        <v>2340</v>
      </c>
      <c r="B58" s="2411" t="s">
        <v>2370</v>
      </c>
      <c r="C58" s="698">
        <f ca="1">ROUND(C59+C64+C65+C66,0)</f>
        <v>9966</v>
      </c>
      <c r="D58" s="2417" t="s">
        <v>2371</v>
      </c>
      <c r="E58" s="2418"/>
      <c r="F58" s="2419"/>
      <c r="I58" s="2546" t="s">
        <v>2428</v>
      </c>
      <c r="J58" s="3491" t="e">
        <f ca="1">IF(J55&lt;0.4,0.4,J55)</f>
        <v>#VALUE!</v>
      </c>
      <c r="K58" s="2569" t="s">
        <v>2903</v>
      </c>
      <c r="L58" s="2169">
        <f ca="1">IF(ISERROR(POWER(1+L52,L47-L48)*(POWER(1+L52,L48)-1)/(POWER(1+L52,L47)-1)),0,POWER(1+L52,L47-L48)*(POWER(1+L52,L48)-1)/(POWER(1+L52,L47)-1))</f>
        <v>0</v>
      </c>
      <c r="O58" s="2590" t="s">
        <v>2453</v>
      </c>
      <c r="P58" s="2598" t="s">
        <v>2483</v>
      </c>
      <c r="Q58" s="2589">
        <f>IF(L55="比较法",L49,IF(L55="基准地价",L50,0))</f>
        <v>0</v>
      </c>
      <c r="R58" s="2589" t="s">
        <v>2470</v>
      </c>
    </row>
    <row r="59" spans="1:18" s="1455" customFormat="1" ht="29.25" thickBot="1">
      <c r="A59" s="2439" t="s">
        <v>2375</v>
      </c>
      <c r="B59" s="2403" t="s">
        <v>361</v>
      </c>
      <c r="C59" s="313">
        <f ca="1">ROUND(IF(项目基本情况!B11="自然人",C48*F59,C60+C61+C62),1)</f>
        <v>3267.2</v>
      </c>
      <c r="D59" s="2420" t="s">
        <v>2341</v>
      </c>
      <c r="E59" s="2421" t="s">
        <v>2342</v>
      </c>
      <c r="F59" s="708" t="str">
        <f ca="1">IF(项目基本情况!B11="企业","",IF(INDIRECT("'数据-取费表'!c"&amp;$G$1)="住宅",5%,IF(F49*F50*F51/12/(1+'数据-取费表'!C42)&gt;20000,12%,7%)))</f>
        <v/>
      </c>
      <c r="I59" s="2546" t="s">
        <v>2429</v>
      </c>
      <c r="J59" s="2550" t="str">
        <f ca="1">IF(OR(M47="住宅",J51&lt;L48,J56="是"),"——",ROUND(C29*J58,0))</f>
        <v>——</v>
      </c>
      <c r="K59" s="2569" t="s">
        <v>2904</v>
      </c>
      <c r="L59" s="2169">
        <f ca="1">IF(ISERROR(POWER(1+L52,L47-J51)*(POWER(1+L52,J51)-1)/(POWER(1+L52,L47)-1)),0,POWER(1+L52,L47-J51)*(POWER(1+L52,J51)-1)/(POWER(1+L52,L47)-1))</f>
        <v>0</v>
      </c>
      <c r="O59" s="2590" t="s">
        <v>2454</v>
      </c>
      <c r="P59" s="2598" t="s">
        <v>2484</v>
      </c>
      <c r="Q59" s="2591">
        <f>L52</f>
        <v>0</v>
      </c>
      <c r="R59" s="2589"/>
    </row>
    <row r="60" spans="1:18" s="1455" customFormat="1" ht="20.25" thickBot="1">
      <c r="A60" s="2439" t="s">
        <v>2372</v>
      </c>
      <c r="B60" s="2403" t="s">
        <v>2343</v>
      </c>
      <c r="C60" s="313">
        <f ca="1">IF(项目基本情况!B11="自然人","——",ROUND(C48*F60/(1+'数据-取费表'!C42),2))</f>
        <v>0</v>
      </c>
      <c r="D60" s="2421" t="s">
        <v>2344</v>
      </c>
      <c r="E60" s="2403" t="s">
        <v>2345</v>
      </c>
      <c r="F60" s="717">
        <f t="shared" ref="F60:F66" si="0">F32</f>
        <v>5.5000000000000007E-2</v>
      </c>
      <c r="I60" s="2547" t="s">
        <v>2430</v>
      </c>
      <c r="J60" s="2551" t="str">
        <f ca="1">IF(OR(M47="住宅",J51&lt;L48,J56="是"),"0",ROUND(J59/(1+J52)^J53,0))</f>
        <v>0</v>
      </c>
      <c r="K60" s="2553" t="s">
        <v>2433</v>
      </c>
      <c r="L60" s="2551">
        <f ca="1">IF(OR(M47="住宅",L48&lt;J51),0,ROUND(L57*(L58/L59-1),0))</f>
        <v>0</v>
      </c>
      <c r="O60" s="2590" t="s">
        <v>2455</v>
      </c>
      <c r="P60" s="2598" t="s">
        <v>2485</v>
      </c>
      <c r="Q60" s="2589">
        <f ca="1">L58</f>
        <v>0</v>
      </c>
      <c r="R60" s="2589" t="s">
        <v>2460</v>
      </c>
    </row>
    <row r="61" spans="1:18" s="1455" customFormat="1" ht="20.25" thickBot="1">
      <c r="A61" s="2439" t="s">
        <v>2373</v>
      </c>
      <c r="B61" s="2403" t="s">
        <v>2346</v>
      </c>
      <c r="C61" s="313">
        <f ca="1">IF(项目基本情况!B11="自然人","——",IF(D61="按租金收入计税",ROUND(C48*F61,2),IF(D61="按房产原值计税",ROUND(C57*F61*0.7,2),INDIRECT("'数据-取费表'!Aj"&amp;$G$1))))</f>
        <v>3215.17</v>
      </c>
      <c r="D61" s="1301" t="s">
        <v>2415</v>
      </c>
      <c r="E61" s="2403" t="s">
        <v>2345</v>
      </c>
      <c r="F61" s="707">
        <f t="shared" si="0"/>
        <v>1.2E-2</v>
      </c>
      <c r="I61" s="2413"/>
      <c r="J61" s="2413"/>
      <c r="K61" s="2413"/>
      <c r="L61" s="2413"/>
      <c r="O61" s="2590" t="s">
        <v>2456</v>
      </c>
      <c r="P61" s="2598" t="s">
        <v>2486</v>
      </c>
      <c r="Q61" s="2589">
        <f ca="1">L59</f>
        <v>0</v>
      </c>
      <c r="R61" s="2589" t="s">
        <v>2461</v>
      </c>
    </row>
    <row r="62" spans="1:18" s="1455" customFormat="1" ht="15.75" thickBot="1">
      <c r="A62" s="2439" t="s">
        <v>2374</v>
      </c>
      <c r="B62" s="2402" t="s">
        <v>2347</v>
      </c>
      <c r="C62" s="314">
        <f ca="1">IF(项目基本情况!B11="自然人","——",ROUND(F62*F63/10000,2))</f>
        <v>51.98</v>
      </c>
      <c r="D62" s="2422" t="s">
        <v>2348</v>
      </c>
      <c r="E62" s="2403" t="s">
        <v>2349</v>
      </c>
      <c r="F62" s="711">
        <f t="shared" si="0"/>
        <v>1.5</v>
      </c>
      <c r="I62" s="2548" t="s">
        <v>2420</v>
      </c>
      <c r="J62" s="2549" t="s">
        <v>2421</v>
      </c>
      <c r="K62" s="2549" t="s">
        <v>2422</v>
      </c>
      <c r="L62" s="2549" t="s">
        <v>2418</v>
      </c>
      <c r="M62" s="3322" t="s">
        <v>3040</v>
      </c>
      <c r="O62" s="2588" t="s">
        <v>2457</v>
      </c>
      <c r="P62" s="2598" t="s">
        <v>2475</v>
      </c>
      <c r="Q62" s="2589">
        <f ca="1">Q56+Q57</f>
        <v>540253</v>
      </c>
      <c r="R62" s="2589" t="s">
        <v>2458</v>
      </c>
    </row>
    <row r="63" spans="1:18" s="1455" customFormat="1" ht="16.5" thickBot="1">
      <c r="A63" s="712"/>
      <c r="B63" s="2409"/>
      <c r="C63" s="318"/>
      <c r="D63" s="2423"/>
      <c r="E63" s="2403" t="s">
        <v>2350</v>
      </c>
      <c r="F63" s="685">
        <f t="shared" ca="1" si="0"/>
        <v>346512.68999999994</v>
      </c>
      <c r="I63" s="2548" t="s">
        <v>2434</v>
      </c>
      <c r="J63" s="3325">
        <v>70</v>
      </c>
      <c r="K63" s="3325">
        <v>50</v>
      </c>
      <c r="L63" s="3325">
        <v>80</v>
      </c>
      <c r="M63" s="3323">
        <v>0.02</v>
      </c>
      <c r="O63" s="2592" t="s">
        <v>2489</v>
      </c>
      <c r="P63" s="1296"/>
      <c r="Q63" s="1296"/>
      <c r="R63" s="1296"/>
    </row>
    <row r="64" spans="1:18" s="1455" customFormat="1" ht="15.75" thickBot="1">
      <c r="A64" s="2439" t="s">
        <v>2382</v>
      </c>
      <c r="B64" s="2403" t="s">
        <v>2351</v>
      </c>
      <c r="C64" s="313">
        <f ca="1">ROUND(C57*F64,1)</f>
        <v>5741.4</v>
      </c>
      <c r="D64" s="2421" t="s">
        <v>2352</v>
      </c>
      <c r="E64" s="2403" t="s">
        <v>2345</v>
      </c>
      <c r="F64" s="714">
        <f t="shared" ca="1" si="0"/>
        <v>1.4999999999999999E-2</v>
      </c>
      <c r="I64" s="2548" t="s">
        <v>2435</v>
      </c>
      <c r="J64" s="3325">
        <v>50</v>
      </c>
      <c r="K64" s="3325">
        <v>35</v>
      </c>
      <c r="L64" s="3325">
        <v>60</v>
      </c>
      <c r="M64" s="3324">
        <v>0</v>
      </c>
      <c r="O64" s="2595" t="s">
        <v>2466</v>
      </c>
      <c r="P64" s="2596" t="s">
        <v>2467</v>
      </c>
      <c r="Q64" s="2597" t="s">
        <v>2465</v>
      </c>
      <c r="R64" s="2597" t="s">
        <v>2468</v>
      </c>
    </row>
    <row r="65" spans="1:18" s="1455" customFormat="1" ht="15.75" thickBot="1">
      <c r="A65" s="2439" t="s">
        <v>2376</v>
      </c>
      <c r="B65" s="2403" t="s">
        <v>366</v>
      </c>
      <c r="C65" s="313">
        <f ca="1">ROUND(C56*F65,1)</f>
        <v>956.9</v>
      </c>
      <c r="D65" s="2421" t="s">
        <v>2353</v>
      </c>
      <c r="E65" s="2403" t="s">
        <v>2345</v>
      </c>
      <c r="F65" s="716">
        <f t="shared" ca="1" si="0"/>
        <v>2.5000000000000001E-3</v>
      </c>
      <c r="I65" s="2548" t="s">
        <v>2436</v>
      </c>
      <c r="J65" s="3325">
        <v>40</v>
      </c>
      <c r="K65" s="3325">
        <v>30</v>
      </c>
      <c r="L65" s="3325">
        <v>50</v>
      </c>
      <c r="M65" s="3323">
        <v>0.02</v>
      </c>
      <c r="O65" s="2588" t="s">
        <v>2451</v>
      </c>
      <c r="P65" s="2598" t="s">
        <v>2469</v>
      </c>
      <c r="Q65" s="2589">
        <f ca="1">C40+J29</f>
        <v>540253</v>
      </c>
      <c r="R65" s="2589" t="s">
        <v>2470</v>
      </c>
    </row>
    <row r="66" spans="1:18" s="1455" customFormat="1" ht="20.25" thickBot="1">
      <c r="A66" s="2439" t="s">
        <v>2377</v>
      </c>
      <c r="B66" s="2403" t="s">
        <v>365</v>
      </c>
      <c r="C66" s="313">
        <f ca="1">ROUND(C48*F66,1)</f>
        <v>0</v>
      </c>
      <c r="D66" s="2421" t="s">
        <v>2354</v>
      </c>
      <c r="E66" s="2403" t="s">
        <v>2345</v>
      </c>
      <c r="F66" s="694">
        <f t="shared" ca="1" si="0"/>
        <v>0.1</v>
      </c>
      <c r="O66" s="2588" t="s">
        <v>2452</v>
      </c>
      <c r="P66" s="2598" t="s">
        <v>2476</v>
      </c>
      <c r="Q66" s="2589">
        <f ca="1">L60</f>
        <v>0</v>
      </c>
      <c r="R66" s="2589" t="s">
        <v>2459</v>
      </c>
    </row>
    <row r="67" spans="1:18" s="1455" customFormat="1" ht="23.25" thickBot="1">
      <c r="A67" s="2410" t="s">
        <v>2355</v>
      </c>
      <c r="B67" s="2424" t="s">
        <v>2356</v>
      </c>
      <c r="C67" s="698">
        <f ca="1">C48-C58</f>
        <v>-9966</v>
      </c>
      <c r="D67" s="2420" t="s">
        <v>2357</v>
      </c>
      <c r="E67" s="2425"/>
      <c r="F67" s="2426"/>
      <c r="O67" s="2590" t="s">
        <v>2453</v>
      </c>
      <c r="P67" s="2598" t="s">
        <v>2483</v>
      </c>
      <c r="Q67" s="2593">
        <f ca="1">L51</f>
        <v>-67718</v>
      </c>
      <c r="R67" s="2594" t="s">
        <v>2493</v>
      </c>
    </row>
    <row r="68" spans="1:18" s="1455" customFormat="1" ht="20.25" thickBot="1">
      <c r="A68" s="2400" t="s">
        <v>2358</v>
      </c>
      <c r="B68" s="2401" t="s">
        <v>2359</v>
      </c>
      <c r="C68" s="683">
        <f ca="1">ROUND(C67*(1-((1+F70)/(1+F68))^F69)/(F68-F70),0)</f>
        <v>-135372</v>
      </c>
      <c r="D68" s="2422" t="s">
        <v>2360</v>
      </c>
      <c r="E68" s="2403" t="s">
        <v>2361</v>
      </c>
      <c r="F68" s="694">
        <f ca="1">F40</f>
        <v>6.5000000000000002E-2</v>
      </c>
      <c r="O68" s="2590" t="s">
        <v>2454</v>
      </c>
      <c r="P68" s="2599" t="s">
        <v>2487</v>
      </c>
      <c r="Q68" s="2589">
        <f ca="1">ROUND(Q69-Q70*Q71,0)</f>
        <v>-4710</v>
      </c>
      <c r="R68" s="2589" t="s">
        <v>2492</v>
      </c>
    </row>
    <row r="69" spans="1:18" s="1455" customFormat="1" ht="15.75" thickBot="1">
      <c r="A69" s="2404"/>
      <c r="B69" s="2405"/>
      <c r="C69" s="688"/>
      <c r="D69" s="2427" t="s">
        <v>2362</v>
      </c>
      <c r="E69" s="2403" t="s">
        <v>2363</v>
      </c>
      <c r="F69" s="719">
        <f ca="1">F41</f>
        <v>34.06</v>
      </c>
      <c r="O69" s="2590" t="s">
        <v>2462</v>
      </c>
      <c r="P69" s="2599" t="s">
        <v>2477</v>
      </c>
      <c r="Q69" s="2589">
        <f ca="1">C39</f>
        <v>27824</v>
      </c>
      <c r="R69" s="2589" t="s">
        <v>2470</v>
      </c>
    </row>
    <row r="70" spans="1:18" s="1455" customFormat="1" ht="15.75" thickBot="1">
      <c r="A70" s="2407"/>
      <c r="B70" s="2408"/>
      <c r="C70" s="692"/>
      <c r="D70" s="2423"/>
      <c r="E70" s="2403" t="s">
        <v>2364</v>
      </c>
      <c r="F70" s="2533"/>
      <c r="O70" s="2590" t="s">
        <v>2463</v>
      </c>
      <c r="P70" s="2599" t="s">
        <v>2478</v>
      </c>
      <c r="Q70" s="2589">
        <f ca="1">C13</f>
        <v>382758</v>
      </c>
      <c r="R70" s="2589" t="s">
        <v>2470</v>
      </c>
    </row>
    <row r="71" spans="1:18" s="1455" customFormat="1" ht="15.75" thickBot="1">
      <c r="A71" s="2428" t="s">
        <v>2365</v>
      </c>
      <c r="B71" s="2429" t="s">
        <v>2366</v>
      </c>
      <c r="C71" s="722">
        <f ca="1">ROUND(C68*10000/F71,0)</f>
        <v>-4267</v>
      </c>
      <c r="D71" s="2430" t="s">
        <v>2367</v>
      </c>
      <c r="E71" s="2431" t="s">
        <v>2368</v>
      </c>
      <c r="F71" s="725">
        <f ca="1">F43</f>
        <v>317263.48999999987</v>
      </c>
      <c r="I71" s="2398"/>
      <c r="K71" s="2398"/>
      <c r="O71" s="2590" t="s">
        <v>2464</v>
      </c>
      <c r="P71" s="2599" t="s">
        <v>2490</v>
      </c>
      <c r="Q71" s="2591">
        <f ca="1">C76</f>
        <v>8.5000000000000006E-2</v>
      </c>
      <c r="R71" s="2589"/>
    </row>
    <row r="72" spans="1:18" s="1455" customFormat="1" ht="15.75" thickBot="1">
      <c r="B72" s="1460"/>
      <c r="C72" s="1460"/>
      <c r="I72" s="2398"/>
      <c r="O72" s="2590" t="s">
        <v>2455</v>
      </c>
      <c r="P72" s="2598" t="s">
        <v>2484</v>
      </c>
      <c r="Q72" s="2591">
        <f>L52</f>
        <v>0</v>
      </c>
      <c r="R72" s="2589"/>
    </row>
    <row r="73" spans="1:18" ht="20.25" thickBot="1">
      <c r="A73" s="1455"/>
      <c r="B73" s="1460"/>
      <c r="C73" s="1460"/>
      <c r="D73" s="1455"/>
      <c r="E73" s="1455"/>
      <c r="F73" s="1455"/>
      <c r="I73" s="2584"/>
      <c r="O73" s="2590" t="s">
        <v>2456</v>
      </c>
      <c r="P73" s="2598" t="s">
        <v>2485</v>
      </c>
      <c r="Q73" s="2589">
        <f ca="1">L58</f>
        <v>0</v>
      </c>
      <c r="R73" s="2589" t="s">
        <v>2460</v>
      </c>
    </row>
    <row r="74" spans="1:18" ht="20.25" thickBot="1">
      <c r="A74" s="1455"/>
      <c r="B74" s="727" t="s">
        <v>384</v>
      </c>
      <c r="C74" s="728"/>
      <c r="D74" s="1455"/>
      <c r="E74" s="1455"/>
      <c r="F74" s="1455"/>
      <c r="O74" s="2590" t="s">
        <v>2494</v>
      </c>
      <c r="P74" s="2598" t="s">
        <v>2486</v>
      </c>
      <c r="Q74" s="2589">
        <f ca="1">L59</f>
        <v>0</v>
      </c>
      <c r="R74" s="2589" t="s">
        <v>2461</v>
      </c>
    </row>
    <row r="75" spans="1:18" ht="15.75" thickBot="1">
      <c r="A75" s="1455"/>
      <c r="B75" s="729" t="s">
        <v>968</v>
      </c>
      <c r="C75" s="730">
        <f ca="1">ROUND(C13*C76,0)</f>
        <v>32534</v>
      </c>
      <c r="D75" s="1455"/>
      <c r="E75" s="1455"/>
      <c r="F75" s="1455"/>
      <c r="K75" s="1456"/>
      <c r="L75" s="1455"/>
      <c r="O75" s="2588" t="s">
        <v>2457</v>
      </c>
      <c r="P75" s="2598" t="s">
        <v>2475</v>
      </c>
      <c r="Q75" s="2589">
        <f ca="1">Q65+Q66</f>
        <v>540253</v>
      </c>
      <c r="R75" s="2589" t="s">
        <v>2458</v>
      </c>
    </row>
    <row r="76" spans="1:18">
      <c r="B76" s="731" t="s">
        <v>969</v>
      </c>
      <c r="C76" s="732">
        <f ca="1">INDIRECT("'数据-取费表'!j"&amp;$G$1)</f>
        <v>8.5000000000000006E-2</v>
      </c>
      <c r="I76" s="1455"/>
      <c r="J76" s="1455"/>
      <c r="K76" s="1456"/>
      <c r="L76" s="1455"/>
    </row>
    <row r="77" spans="1:18">
      <c r="B77" s="733" t="s">
        <v>972</v>
      </c>
      <c r="C77" s="734"/>
      <c r="I77" s="1455"/>
      <c r="J77" s="1455"/>
      <c r="K77" s="1456"/>
      <c r="L77" s="1455"/>
    </row>
    <row r="78" spans="1:18">
      <c r="B78" s="646" t="s">
        <v>2698</v>
      </c>
      <c r="C78" s="735"/>
    </row>
    <row r="79" spans="1:18">
      <c r="B79" s="2877" t="s">
        <v>2702</v>
      </c>
      <c r="C79" s="650">
        <f ca="1">1-C80</f>
        <v>-0.16900000000000004</v>
      </c>
    </row>
    <row r="80" spans="1:18">
      <c r="B80" s="2877" t="s">
        <v>2701</v>
      </c>
      <c r="C80" s="650">
        <f ca="1">ROUND(C75/C39,3)</f>
        <v>1.169</v>
      </c>
    </row>
    <row r="81" spans="2:3">
      <c r="B81" s="646" t="s">
        <v>385</v>
      </c>
      <c r="C81" s="647"/>
    </row>
    <row r="82" spans="2:3">
      <c r="B82" s="2876" t="s">
        <v>2700</v>
      </c>
      <c r="C82" s="651">
        <f ca="1">1-C83</f>
        <v>0.29200000000000004</v>
      </c>
    </row>
    <row r="83" spans="2:3">
      <c r="B83" s="2876" t="s">
        <v>2699</v>
      </c>
      <c r="C83" s="650">
        <f ca="1">ROUND(C13/C40,3)</f>
        <v>0.70799999999999996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903</v>
      </c>
      <c r="B1" s="670"/>
      <c r="C1" s="2393"/>
      <c r="D1" s="1274"/>
      <c r="E1" s="2586" t="s">
        <v>537</v>
      </c>
      <c r="F1" s="2587">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t="e">
        <f ca="1">ROUND(D2/10000,0)</f>
        <v>#DIV/0!</v>
      </c>
      <c r="C2" s="1300" t="s">
        <v>1097</v>
      </c>
      <c r="D2" s="2725" t="e">
        <f ca="1">C40+J29+L46</f>
        <v>#DIV/0!</v>
      </c>
      <c r="E2" s="2576" t="s">
        <v>2622</v>
      </c>
      <c r="F2" s="1277"/>
      <c r="G2" s="2288"/>
      <c r="H2" s="1275"/>
      <c r="I2" s="1275"/>
      <c r="J2" s="1275"/>
      <c r="K2" s="1299"/>
      <c r="L2" s="1275"/>
      <c r="M2" s="1275"/>
    </row>
    <row r="3" spans="1:37" ht="18" customHeight="1" thickBot="1">
      <c r="A3" s="675" t="s">
        <v>344</v>
      </c>
      <c r="B3" s="1408">
        <f ca="1">IF(ISERROR(D2/F43),0,ROUND(D2/F43,0))</f>
        <v>0</v>
      </c>
      <c r="C3" s="1300" t="s">
        <v>1098</v>
      </c>
      <c r="D3" s="1276"/>
      <c r="E3" s="2576"/>
      <c r="F3" s="1277"/>
      <c r="G3" s="2288"/>
      <c r="H3" s="676" t="s">
        <v>904</v>
      </c>
      <c r="I3" s="1275"/>
      <c r="J3" s="1275"/>
      <c r="K3" s="1299"/>
      <c r="L3" s="1275"/>
      <c r="M3" s="1275"/>
    </row>
    <row r="4" spans="1:37" ht="18" customHeight="1">
      <c r="A4" s="677" t="s">
        <v>905</v>
      </c>
      <c r="B4" s="678" t="s">
        <v>906</v>
      </c>
      <c r="C4" s="678" t="s">
        <v>907</v>
      </c>
      <c r="D4" s="678" t="s">
        <v>908</v>
      </c>
      <c r="E4" s="679" t="s">
        <v>909</v>
      </c>
      <c r="F4" s="680"/>
      <c r="G4" s="2289"/>
      <c r="H4" s="677" t="s">
        <v>905</v>
      </c>
      <c r="I4" s="678" t="s">
        <v>906</v>
      </c>
      <c r="J4" s="678" t="s">
        <v>907</v>
      </c>
      <c r="K4" s="678" t="s">
        <v>908</v>
      </c>
      <c r="L4" s="679" t="s">
        <v>909</v>
      </c>
      <c r="M4" s="680"/>
    </row>
    <row r="5" spans="1:37" ht="18" customHeight="1">
      <c r="A5" s="681">
        <v>1</v>
      </c>
      <c r="B5" s="682" t="s">
        <v>2334</v>
      </c>
      <c r="C5" s="2627">
        <f ca="1">C6+C10+C12</f>
        <v>0</v>
      </c>
      <c r="D5" s="2637" t="s">
        <v>2536</v>
      </c>
      <c r="E5" s="2628"/>
      <c r="F5" s="2629"/>
      <c r="G5" s="2289"/>
      <c r="H5" s="681">
        <v>1</v>
      </c>
      <c r="I5" s="682" t="s">
        <v>2334</v>
      </c>
      <c r="J5" s="2627">
        <f ca="1">J6+J10+J12</f>
        <v>0</v>
      </c>
      <c r="K5" s="2630" t="s">
        <v>2536</v>
      </c>
      <c r="L5" s="2628"/>
      <c r="M5" s="2629"/>
    </row>
    <row r="6" spans="1:37" ht="18" customHeight="1">
      <c r="A6" s="2623" t="s">
        <v>2375</v>
      </c>
      <c r="B6" s="3740" t="s">
        <v>2535</v>
      </c>
      <c r="C6" s="2632">
        <f ca="1">ROUND(F6*F8*F7*(1-F9),0)</f>
        <v>0</v>
      </c>
      <c r="D6" s="2626" t="s">
        <v>2537</v>
      </c>
      <c r="E6" s="684" t="s">
        <v>910</v>
      </c>
      <c r="F6" s="685">
        <f ca="1">INDIRECT("'数据-取费表'!u"&amp;$G$1)</f>
        <v>0</v>
      </c>
      <c r="G6" s="2289"/>
      <c r="H6" s="2623" t="s">
        <v>2375</v>
      </c>
      <c r="I6" s="3740" t="s">
        <v>2535</v>
      </c>
      <c r="J6" s="683">
        <f ca="1">ROUND(M6*M8*M7*(1-M9),0)</f>
        <v>0</v>
      </c>
      <c r="K6" s="2626" t="s">
        <v>2537</v>
      </c>
      <c r="L6" s="684" t="s">
        <v>910</v>
      </c>
      <c r="M6" s="685">
        <f ca="1">INDIRECT("'数据-取费表'!z"&amp;$G$1)</f>
        <v>0</v>
      </c>
    </row>
    <row r="7" spans="1:37" ht="18" customHeight="1">
      <c r="A7" s="2631"/>
      <c r="B7" s="3741"/>
      <c r="C7" s="2633"/>
      <c r="D7" s="2062"/>
      <c r="E7" s="2634" t="s">
        <v>911</v>
      </c>
      <c r="F7" s="685">
        <f ca="1">IF(INDIRECT("'数据-取费表'!ah"&amp;$G$1)="",INDIRECT("'数据-取费表'!k"&amp;$G$1),INDIRECT("'数据-取费表'!ah"&amp;$G$1))</f>
        <v>0</v>
      </c>
      <c r="G7" s="2289"/>
      <c r="H7" s="686"/>
      <c r="I7" s="3741"/>
      <c r="J7" s="688"/>
      <c r="K7" s="689"/>
      <c r="L7" s="684" t="s">
        <v>911</v>
      </c>
      <c r="M7" s="685">
        <f ca="1">F7</f>
        <v>0</v>
      </c>
    </row>
    <row r="8" spans="1:37" ht="18" customHeight="1">
      <c r="A8" s="686"/>
      <c r="B8" s="3741"/>
      <c r="C8" s="688"/>
      <c r="D8" s="689"/>
      <c r="E8" s="684" t="s">
        <v>912</v>
      </c>
      <c r="F8" s="685">
        <f ca="1">INDIRECT("'数据-取费表'!ai"&amp;$G$1)</f>
        <v>0</v>
      </c>
      <c r="G8" s="2289"/>
      <c r="H8" s="686"/>
      <c r="I8" s="3741"/>
      <c r="J8" s="688"/>
      <c r="K8" s="689"/>
      <c r="L8" s="684" t="s">
        <v>912</v>
      </c>
      <c r="M8" s="685">
        <f ca="1">INDIRECT("'数据-取费表'!ai"&amp;$G$1)</f>
        <v>0</v>
      </c>
    </row>
    <row r="9" spans="1:37" ht="18" customHeight="1">
      <c r="A9" s="686"/>
      <c r="B9" s="3742"/>
      <c r="C9" s="688"/>
      <c r="D9" s="689"/>
      <c r="E9" s="684" t="s">
        <v>913</v>
      </c>
      <c r="F9" s="694">
        <f ca="1">INDIRECT("'数据-取费表'!w"&amp;$G$1)</f>
        <v>0</v>
      </c>
      <c r="G9" s="2289"/>
      <c r="H9" s="686"/>
      <c r="I9" s="3742"/>
      <c r="J9" s="688"/>
      <c r="K9" s="689"/>
      <c r="L9" s="695" t="s">
        <v>913</v>
      </c>
      <c r="M9" s="696">
        <f ca="1">INDIRECT("'数据-取费表'!ab"&amp;$G$1)</f>
        <v>0</v>
      </c>
    </row>
    <row r="10" spans="1:37" ht="18" customHeight="1">
      <c r="A10" s="2623" t="s">
        <v>2382</v>
      </c>
      <c r="B10" s="2624" t="s">
        <v>2530</v>
      </c>
      <c r="C10" s="698">
        <f ca="1">ROUND(IF(F10="押一",F6*F8*F7/12*F11,IF(F10="押二",F6*F8*F7/12*2*F11,IF(F10="押三",F6*F8*F7/12*3*F11,C11*F11))),0)</f>
        <v>0</v>
      </c>
      <c r="D10" s="2635" t="s">
        <v>2538</v>
      </c>
      <c r="E10" s="2098" t="s">
        <v>2532</v>
      </c>
      <c r="F10" s="2832"/>
      <c r="G10" s="2289"/>
      <c r="H10" s="2623" t="s">
        <v>2382</v>
      </c>
      <c r="I10" s="2624" t="s">
        <v>2530</v>
      </c>
      <c r="J10" s="683">
        <f ca="1">ROUND(IF(M10="押一",M6*M8*M7/12*M11,IF(M10="押二",M6*M8*M7/12*2*M11,IF(M10="押三",M6*M8*M7/12*3*M11,J11*M11))),0)</f>
        <v>0</v>
      </c>
      <c r="K10" s="2635" t="s">
        <v>2538</v>
      </c>
      <c r="L10" s="2098" t="s">
        <v>2532</v>
      </c>
      <c r="M10" s="2832" t="s">
        <v>2694</v>
      </c>
    </row>
    <row r="11" spans="1:37" ht="18" customHeight="1">
      <c r="A11" s="690"/>
      <c r="B11" s="2625" t="s">
        <v>2540</v>
      </c>
      <c r="C11" s="2416"/>
      <c r="D11" s="689"/>
      <c r="E11" s="2098" t="s">
        <v>2533</v>
      </c>
      <c r="F11" s="696">
        <f ca="1">'数据-取费表'!B39</f>
        <v>1.4999999999999999E-2</v>
      </c>
      <c r="G11" s="2289"/>
      <c r="H11" s="2636"/>
      <c r="I11" s="2625" t="s">
        <v>2695</v>
      </c>
      <c r="J11" s="2416"/>
      <c r="K11" s="1281"/>
      <c r="L11" s="2098" t="s">
        <v>2533</v>
      </c>
      <c r="M11" s="2097">
        <f ca="1">'数据-取费表'!B39</f>
        <v>1.4999999999999999E-2</v>
      </c>
    </row>
    <row r="12" spans="1:37" ht="18" customHeight="1" thickBot="1">
      <c r="A12" s="2671" t="s">
        <v>2543</v>
      </c>
      <c r="B12" s="2672" t="s">
        <v>2531</v>
      </c>
      <c r="C12" s="2673"/>
      <c r="D12" s="2674"/>
      <c r="E12" s="2675"/>
      <c r="F12" s="2676"/>
      <c r="G12" s="2289"/>
      <c r="H12" s="2671" t="s">
        <v>2543</v>
      </c>
      <c r="I12" s="2672" t="s">
        <v>2531</v>
      </c>
      <c r="J12" s="2673"/>
      <c r="K12" s="2690"/>
      <c r="L12" s="2675"/>
      <c r="M12" s="2691"/>
    </row>
    <row r="13" spans="1:37" ht="18" customHeight="1" thickTop="1">
      <c r="A13" s="2667">
        <v>2</v>
      </c>
      <c r="B13" s="2668" t="s">
        <v>914</v>
      </c>
      <c r="C13" s="692">
        <f ca="1">ROUND(C29*F13,0)</f>
        <v>0</v>
      </c>
      <c r="D13" s="2669" t="s">
        <v>915</v>
      </c>
      <c r="E13" s="2669" t="s">
        <v>916</v>
      </c>
      <c r="F13" s="2670">
        <f ca="1">INDIRECT("'数据-取费表'!y"&amp;$G$1)</f>
        <v>0</v>
      </c>
      <c r="G13" s="2289"/>
      <c r="H13" s="2667">
        <v>2</v>
      </c>
      <c r="I13" s="2668" t="s">
        <v>914</v>
      </c>
      <c r="J13" s="2622">
        <f ca="1">ROUND(J14*J15,0)</f>
        <v>0</v>
      </c>
      <c r="K13" s="2677" t="s">
        <v>915</v>
      </c>
      <c r="L13" s="2688"/>
      <c r="M13" s="2689"/>
    </row>
    <row r="14" spans="1:37" ht="18" customHeight="1">
      <c r="A14" s="2439" t="s">
        <v>2372</v>
      </c>
      <c r="B14" s="684" t="s">
        <v>357</v>
      </c>
      <c r="C14" s="702">
        <f ca="1">ROUND(INDIRECT("'数据-取费表'!l"&amp;$G$1)*F43+'数据-取费表'!L14*INDIRECT("'数据-取费表'!S"&amp;$G$1),0)</f>
        <v>0</v>
      </c>
      <c r="D14" s="2720" t="s">
        <v>917</v>
      </c>
      <c r="E14" s="2719"/>
      <c r="F14" s="703"/>
      <c r="G14" s="2289"/>
      <c r="H14" s="2439" t="s">
        <v>2375</v>
      </c>
      <c r="I14" s="684" t="s">
        <v>918</v>
      </c>
      <c r="J14" s="313">
        <f ca="1">C29</f>
        <v>0</v>
      </c>
      <c r="K14" s="303"/>
      <c r="L14" s="700"/>
      <c r="M14" s="701"/>
    </row>
    <row r="15" spans="1:37" s="706" customFormat="1" ht="18" customHeight="1" thickBot="1">
      <c r="A15" s="2439" t="s">
        <v>2607</v>
      </c>
      <c r="B15" s="684" t="s">
        <v>358</v>
      </c>
      <c r="C15" s="313">
        <f ca="1">ROUND(C14*F15,0)</f>
        <v>0</v>
      </c>
      <c r="D15" s="704" t="s">
        <v>919</v>
      </c>
      <c r="E15" s="704" t="s">
        <v>363</v>
      </c>
      <c r="F15" s="705">
        <f>'数据-取费表'!B33</f>
        <v>0.1</v>
      </c>
      <c r="G15" s="2290"/>
      <c r="H15" s="2679" t="s">
        <v>2382</v>
      </c>
      <c r="I15" s="2680" t="s">
        <v>916</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2608</v>
      </c>
      <c r="B16" s="684" t="s">
        <v>359</v>
      </c>
      <c r="C16" s="313">
        <f ca="1">ROUND(INDIRECT("'数据-取费表'!l"&amp;$G$1)*F43*F16,0)</f>
        <v>0</v>
      </c>
      <c r="D16" s="684" t="s">
        <v>919</v>
      </c>
      <c r="E16" s="684" t="s">
        <v>363</v>
      </c>
      <c r="F16" s="707">
        <f ca="1">IF(INDIRECT("'数据-取费表'!c"&amp;$G$1)="住宅",'数据-取费表'!B34,0)</f>
        <v>0</v>
      </c>
      <c r="G16" s="2289"/>
      <c r="H16" s="2667" t="s">
        <v>2340</v>
      </c>
      <c r="I16" s="2668" t="s">
        <v>921</v>
      </c>
      <c r="J16" s="692">
        <f ca="1">ROUND(J17+J22+J23+J24,0)</f>
        <v>0</v>
      </c>
      <c r="K16" s="2677" t="s">
        <v>922</v>
      </c>
      <c r="L16" s="2678"/>
      <c r="M16" s="2629"/>
    </row>
    <row r="17" spans="1:37" s="706" customFormat="1" ht="18" customHeight="1">
      <c r="A17" s="2439" t="s">
        <v>2609</v>
      </c>
      <c r="B17" s="684" t="s">
        <v>360</v>
      </c>
      <c r="C17" s="313">
        <f ca="1">ROUND(F17*(F43+INDIRECT("'数据-取费表'!S"&amp;$G$1)),0)</f>
        <v>0</v>
      </c>
      <c r="D17" s="684" t="s">
        <v>923</v>
      </c>
      <c r="E17" s="684" t="s">
        <v>924</v>
      </c>
      <c r="F17" s="315">
        <f>'数据-取费表'!B35</f>
        <v>500</v>
      </c>
      <c r="G17" s="2290"/>
      <c r="H17" s="2439" t="s">
        <v>2375</v>
      </c>
      <c r="I17" s="684" t="s">
        <v>361</v>
      </c>
      <c r="J17" s="313">
        <f ca="1">ROUND(IF(项目基本情况!B11="自然人",J5*M17,J18+J19+J20),0)</f>
        <v>0</v>
      </c>
      <c r="K17" s="2720" t="s">
        <v>925</v>
      </c>
      <c r="L17" s="2721" t="s">
        <v>926</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2610</v>
      </c>
      <c r="B18" s="684" t="s">
        <v>362</v>
      </c>
      <c r="C18" s="313">
        <f ca="1">ROUND(C14*F18,0)</f>
        <v>0</v>
      </c>
      <c r="D18" s="684" t="s">
        <v>919</v>
      </c>
      <c r="E18" s="684" t="s">
        <v>363</v>
      </c>
      <c r="F18" s="707">
        <f>'数据-取费表'!B36</f>
        <v>1.4999999999999999E-2</v>
      </c>
      <c r="G18" s="2290"/>
      <c r="H18" s="2439" t="s">
        <v>2372</v>
      </c>
      <c r="I18" s="684" t="s">
        <v>927</v>
      </c>
      <c r="J18" s="313">
        <f ca="1">ROUND(J5*M18/(1+'数据-取费表'!C42),0)</f>
        <v>0</v>
      </c>
      <c r="K18" s="2721" t="s">
        <v>928</v>
      </c>
      <c r="L18" s="684" t="s">
        <v>363</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2375</v>
      </c>
      <c r="B19" s="684" t="s">
        <v>364</v>
      </c>
      <c r="C19" s="313">
        <f ca="1">SUM(C14:C18)</f>
        <v>0</v>
      </c>
      <c r="D19" s="471" t="s">
        <v>929</v>
      </c>
      <c r="E19" s="2723"/>
      <c r="F19" s="315"/>
      <c r="G19" s="2289"/>
      <c r="H19" s="2439" t="s">
        <v>2607</v>
      </c>
      <c r="I19" s="684" t="s">
        <v>930</v>
      </c>
      <c r="J19" s="313">
        <f ca="1">IF(K19="按租金收入计税",ROUND(J5*M19,0),ROUND(C29*M19*0.7,0))</f>
        <v>0</v>
      </c>
      <c r="K19" s="1301" t="s">
        <v>2415</v>
      </c>
      <c r="L19" s="684" t="s">
        <v>363</v>
      </c>
      <c r="M19" s="707">
        <f>IF(K19="按租金收入计税",'数据-取费表'!B51,'数据-取费表'!B50)</f>
        <v>1.2E-2</v>
      </c>
    </row>
    <row r="20" spans="1:37" s="706" customFormat="1" ht="18" customHeight="1">
      <c r="A20" s="2439" t="s">
        <v>2611</v>
      </c>
      <c r="B20" s="684" t="s">
        <v>365</v>
      </c>
      <c r="C20" s="313">
        <f ca="1">ROUND(C19*F20,0)</f>
        <v>0</v>
      </c>
      <c r="D20" s="709" t="s">
        <v>931</v>
      </c>
      <c r="E20" s="684" t="s">
        <v>363</v>
      </c>
      <c r="F20" s="707">
        <f>'数据-取费表'!B37</f>
        <v>0.03</v>
      </c>
      <c r="G20" s="2290"/>
      <c r="H20" s="2439" t="s">
        <v>2608</v>
      </c>
      <c r="I20" s="496" t="s">
        <v>932</v>
      </c>
      <c r="J20" s="314">
        <f ca="1">ROUND(M20*M21,0)</f>
        <v>0</v>
      </c>
      <c r="K20" s="710" t="s">
        <v>933</v>
      </c>
      <c r="L20" s="684" t="s">
        <v>934</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2612</v>
      </c>
      <c r="B21" s="684" t="s">
        <v>935</v>
      </c>
      <c r="C21" s="313" t="s">
        <v>23</v>
      </c>
      <c r="D21" s="709" t="s">
        <v>936</v>
      </c>
      <c r="E21" s="684" t="s">
        <v>937</v>
      </c>
      <c r="F21" s="707">
        <f>'数据-取费表'!B38</f>
        <v>0.03</v>
      </c>
      <c r="G21" s="2290"/>
      <c r="H21" s="712"/>
      <c r="I21" s="693"/>
      <c r="J21" s="318"/>
      <c r="K21" s="713"/>
      <c r="L21" s="684" t="s">
        <v>938</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2613</v>
      </c>
      <c r="B22" s="684" t="s">
        <v>939</v>
      </c>
      <c r="C22" s="313"/>
      <c r="D22" s="2702" t="str">
        <f>IF(F23&lt;=1,"单利计息。","复利计息。")&amp;"建造成本、管理费用、销售费用产生的利息。"</f>
        <v>复利计息。建造成本、管理费用、销售费用产生的利息。</v>
      </c>
      <c r="E22" s="2723"/>
      <c r="F22" s="315"/>
      <c r="G22" s="2289"/>
      <c r="H22" s="2439" t="s">
        <v>2382</v>
      </c>
      <c r="I22" s="684" t="s">
        <v>940</v>
      </c>
      <c r="J22" s="313">
        <f ca="1">ROUND(J14*M22,0)</f>
        <v>0</v>
      </c>
      <c r="K22" s="2721" t="s">
        <v>941</v>
      </c>
      <c r="L22" s="684" t="s">
        <v>363</v>
      </c>
      <c r="M22" s="714">
        <f ca="1">INDIRECT("'数据-取费表'!Ak"&amp;$G$1)</f>
        <v>0</v>
      </c>
    </row>
    <row r="23" spans="1:37" s="706" customFormat="1" ht="18" customHeight="1">
      <c r="A23" s="2439" t="s">
        <v>2372</v>
      </c>
      <c r="B23" s="684" t="s">
        <v>2527</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942</v>
      </c>
      <c r="F23" s="711">
        <f>'数据-取费表'!B20</f>
        <v>4</v>
      </c>
      <c r="G23" s="2290"/>
      <c r="H23" s="2439" t="s">
        <v>2612</v>
      </c>
      <c r="I23" s="684" t="s">
        <v>366</v>
      </c>
      <c r="J23" s="313">
        <f ca="1">ROUND(J13*M23,0)</f>
        <v>0</v>
      </c>
      <c r="K23" s="2721" t="s">
        <v>367</v>
      </c>
      <c r="L23" s="684" t="s">
        <v>363</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2378</v>
      </c>
      <c r="B24" s="684" t="s">
        <v>944</v>
      </c>
      <c r="C24" s="313">
        <f ca="1">ROUND(IF('数据-取费表'!B22&lt;=1,F21*F24*F23/2,F21*(POWER((1+F24),F23/2)-1)),4)</f>
        <v>2.8999999999999998E-3</v>
      </c>
      <c r="D24" s="2706" t="str">
        <f>IF(F23&lt;=1,"销售费用×利率×(建设周期÷2)","销售费用×((1+利率)^(建设周期÷2)-1)")</f>
        <v>销售费用×((1+利率)^(建设周期÷2)-1)</v>
      </c>
      <c r="E24" s="684" t="s">
        <v>945</v>
      </c>
      <c r="F24" s="717">
        <f ca="1">'数据-取费表'!B40</f>
        <v>4.7500000000000001E-2</v>
      </c>
      <c r="G24" s="2290"/>
      <c r="H24" s="2679" t="s">
        <v>2613</v>
      </c>
      <c r="I24" s="2680" t="s">
        <v>365</v>
      </c>
      <c r="J24" s="2681">
        <f ca="1">ROUND(J5*M24,0)</f>
        <v>0</v>
      </c>
      <c r="K24" s="2682" t="s">
        <v>369</v>
      </c>
      <c r="L24" s="2680" t="s">
        <v>363</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2379</v>
      </c>
      <c r="B25" s="684" t="s">
        <v>370</v>
      </c>
      <c r="C25" s="313"/>
      <c r="D25" s="471" t="s">
        <v>947</v>
      </c>
      <c r="E25" s="2723"/>
      <c r="F25" s="315"/>
      <c r="G25" s="2289"/>
      <c r="H25" s="2667" t="s">
        <v>2355</v>
      </c>
      <c r="I25" s="2684" t="s">
        <v>375</v>
      </c>
      <c r="J25" s="692">
        <f ca="1">J5-J16</f>
        <v>0</v>
      </c>
      <c r="K25" s="2685" t="s">
        <v>376</v>
      </c>
      <c r="L25" s="2686"/>
      <c r="M25" s="2687"/>
    </row>
    <row r="26" spans="1:37" ht="18" customHeight="1">
      <c r="A26" s="2439" t="s">
        <v>2372</v>
      </c>
      <c r="B26" s="684" t="s">
        <v>2528</v>
      </c>
      <c r="C26" s="313">
        <f ca="1">ROUND((C19+C20)*F26,0)</f>
        <v>0</v>
      </c>
      <c r="D26" s="709" t="s">
        <v>950</v>
      </c>
      <c r="E26" s="695" t="s">
        <v>951</v>
      </c>
      <c r="F26" s="694">
        <f ca="1">INDIRECT("'数据-取费表'!q"&amp;$G$1)</f>
        <v>0</v>
      </c>
      <c r="G26" s="2289"/>
      <c r="H26" s="681" t="s">
        <v>2358</v>
      </c>
      <c r="I26" s="682" t="s">
        <v>952</v>
      </c>
      <c r="J26" s="683">
        <f ca="1">IF(J5&lt;&gt;0,ROUND(J25*(1-((1+M28)/(1+M26))^M27)/(M26-M28),0),0)</f>
        <v>0</v>
      </c>
      <c r="K26" s="710" t="s">
        <v>371</v>
      </c>
      <c r="L26" s="684" t="s">
        <v>372</v>
      </c>
      <c r="M26" s="694">
        <f ca="1">INDIRECT("'数据-取费表'!I"&amp;$G$1)</f>
        <v>0</v>
      </c>
    </row>
    <row r="27" spans="1:37" ht="18" customHeight="1">
      <c r="A27" s="2439" t="s">
        <v>2378</v>
      </c>
      <c r="B27" s="684" t="s">
        <v>373</v>
      </c>
      <c r="C27" s="313">
        <f ca="1">ROUND(F21*F26,4)</f>
        <v>0</v>
      </c>
      <c r="D27" s="709" t="s">
        <v>954</v>
      </c>
      <c r="E27" s="704"/>
      <c r="F27" s="705"/>
      <c r="G27" s="2289"/>
      <c r="H27" s="686"/>
      <c r="I27" s="687"/>
      <c r="J27" s="688"/>
      <c r="K27" s="718" t="s">
        <v>955</v>
      </c>
      <c r="L27" s="684" t="s">
        <v>379</v>
      </c>
      <c r="M27" s="719">
        <f ca="1">INDIRECT("'数据-取费表'!ag"&amp;$G$1)</f>
        <v>0</v>
      </c>
    </row>
    <row r="28" spans="1:37" s="706" customFormat="1" ht="18" customHeight="1">
      <c r="A28" s="2439" t="s">
        <v>2380</v>
      </c>
      <c r="B28" s="684" t="s">
        <v>374</v>
      </c>
      <c r="C28" s="313">
        <f>ROUND(F28/(1+'数据-取费表'!C42),4)</f>
        <v>5.2400000000000002E-2</v>
      </c>
      <c r="D28" s="709" t="s">
        <v>961</v>
      </c>
      <c r="E28" s="684" t="s">
        <v>363</v>
      </c>
      <c r="F28" s="707">
        <f>'数据-取费表'!B41</f>
        <v>5.5000000000000007E-2</v>
      </c>
      <c r="G28" s="2290"/>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2381</v>
      </c>
      <c r="B29" s="2680" t="s">
        <v>963</v>
      </c>
      <c r="C29" s="2681">
        <f ca="1">ROUND((C19+C20+C23+C26)/(1-F21-C24-C27-C28),0)</f>
        <v>0</v>
      </c>
      <c r="D29" s="2682"/>
      <c r="E29" s="2680"/>
      <c r="F29" s="2683"/>
      <c r="G29" s="2290"/>
      <c r="H29" s="720" t="s">
        <v>2365</v>
      </c>
      <c r="I29" s="721" t="s">
        <v>956</v>
      </c>
      <c r="J29" s="722">
        <f ca="1">ROUND(J26/(1+F40)^F41,0)</f>
        <v>0</v>
      </c>
      <c r="K29" s="723" t="s">
        <v>957</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2340</v>
      </c>
      <c r="B30" s="2668" t="s">
        <v>921</v>
      </c>
      <c r="C30" s="692">
        <f ca="1">ROUND(C31+C36+C37+C38,0)</f>
        <v>0</v>
      </c>
      <c r="D30" s="2677" t="s">
        <v>922</v>
      </c>
      <c r="E30" s="2678"/>
      <c r="F30" s="2629"/>
      <c r="G30" s="2289"/>
      <c r="H30" s="1278"/>
      <c r="I30" s="1279"/>
      <c r="J30" s="1280"/>
      <c r="K30" s="1281"/>
      <c r="L30" s="1282"/>
      <c r="M30" s="1283"/>
    </row>
    <row r="31" spans="1:37" ht="18" customHeight="1">
      <c r="A31" s="2439" t="s">
        <v>2375</v>
      </c>
      <c r="B31" s="684" t="s">
        <v>361</v>
      </c>
      <c r="C31" s="313">
        <f ca="1">ROUND(IF(项目基本情况!B11="自然人",C5*F31,C32+C33+C34),0)</f>
        <v>0</v>
      </c>
      <c r="D31" s="2720" t="s">
        <v>925</v>
      </c>
      <c r="E31" s="2721" t="s">
        <v>964</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2372</v>
      </c>
      <c r="B32" s="684" t="s">
        <v>927</v>
      </c>
      <c r="C32" s="313">
        <f ca="1">IF(项目基本情况!B11="自然人","——",ROUND(C5*F32/(1+'数据-取费表'!C42),0))</f>
        <v>0</v>
      </c>
      <c r="D32" s="2721" t="s">
        <v>928</v>
      </c>
      <c r="E32" s="684" t="s">
        <v>363</v>
      </c>
      <c r="F32" s="717">
        <f>'数据-取费表'!B41</f>
        <v>5.5000000000000007E-2</v>
      </c>
      <c r="G32" s="2289"/>
      <c r="H32" s="1284"/>
      <c r="I32" s="1285"/>
      <c r="J32" s="1286"/>
      <c r="K32" s="1287"/>
      <c r="L32" s="1288"/>
      <c r="M32" s="1289"/>
    </row>
    <row r="33" spans="1:18" ht="18" customHeight="1">
      <c r="A33" s="2439" t="s">
        <v>2607</v>
      </c>
      <c r="B33" s="684" t="s">
        <v>930</v>
      </c>
      <c r="C33" s="313">
        <f ca="1">IF(项目基本情况!B11="自然人","——",IF(D33="按租金收入计税",ROUND(C5*F33,0),IF(D33="按房产原值计税",ROUND(C29*F33*0.7,0),INDIRECT("'数据-取费表'!Aj"&amp;$G$1))))</f>
        <v>0</v>
      </c>
      <c r="D33" s="1301" t="s">
        <v>2415</v>
      </c>
      <c r="E33" s="684" t="s">
        <v>363</v>
      </c>
      <c r="F33" s="707">
        <f>IF(D33="按票据","——",IF(D33="按租金收入计税",'数据-取费表'!B51,'数据-取费表'!B50))</f>
        <v>1.2E-2</v>
      </c>
      <c r="G33" s="2289"/>
      <c r="H33" s="1290"/>
      <c r="I33" s="2885"/>
      <c r="J33" s="2886"/>
      <c r="K33" s="1291"/>
      <c r="L33" s="1290"/>
      <c r="M33" s="1290"/>
    </row>
    <row r="34" spans="1:18" ht="18" customHeight="1">
      <c r="A34" s="2623" t="s">
        <v>2608</v>
      </c>
      <c r="B34" s="496" t="s">
        <v>932</v>
      </c>
      <c r="C34" s="314">
        <f ca="1">IF(项目基本情况!B11="自然人","——",ROUND(F34*F35,))</f>
        <v>0</v>
      </c>
      <c r="D34" s="710" t="s">
        <v>933</v>
      </c>
      <c r="E34" s="684" t="s">
        <v>934</v>
      </c>
      <c r="F34" s="711">
        <f>'数据-取费表'!B52</f>
        <v>1.5</v>
      </c>
      <c r="G34" s="2289"/>
      <c r="H34" s="1278"/>
      <c r="I34" s="2885"/>
      <c r="J34" s="2886"/>
      <c r="K34" s="1292"/>
      <c r="L34" s="1293"/>
      <c r="M34" s="1293"/>
    </row>
    <row r="35" spans="1:18" ht="18" customHeight="1">
      <c r="A35" s="2697"/>
      <c r="B35" s="2695"/>
      <c r="C35" s="318"/>
      <c r="D35" s="713"/>
      <c r="E35" s="684" t="s">
        <v>938</v>
      </c>
      <c r="F35" s="685">
        <f ca="1">INDIRECT("'数据-取费表'!r"&amp;$G$1)</f>
        <v>0</v>
      </c>
      <c r="G35" s="2289"/>
      <c r="H35" s="1278"/>
      <c r="I35" s="2885"/>
      <c r="J35" s="2886"/>
      <c r="K35" s="1291"/>
      <c r="L35" s="1290"/>
      <c r="M35" s="1290"/>
    </row>
    <row r="36" spans="1:18" ht="18" customHeight="1">
      <c r="A36" s="2696" t="s">
        <v>2382</v>
      </c>
      <c r="B36" s="684" t="s">
        <v>940</v>
      </c>
      <c r="C36" s="313">
        <f ca="1">ROUND(C29*F36,0)</f>
        <v>0</v>
      </c>
      <c r="D36" s="2721" t="s">
        <v>970</v>
      </c>
      <c r="E36" s="684" t="s">
        <v>363</v>
      </c>
      <c r="F36" s="714">
        <f ca="1">INDIRECT("'数据-取费表'!Ak"&amp;$G$1)</f>
        <v>0</v>
      </c>
      <c r="G36" s="2289"/>
      <c r="H36" s="1290"/>
      <c r="I36" s="2885"/>
      <c r="J36" s="2886"/>
      <c r="K36" s="1294"/>
      <c r="L36" s="1290"/>
      <c r="M36" s="1290"/>
    </row>
    <row r="37" spans="1:18" ht="18" customHeight="1">
      <c r="A37" s="2439" t="s">
        <v>2612</v>
      </c>
      <c r="B37" s="684" t="s">
        <v>366</v>
      </c>
      <c r="C37" s="313">
        <f ca="1">ROUND(C13*F37,0)</f>
        <v>0</v>
      </c>
      <c r="D37" s="2721" t="s">
        <v>367</v>
      </c>
      <c r="E37" s="684" t="s">
        <v>363</v>
      </c>
      <c r="F37" s="716">
        <f ca="1">INDIRECT("'数据-取费表'!Al"&amp;$G$1)</f>
        <v>0</v>
      </c>
      <c r="G37" s="2289"/>
      <c r="H37" s="1290"/>
      <c r="I37" s="2885"/>
      <c r="J37" s="2886"/>
      <c r="K37" s="1294"/>
      <c r="L37" s="1290"/>
      <c r="M37" s="1290"/>
    </row>
    <row r="38" spans="1:18" ht="18" customHeight="1" thickBot="1">
      <c r="A38" s="2679" t="s">
        <v>2613</v>
      </c>
      <c r="B38" s="2680" t="s">
        <v>365</v>
      </c>
      <c r="C38" s="2681">
        <f ca="1">ROUND(C5*F38,1)</f>
        <v>0</v>
      </c>
      <c r="D38" s="2682" t="s">
        <v>369</v>
      </c>
      <c r="E38" s="2680" t="s">
        <v>363</v>
      </c>
      <c r="F38" s="2676">
        <f ca="1">INDIRECT("'数据-取费表'!Am"&amp;$G$1)</f>
        <v>0</v>
      </c>
      <c r="G38" s="2289"/>
      <c r="H38" s="1290"/>
      <c r="I38" s="2885"/>
      <c r="J38" s="2886"/>
      <c r="K38" s="1295"/>
      <c r="L38" s="1290"/>
      <c r="M38" s="1290"/>
    </row>
    <row r="39" spans="1:18" ht="24.6" customHeight="1" thickTop="1">
      <c r="A39" s="2667" t="s">
        <v>2355</v>
      </c>
      <c r="B39" s="2684" t="s">
        <v>375</v>
      </c>
      <c r="C39" s="692">
        <f ca="1">C5-C30</f>
        <v>0</v>
      </c>
      <c r="D39" s="2685" t="s">
        <v>376</v>
      </c>
      <c r="E39" s="2686"/>
      <c r="F39" s="2687"/>
      <c r="G39" s="2289"/>
      <c r="H39" s="1290"/>
      <c r="I39" s="2885"/>
      <c r="J39" s="2886"/>
      <c r="K39" s="1295"/>
      <c r="L39" s="1290"/>
      <c r="M39" s="1290"/>
    </row>
    <row r="40" spans="1:18" ht="18" customHeight="1">
      <c r="A40" s="681" t="s">
        <v>2358</v>
      </c>
      <c r="B40" s="682" t="s">
        <v>377</v>
      </c>
      <c r="C40" s="683" t="e">
        <f ca="1">ROUND(C39*(1-((1+F42)/(1+F40))^F41)/(F40-F42),0)</f>
        <v>#DIV/0!</v>
      </c>
      <c r="D40" s="710" t="s">
        <v>371</v>
      </c>
      <c r="E40" s="684" t="s">
        <v>372</v>
      </c>
      <c r="F40" s="694">
        <f ca="1">INDIRECT("'数据-取费表'!I"&amp;$G$1)</f>
        <v>0</v>
      </c>
      <c r="G40" s="2289"/>
      <c r="H40" s="1296"/>
      <c r="I40" s="2885"/>
      <c r="J40" s="2886"/>
      <c r="K40" s="1295"/>
      <c r="L40" s="1296"/>
      <c r="M40" s="1296"/>
    </row>
    <row r="41" spans="1:18" ht="18" customHeight="1">
      <c r="A41" s="686"/>
      <c r="B41" s="687"/>
      <c r="C41" s="688"/>
      <c r="D41" s="718" t="s">
        <v>378</v>
      </c>
      <c r="E41" s="684" t="s">
        <v>379</v>
      </c>
      <c r="F41" s="719">
        <f ca="1">IF(INDIRECT("'数据-取费表'!af"&amp;$G$1)=0,INDIRECT("'数据-取费表'!ae"&amp;$G$1),INDIRECT("'数据-取费表'!af"&amp;$G$1))</f>
        <v>0</v>
      </c>
      <c r="G41" s="2289"/>
      <c r="H41" s="1192"/>
      <c r="I41" s="2885"/>
      <c r="J41" s="2886"/>
      <c r="K41" s="1294"/>
      <c r="L41" s="1192"/>
      <c r="M41" s="1192"/>
    </row>
    <row r="42" spans="1:18" ht="18" customHeight="1">
      <c r="A42" s="690"/>
      <c r="B42" s="691"/>
      <c r="C42" s="692"/>
      <c r="D42" s="713"/>
      <c r="E42" s="684" t="s">
        <v>380</v>
      </c>
      <c r="F42" s="694">
        <f ca="1">INDIRECT("'数据-取费表'!v"&amp;$G$1)</f>
        <v>0</v>
      </c>
      <c r="G42" s="2289"/>
      <c r="H42" s="1192"/>
      <c r="I42" s="2885"/>
      <c r="J42" s="2886"/>
      <c r="K42" s="1294"/>
      <c r="L42" s="1192"/>
      <c r="M42" s="1192"/>
    </row>
    <row r="43" spans="1:18" ht="18" customHeight="1" thickBot="1">
      <c r="A43" s="720" t="s">
        <v>2365</v>
      </c>
      <c r="B43" s="721" t="s">
        <v>381</v>
      </c>
      <c r="C43" s="722" t="e">
        <f ca="1">ROUND(C40/F43,0)</f>
        <v>#DIV/0!</v>
      </c>
      <c r="D43" s="723" t="s">
        <v>382</v>
      </c>
      <c r="E43" s="724" t="s">
        <v>383</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2623</v>
      </c>
      <c r="E45" s="1433"/>
      <c r="F45" s="1433"/>
      <c r="O45" s="2592" t="s">
        <v>2488</v>
      </c>
      <c r="P45" s="1296"/>
      <c r="Q45" s="1296"/>
      <c r="R45" s="1296"/>
    </row>
    <row r="46" spans="1:18" s="1455" customFormat="1" ht="21" thickBot="1">
      <c r="A46" s="2397" t="s">
        <v>2327</v>
      </c>
      <c r="B46" s="2398"/>
      <c r="C46" s="2726" t="e">
        <f ca="1">ROUND(C45/10000,0)</f>
        <v>#DIV/0!</v>
      </c>
      <c r="D46" s="2727" t="str">
        <f>C2</f>
        <v>万元</v>
      </c>
      <c r="I46" s="2579" t="s">
        <v>2423</v>
      </c>
      <c r="J46" s="2580"/>
      <c r="K46" s="2581"/>
      <c r="L46" s="2583" t="e">
        <f ca="1">IF(M47="住宅",0,IF(L48&gt;J51,L60,J60))</f>
        <v>#DIV/0!</v>
      </c>
      <c r="O46" s="2595" t="s">
        <v>2466</v>
      </c>
      <c r="P46" s="2596" t="s">
        <v>2467</v>
      </c>
      <c r="Q46" s="2597" t="s">
        <v>2465</v>
      </c>
      <c r="R46" s="2597" t="s">
        <v>2468</v>
      </c>
    </row>
    <row r="47" spans="1:18" s="1455" customFormat="1" ht="15.75" thickBot="1">
      <c r="A47" s="2399" t="s">
        <v>905</v>
      </c>
      <c r="B47" s="2435" t="s">
        <v>906</v>
      </c>
      <c r="C47" s="2435" t="s">
        <v>907</v>
      </c>
      <c r="D47" s="2435" t="s">
        <v>908</v>
      </c>
      <c r="E47" s="2538" t="s">
        <v>909</v>
      </c>
      <c r="F47" s="2539"/>
      <c r="G47" s="1457"/>
      <c r="I47" s="2554" t="s">
        <v>2416</v>
      </c>
      <c r="J47" s="2555"/>
      <c r="K47" s="2564" t="s">
        <v>2439</v>
      </c>
      <c r="L47" s="2565">
        <f ca="1">INDIRECT("'数据-取费表'!d"&amp;$G$1)</f>
        <v>0</v>
      </c>
      <c r="M47" s="2585" t="str">
        <f>IF(ISNUMBER(FIND("住宅",C1)),"住宅","非住宅")</f>
        <v>非住宅</v>
      </c>
      <c r="O47" s="2588" t="s">
        <v>2451</v>
      </c>
      <c r="P47" s="2598" t="s">
        <v>2469</v>
      </c>
      <c r="Q47" s="2589" t="e">
        <f ca="1">C40+J29</f>
        <v>#DIV/0!</v>
      </c>
      <c r="R47" s="2589" t="s">
        <v>2470</v>
      </c>
    </row>
    <row r="48" spans="1:18" s="1455" customFormat="1" ht="47.25" thickBot="1">
      <c r="A48" s="2712" t="s">
        <v>2618</v>
      </c>
      <c r="B48" s="682" t="s">
        <v>2334</v>
      </c>
      <c r="C48" s="2722">
        <f ca="1">C49+C53+C55</f>
        <v>0</v>
      </c>
      <c r="D48" s="2716"/>
      <c r="E48" s="2717"/>
      <c r="F48" s="2419"/>
      <c r="G48" s="1457"/>
      <c r="H48" s="1458"/>
      <c r="I48" s="2545" t="s">
        <v>2417</v>
      </c>
      <c r="J48" s="2556"/>
      <c r="K48" s="2566" t="s">
        <v>681</v>
      </c>
      <c r="L48" s="2169">
        <f ca="1">INDIRECT("'数据-取费表'!f"&amp;$G$1)</f>
        <v>0</v>
      </c>
      <c r="O48" s="2588" t="s">
        <v>2452</v>
      </c>
      <c r="P48" s="2598" t="s">
        <v>2471</v>
      </c>
      <c r="Q48" s="2589" t="e">
        <f ca="1">J60</f>
        <v>#DIV/0!</v>
      </c>
      <c r="R48" s="2589" t="s">
        <v>2479</v>
      </c>
    </row>
    <row r="49" spans="1:18" s="1455" customFormat="1" ht="15.75" thickBot="1">
      <c r="A49" s="2432" t="s">
        <v>2619</v>
      </c>
      <c r="B49" s="2715" t="s">
        <v>2621</v>
      </c>
      <c r="C49" s="2724">
        <f ca="1">ROUND(F49*F51*F50*(1-F52),0)</f>
        <v>0</v>
      </c>
      <c r="D49" s="2534" t="s">
        <v>2335</v>
      </c>
      <c r="E49" s="2537" t="s">
        <v>2328</v>
      </c>
      <c r="F49" s="2540"/>
      <c r="G49" s="1459"/>
      <c r="H49" s="1458"/>
      <c r="I49" s="2545" t="s">
        <v>2437</v>
      </c>
      <c r="J49" s="2557"/>
      <c r="K49" s="2567" t="s">
        <v>2442</v>
      </c>
      <c r="L49" s="2568"/>
      <c r="O49" s="2590" t="s">
        <v>2453</v>
      </c>
      <c r="P49" s="2598" t="s">
        <v>2472</v>
      </c>
      <c r="Q49" s="2589">
        <f ca="1">C29</f>
        <v>0</v>
      </c>
      <c r="R49" s="2589" t="s">
        <v>2470</v>
      </c>
    </row>
    <row r="50" spans="1:18" s="1455" customFormat="1" ht="15.75" thickBot="1">
      <c r="A50" s="2433"/>
      <c r="B50" s="2436"/>
      <c r="C50" s="2437"/>
      <c r="D50" s="2406"/>
      <c r="E50" s="2535" t="s">
        <v>911</v>
      </c>
      <c r="F50" s="2536">
        <f ca="1">F7</f>
        <v>0</v>
      </c>
      <c r="H50" s="1458"/>
      <c r="I50" s="2545" t="s">
        <v>2419</v>
      </c>
      <c r="J50" s="2558">
        <f>SUMPRODUCT((I63:I65=J47)*(J62:L62=J48)*(J63:L65))</f>
        <v>0</v>
      </c>
      <c r="K50" s="2567" t="s">
        <v>2443</v>
      </c>
      <c r="L50" s="2568"/>
      <c r="M50" s="2562"/>
      <c r="O50" s="2590" t="s">
        <v>2454</v>
      </c>
      <c r="P50" s="2598" t="s">
        <v>2480</v>
      </c>
      <c r="Q50" s="2591" t="e">
        <f ca="1">J58</f>
        <v>#DIV/0!</v>
      </c>
      <c r="R50" s="2589"/>
    </row>
    <row r="51" spans="1:18" s="1455" customFormat="1" ht="15.75" thickBot="1">
      <c r="A51" s="2434"/>
      <c r="B51" s="2436"/>
      <c r="C51" s="2437"/>
      <c r="D51" s="2406"/>
      <c r="E51" s="2438" t="s">
        <v>912</v>
      </c>
      <c r="F51" s="685">
        <f ca="1">F8</f>
        <v>0</v>
      </c>
      <c r="I51" s="2559" t="s">
        <v>2424</v>
      </c>
      <c r="J51" s="2560">
        <f>IF(J49="",J50,J49+J50-YEAR('数据-取费表'!B2))</f>
        <v>0</v>
      </c>
      <c r="K51" s="2569" t="s">
        <v>2444</v>
      </c>
      <c r="L51" s="2582">
        <f ca="1">ROUND(-PV(INDIRECT("'数据-取费表'!h"&amp;$G$1),L48,(C39-C13*C76),0),0)</f>
        <v>0</v>
      </c>
      <c r="M51" s="2563"/>
      <c r="O51" s="2590" t="s">
        <v>2455</v>
      </c>
      <c r="P51" s="2598" t="s">
        <v>2481</v>
      </c>
      <c r="Q51" s="2591">
        <f>J52</f>
        <v>0</v>
      </c>
      <c r="R51" s="2589"/>
    </row>
    <row r="52" spans="1:18" s="1455" customFormat="1" ht="15.75" thickBot="1">
      <c r="A52" s="2434"/>
      <c r="B52" s="2436"/>
      <c r="C52" s="2437"/>
      <c r="D52" s="2406"/>
      <c r="E52" s="2438" t="s">
        <v>913</v>
      </c>
      <c r="F52" s="2533"/>
      <c r="I52" s="2561" t="s">
        <v>2447</v>
      </c>
      <c r="J52" s="2575"/>
      <c r="K52" s="2561" t="s">
        <v>2432</v>
      </c>
      <c r="L52" s="2575"/>
      <c r="M52" s="2398"/>
      <c r="O52" s="2590" t="s">
        <v>2456</v>
      </c>
      <c r="P52" s="2598" t="s">
        <v>2473</v>
      </c>
      <c r="Q52" s="2589">
        <f ca="1">J53</f>
        <v>0</v>
      </c>
      <c r="R52" s="2589" t="s">
        <v>2474</v>
      </c>
    </row>
    <row r="53" spans="1:18" s="1455" customFormat="1" ht="43.5" thickBot="1">
      <c r="A53" s="2713" t="s">
        <v>2620</v>
      </c>
      <c r="B53" s="2714" t="s">
        <v>2530</v>
      </c>
      <c r="C53" s="698">
        <f ca="1">ROUND(IF(F53="押一",F49*F51*F50/12*F11,IF(F53="押二",F49*F51*F50/12*2*F11,IF(F53="押三",F49*F51*F50/12*3*F11,C54*F11))),0)</f>
        <v>0</v>
      </c>
      <c r="D53" s="2635" t="s">
        <v>2538</v>
      </c>
      <c r="E53" s="2098" t="s">
        <v>2532</v>
      </c>
      <c r="F53" s="2832"/>
      <c r="I53" s="2571" t="s">
        <v>2449</v>
      </c>
      <c r="J53" s="2572">
        <f ca="1">IF(M47="住宅",J51,MIN(J51,L48))</f>
        <v>0</v>
      </c>
      <c r="K53" s="37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39"/>
      <c r="O53" s="2588" t="s">
        <v>2457</v>
      </c>
      <c r="P53" s="2598" t="s">
        <v>2475</v>
      </c>
      <c r="Q53" s="2589" t="e">
        <f ca="1">Q47+Q48</f>
        <v>#DIV/0!</v>
      </c>
      <c r="R53" s="2589" t="s">
        <v>2458</v>
      </c>
    </row>
    <row r="54" spans="1:18" s="1455" customFormat="1" ht="16.5" thickBot="1">
      <c r="A54" s="2432"/>
      <c r="B54" s="2829" t="s">
        <v>2695</v>
      </c>
      <c r="C54" s="2416"/>
      <c r="D54" s="2635"/>
      <c r="E54" s="2779"/>
      <c r="F54" s="2541"/>
      <c r="I54" s="2413"/>
      <c r="J54" s="2570"/>
      <c r="K54" s="2570"/>
      <c r="L54" s="2570"/>
      <c r="M54" s="1459"/>
      <c r="O54" s="2592" t="s">
        <v>2482</v>
      </c>
      <c r="P54" s="1296"/>
      <c r="Q54" s="1296"/>
      <c r="R54" s="1296"/>
    </row>
    <row r="55" spans="1:18" s="1455" customFormat="1" ht="15.75" thickBot="1">
      <c r="A55" s="2671" t="s">
        <v>2543</v>
      </c>
      <c r="B55" s="2672" t="s">
        <v>2531</v>
      </c>
      <c r="C55" s="2673"/>
      <c r="D55" s="2635"/>
      <c r="E55" s="2718"/>
      <c r="F55" s="2541"/>
      <c r="I55" s="3320" t="s">
        <v>2425</v>
      </c>
      <c r="J55" s="3319" t="e">
        <f ca="1">ROUND(IF(J47="钢混",J57/J50,1-(1-2%)*(J50-J57)/J50),3)</f>
        <v>#DIV/0!</v>
      </c>
      <c r="K55" s="2552" t="s">
        <v>2426</v>
      </c>
      <c r="L55" s="2574"/>
      <c r="O55" s="2595" t="s">
        <v>2466</v>
      </c>
      <c r="P55" s="2596" t="s">
        <v>2467</v>
      </c>
      <c r="Q55" s="2597" t="s">
        <v>2465</v>
      </c>
      <c r="R55" s="2597" t="s">
        <v>2468</v>
      </c>
    </row>
    <row r="56" spans="1:18" s="1455" customFormat="1" ht="44.25" thickTop="1" thickBot="1">
      <c r="A56" s="2410">
        <v>2</v>
      </c>
      <c r="B56" s="2411" t="s">
        <v>914</v>
      </c>
      <c r="C56" s="608">
        <f ca="1">C13</f>
        <v>0</v>
      </c>
      <c r="D56" s="2699"/>
      <c r="E56" s="2412"/>
      <c r="F56" s="2541"/>
      <c r="I56" s="2544" t="s">
        <v>2427</v>
      </c>
      <c r="J56" s="2573"/>
      <c r="K56" s="2545" t="s">
        <v>2431</v>
      </c>
      <c r="L56" s="2169">
        <f ca="1">IF(L48&lt;J51,"——",L48-J51)</f>
        <v>0</v>
      </c>
      <c r="O56" s="2588" t="s">
        <v>2451</v>
      </c>
      <c r="P56" s="2598" t="s">
        <v>2469</v>
      </c>
      <c r="Q56" s="2589" t="e">
        <f ca="1">C40+J29</f>
        <v>#DIV/0!</v>
      </c>
      <c r="R56" s="2589" t="s">
        <v>2470</v>
      </c>
    </row>
    <row r="57" spans="1:18" s="1455" customFormat="1" ht="29.25" thickBot="1">
      <c r="A57" s="2542"/>
      <c r="B57" s="2403" t="s">
        <v>963</v>
      </c>
      <c r="C57" s="614">
        <f ca="1">C29</f>
        <v>0</v>
      </c>
      <c r="D57" s="2414"/>
      <c r="E57" s="2415"/>
      <c r="F57" s="2543"/>
      <c r="I57" s="2546" t="s">
        <v>2448</v>
      </c>
      <c r="J57" s="2550">
        <f ca="1">IF(OR(M47="住宅",J51&lt;L48,J56="是"),"——",J51-L48)</f>
        <v>0</v>
      </c>
      <c r="K57" s="2545" t="s">
        <v>2441</v>
      </c>
      <c r="L57" s="2169">
        <f ca="1">IF(L48&lt;J51,"——",IF(L55="比较法",L49,IF(L55="基准地价",L50,L51)))</f>
        <v>0</v>
      </c>
      <c r="O57" s="2588" t="s">
        <v>2452</v>
      </c>
      <c r="P57" s="2598" t="s">
        <v>2476</v>
      </c>
      <c r="Q57" s="2589" t="e">
        <f ca="1">L60</f>
        <v>#DIV/0!</v>
      </c>
      <c r="R57" s="2589" t="s">
        <v>2491</v>
      </c>
    </row>
    <row r="58" spans="1:18" s="1455" customFormat="1" ht="29.25" thickBot="1">
      <c r="A58" s="697" t="s">
        <v>2340</v>
      </c>
      <c r="B58" s="2411" t="s">
        <v>921</v>
      </c>
      <c r="C58" s="698">
        <f ca="1">ROUND(C59+C64+C65+C66,0)</f>
        <v>0</v>
      </c>
      <c r="D58" s="2417" t="s">
        <v>922</v>
      </c>
      <c r="E58" s="2418"/>
      <c r="F58" s="2419"/>
      <c r="I58" s="2546" t="s">
        <v>2428</v>
      </c>
      <c r="J58" s="3321" t="e">
        <f ca="1">IF(J55&lt;0.4,0.4,J55)</f>
        <v>#DIV/0!</v>
      </c>
      <c r="K58" s="2569" t="s">
        <v>2450</v>
      </c>
      <c r="L58" s="2169">
        <f ca="1">IF(ISERROR(POWER(1+L52,L47-L48)*(POWER(1+L52,L48)-1)/(POWER(1+L52,L47)-1)),0,POWER(1+L52,L47-L48)*(POWER(1+L52,L48)-1)/(POWER(1+L52,L47)-1))</f>
        <v>0</v>
      </c>
      <c r="O58" s="2590" t="s">
        <v>2453</v>
      </c>
      <c r="P58" s="2598" t="s">
        <v>2483</v>
      </c>
      <c r="Q58" s="2589">
        <f>IF(L55="比较法",L49,IF(L55="基准地价",L50,0))</f>
        <v>0</v>
      </c>
      <c r="R58" s="2589" t="s">
        <v>2470</v>
      </c>
    </row>
    <row r="59" spans="1:18" s="1455" customFormat="1" ht="29.25" thickBot="1">
      <c r="A59" s="2439" t="s">
        <v>2375</v>
      </c>
      <c r="B59" s="2403" t="s">
        <v>361</v>
      </c>
      <c r="C59" s="313">
        <f ca="1">ROUND(IF(项目基本情况!B11="自然人",C48*F59,C60+C61+C62),0)</f>
        <v>0</v>
      </c>
      <c r="D59" s="2420" t="s">
        <v>925</v>
      </c>
      <c r="E59" s="2421" t="s">
        <v>926</v>
      </c>
      <c r="F59" s="708" t="str">
        <f ca="1">IF(项目基本情况!B11="企业","",IF(INDIRECT("'数据-取费表'!c"&amp;$G$1)="住宅",5%,IF(F49*F50*F51/12/(1+'数据-取费表'!C42)&gt;20000,12%,7%)))</f>
        <v/>
      </c>
      <c r="I59" s="2546" t="s">
        <v>2429</v>
      </c>
      <c r="J59" s="2550" t="e">
        <f ca="1">IF(OR(M47="住宅",J51&lt;L48,J56="是"),"——",ROUND(C29*J58,0))</f>
        <v>#DIV/0!</v>
      </c>
      <c r="K59" s="2569" t="s">
        <v>2438</v>
      </c>
      <c r="L59" s="2169">
        <f ca="1">IF(ISERROR(POWER(1+L52,L47-J51)*(POWER(1+L52,J51)-1)/(POWER(1+L52,L47)-1)),0,POWER(1+L52,L47-J51)*(POWER(1+L52,J51)-1)/(POWER(1+L52,L47)-1))</f>
        <v>0</v>
      </c>
      <c r="O59" s="2590" t="s">
        <v>2454</v>
      </c>
      <c r="P59" s="2598" t="s">
        <v>2484</v>
      </c>
      <c r="Q59" s="2591">
        <f>L52</f>
        <v>0</v>
      </c>
      <c r="R59" s="2589"/>
    </row>
    <row r="60" spans="1:18" s="1455" customFormat="1" ht="20.25" thickBot="1">
      <c r="A60" s="2439" t="s">
        <v>2372</v>
      </c>
      <c r="B60" s="2403" t="s">
        <v>927</v>
      </c>
      <c r="C60" s="313">
        <f ca="1">IF(项目基本情况!B11="自然人","——",ROUND(C48*F60/(1+'数据-取费表'!C42),0))</f>
        <v>0</v>
      </c>
      <c r="D60" s="2421" t="s">
        <v>928</v>
      </c>
      <c r="E60" s="2403" t="s">
        <v>363</v>
      </c>
      <c r="F60" s="717">
        <f t="shared" ref="F60:F66" si="0">F32</f>
        <v>5.5000000000000007E-2</v>
      </c>
      <c r="I60" s="2547" t="s">
        <v>2430</v>
      </c>
      <c r="J60" s="2551" t="e">
        <f ca="1">IF(OR(M47="住宅",J51&lt;L48,J56="是"),"0",ROUND(J59/(1+J52)^J53,0))</f>
        <v>#DIV/0!</v>
      </c>
      <c r="K60" s="2553" t="s">
        <v>2433</v>
      </c>
      <c r="L60" s="2551" t="e">
        <f ca="1">IF(OR(M47="住宅",L48&lt;J51),0,ROUND(L57*(L58/L59-1),0))</f>
        <v>#DIV/0!</v>
      </c>
      <c r="O60" s="2590" t="s">
        <v>2455</v>
      </c>
      <c r="P60" s="2598" t="s">
        <v>2485</v>
      </c>
      <c r="Q60" s="2589">
        <f ca="1">L58</f>
        <v>0</v>
      </c>
      <c r="R60" s="2589" t="s">
        <v>2460</v>
      </c>
    </row>
    <row r="61" spans="1:18" s="1455" customFormat="1" ht="20.25" thickBot="1">
      <c r="A61" s="2439" t="s">
        <v>2373</v>
      </c>
      <c r="B61" s="2403" t="s">
        <v>930</v>
      </c>
      <c r="C61" s="313">
        <f ca="1">IF(项目基本情况!B11="自然人","——",IF(D61="按租金收入计税",ROUND(C48*F61,0),IF(D61="按房产原值计税",ROUND(C57*F61*0.7,0),INDIRECT("'数据-取费表'!Aj"&amp;$G$1))))</f>
        <v>0</v>
      </c>
      <c r="D61" s="1301" t="s">
        <v>2415</v>
      </c>
      <c r="E61" s="2403" t="s">
        <v>363</v>
      </c>
      <c r="F61" s="707">
        <f t="shared" si="0"/>
        <v>1.2E-2</v>
      </c>
      <c r="I61" s="2413"/>
      <c r="J61" s="2413"/>
      <c r="K61" s="2413"/>
      <c r="L61" s="2413"/>
      <c r="O61" s="2590" t="s">
        <v>2456</v>
      </c>
      <c r="P61" s="2598" t="s">
        <v>2486</v>
      </c>
      <c r="Q61" s="2589">
        <f ca="1">L59</f>
        <v>0</v>
      </c>
      <c r="R61" s="2589" t="s">
        <v>2461</v>
      </c>
    </row>
    <row r="62" spans="1:18" s="1455" customFormat="1" ht="15.75" thickBot="1">
      <c r="A62" s="2439" t="s">
        <v>2374</v>
      </c>
      <c r="B62" s="2402" t="s">
        <v>932</v>
      </c>
      <c r="C62" s="314">
        <f ca="1">IF(项目基本情况!B11="自然人","——",ROUND(F62*F63,0))</f>
        <v>0</v>
      </c>
      <c r="D62" s="2422" t="s">
        <v>933</v>
      </c>
      <c r="E62" s="2403" t="s">
        <v>934</v>
      </c>
      <c r="F62" s="711">
        <f t="shared" si="0"/>
        <v>1.5</v>
      </c>
      <c r="I62" s="2548" t="s">
        <v>2420</v>
      </c>
      <c r="J62" s="2549" t="s">
        <v>2421</v>
      </c>
      <c r="K62" s="2549" t="s">
        <v>2422</v>
      </c>
      <c r="L62" s="2549" t="s">
        <v>2418</v>
      </c>
      <c r="M62" s="3322" t="s">
        <v>3040</v>
      </c>
      <c r="O62" s="2588" t="s">
        <v>2457</v>
      </c>
      <c r="P62" s="2598" t="s">
        <v>2475</v>
      </c>
      <c r="Q62" s="2589" t="e">
        <f ca="1">Q56+Q57</f>
        <v>#DIV/0!</v>
      </c>
      <c r="R62" s="2589" t="s">
        <v>2458</v>
      </c>
    </row>
    <row r="63" spans="1:18" s="1455" customFormat="1" ht="16.5" thickBot="1">
      <c r="A63" s="712"/>
      <c r="B63" s="2409"/>
      <c r="C63" s="318"/>
      <c r="D63" s="2423"/>
      <c r="E63" s="2403" t="s">
        <v>938</v>
      </c>
      <c r="F63" s="685">
        <f t="shared" ca="1" si="0"/>
        <v>0</v>
      </c>
      <c r="I63" s="2548" t="s">
        <v>2434</v>
      </c>
      <c r="J63" s="3325">
        <v>70</v>
      </c>
      <c r="K63" s="3325">
        <v>50</v>
      </c>
      <c r="L63" s="3325">
        <v>80</v>
      </c>
      <c r="M63" s="3323">
        <v>0.02</v>
      </c>
      <c r="O63" s="2592" t="s">
        <v>2489</v>
      </c>
      <c r="P63" s="1296"/>
      <c r="Q63" s="1296"/>
      <c r="R63" s="1296"/>
    </row>
    <row r="64" spans="1:18" s="1455" customFormat="1" ht="15.75" thickBot="1">
      <c r="A64" s="2439" t="s">
        <v>2382</v>
      </c>
      <c r="B64" s="2403" t="s">
        <v>940</v>
      </c>
      <c r="C64" s="313">
        <f ca="1">ROUND(C57*F64,0)</f>
        <v>0</v>
      </c>
      <c r="D64" s="2421" t="s">
        <v>970</v>
      </c>
      <c r="E64" s="2403" t="s">
        <v>363</v>
      </c>
      <c r="F64" s="714">
        <f t="shared" ca="1" si="0"/>
        <v>0</v>
      </c>
      <c r="I64" s="2548" t="s">
        <v>107</v>
      </c>
      <c r="J64" s="3325">
        <v>50</v>
      </c>
      <c r="K64" s="3325">
        <v>35</v>
      </c>
      <c r="L64" s="3325">
        <v>60</v>
      </c>
      <c r="M64" s="3324">
        <v>0</v>
      </c>
      <c r="O64" s="2595" t="s">
        <v>2466</v>
      </c>
      <c r="P64" s="2596" t="s">
        <v>2467</v>
      </c>
      <c r="Q64" s="2597" t="s">
        <v>2465</v>
      </c>
      <c r="R64" s="2597" t="s">
        <v>2468</v>
      </c>
    </row>
    <row r="65" spans="1:18" s="1455" customFormat="1" ht="15.75" thickBot="1">
      <c r="A65" s="2439" t="s">
        <v>2376</v>
      </c>
      <c r="B65" s="2403" t="s">
        <v>366</v>
      </c>
      <c r="C65" s="313">
        <f ca="1">ROUND(C56*F65,0)</f>
        <v>0</v>
      </c>
      <c r="D65" s="2421" t="s">
        <v>367</v>
      </c>
      <c r="E65" s="2403" t="s">
        <v>363</v>
      </c>
      <c r="F65" s="716">
        <f t="shared" ca="1" si="0"/>
        <v>0</v>
      </c>
      <c r="I65" s="2548" t="s">
        <v>2436</v>
      </c>
      <c r="J65" s="3325">
        <v>40</v>
      </c>
      <c r="K65" s="3325">
        <v>30</v>
      </c>
      <c r="L65" s="3325">
        <v>50</v>
      </c>
      <c r="M65" s="3323">
        <v>0.02</v>
      </c>
      <c r="O65" s="2588" t="s">
        <v>2451</v>
      </c>
      <c r="P65" s="2598" t="s">
        <v>2469</v>
      </c>
      <c r="Q65" s="2589" t="e">
        <f ca="1">C40+J29</f>
        <v>#DIV/0!</v>
      </c>
      <c r="R65" s="2589" t="s">
        <v>2470</v>
      </c>
    </row>
    <row r="66" spans="1:18" s="1455" customFormat="1" ht="20.25" thickBot="1">
      <c r="A66" s="2439" t="s">
        <v>2377</v>
      </c>
      <c r="B66" s="2403" t="s">
        <v>365</v>
      </c>
      <c r="C66" s="313">
        <f ca="1">ROUND(C48*F66,0)</f>
        <v>0</v>
      </c>
      <c r="D66" s="2421" t="s">
        <v>369</v>
      </c>
      <c r="E66" s="2403" t="s">
        <v>363</v>
      </c>
      <c r="F66" s="694">
        <f t="shared" ca="1" si="0"/>
        <v>0</v>
      </c>
      <c r="O66" s="2588" t="s">
        <v>2452</v>
      </c>
      <c r="P66" s="2598" t="s">
        <v>2476</v>
      </c>
      <c r="Q66" s="2589" t="e">
        <f ca="1">L60</f>
        <v>#DIV/0!</v>
      </c>
      <c r="R66" s="2589" t="s">
        <v>2459</v>
      </c>
    </row>
    <row r="67" spans="1:18" s="1455" customFormat="1" ht="23.25" thickBot="1">
      <c r="A67" s="2410" t="s">
        <v>2355</v>
      </c>
      <c r="B67" s="2424" t="s">
        <v>375</v>
      </c>
      <c r="C67" s="698">
        <f ca="1">C48-C58</f>
        <v>0</v>
      </c>
      <c r="D67" s="2420" t="s">
        <v>376</v>
      </c>
      <c r="E67" s="2425"/>
      <c r="F67" s="2426"/>
      <c r="O67" s="2590" t="s">
        <v>2453</v>
      </c>
      <c r="P67" s="2598" t="s">
        <v>2483</v>
      </c>
      <c r="Q67" s="2593">
        <f ca="1">L51</f>
        <v>0</v>
      </c>
      <c r="R67" s="2594" t="s">
        <v>2493</v>
      </c>
    </row>
    <row r="68" spans="1:18" s="1455" customFormat="1" ht="20.25" thickBot="1">
      <c r="A68" s="2400" t="s">
        <v>2358</v>
      </c>
      <c r="B68" s="2401" t="s">
        <v>377</v>
      </c>
      <c r="C68" s="683" t="e">
        <f ca="1">ROUND(C67*(1-((1+F70)/(1+F68))^F69)/(F68-F70),0)</f>
        <v>#DIV/0!</v>
      </c>
      <c r="D68" s="2422" t="s">
        <v>371</v>
      </c>
      <c r="E68" s="2403" t="s">
        <v>372</v>
      </c>
      <c r="F68" s="694">
        <f ca="1">F40</f>
        <v>0</v>
      </c>
      <c r="O68" s="2590" t="s">
        <v>2454</v>
      </c>
      <c r="P68" s="2599" t="s">
        <v>2487</v>
      </c>
      <c r="Q68" s="2589">
        <f ca="1">ROUND(Q69-Q70*Q71,0)</f>
        <v>0</v>
      </c>
      <c r="R68" s="2589" t="s">
        <v>2492</v>
      </c>
    </row>
    <row r="69" spans="1:18" s="1455" customFormat="1" ht="15.75" thickBot="1">
      <c r="A69" s="2404"/>
      <c r="B69" s="2405"/>
      <c r="C69" s="688"/>
      <c r="D69" s="2427" t="s">
        <v>955</v>
      </c>
      <c r="E69" s="2403" t="s">
        <v>379</v>
      </c>
      <c r="F69" s="719">
        <f ca="1">F41</f>
        <v>0</v>
      </c>
      <c r="O69" s="2590" t="s">
        <v>2462</v>
      </c>
      <c r="P69" s="2599" t="s">
        <v>2477</v>
      </c>
      <c r="Q69" s="2589">
        <f ca="1">C39</f>
        <v>0</v>
      </c>
      <c r="R69" s="2589" t="s">
        <v>2470</v>
      </c>
    </row>
    <row r="70" spans="1:18" s="1455" customFormat="1" ht="15.75" thickBot="1">
      <c r="A70" s="2407"/>
      <c r="B70" s="2408"/>
      <c r="C70" s="692"/>
      <c r="D70" s="2423"/>
      <c r="E70" s="2403" t="s">
        <v>380</v>
      </c>
      <c r="F70" s="2533">
        <f ca="1">F42</f>
        <v>0</v>
      </c>
      <c r="O70" s="2590" t="s">
        <v>2463</v>
      </c>
      <c r="P70" s="2599" t="s">
        <v>2478</v>
      </c>
      <c r="Q70" s="2589">
        <f ca="1">C13</f>
        <v>0</v>
      </c>
      <c r="R70" s="2589" t="s">
        <v>2470</v>
      </c>
    </row>
    <row r="71" spans="1:18" s="1455" customFormat="1" ht="15.75" thickBot="1">
      <c r="A71" s="2428" t="s">
        <v>2365</v>
      </c>
      <c r="B71" s="2429" t="s">
        <v>381</v>
      </c>
      <c r="C71" s="722" t="e">
        <f ca="1">ROUND(C68/F71,0)</f>
        <v>#DIV/0!</v>
      </c>
      <c r="D71" s="2430" t="s">
        <v>382</v>
      </c>
      <c r="E71" s="2431" t="s">
        <v>383</v>
      </c>
      <c r="F71" s="725">
        <f ca="1">F43</f>
        <v>0</v>
      </c>
      <c r="I71" s="2398"/>
      <c r="K71" s="2398"/>
      <c r="O71" s="2590" t="s">
        <v>2464</v>
      </c>
      <c r="P71" s="2599" t="s">
        <v>2490</v>
      </c>
      <c r="Q71" s="2591">
        <f ca="1">C76</f>
        <v>0</v>
      </c>
      <c r="R71" s="2589"/>
    </row>
    <row r="72" spans="1:18" s="1455" customFormat="1" ht="15.75" thickBot="1">
      <c r="B72" s="1460"/>
      <c r="C72" s="1460"/>
      <c r="I72" s="2398"/>
      <c r="O72" s="2590" t="s">
        <v>2455</v>
      </c>
      <c r="P72" s="2598" t="s">
        <v>2484</v>
      </c>
      <c r="Q72" s="2591">
        <f>L52</f>
        <v>0</v>
      </c>
      <c r="R72" s="2589"/>
    </row>
    <row r="73" spans="1:18" ht="20.25" thickBot="1">
      <c r="A73" s="1455"/>
      <c r="B73" s="1460"/>
      <c r="C73" s="1460"/>
      <c r="D73" s="1455"/>
      <c r="E73" s="1455"/>
      <c r="F73" s="1455"/>
      <c r="I73" s="2584"/>
      <c r="O73" s="2590" t="s">
        <v>2456</v>
      </c>
      <c r="P73" s="2598" t="s">
        <v>2485</v>
      </c>
      <c r="Q73" s="2589">
        <f ca="1">L58</f>
        <v>0</v>
      </c>
      <c r="R73" s="2589" t="s">
        <v>2460</v>
      </c>
    </row>
    <row r="74" spans="1:18" ht="20.25" thickBot="1">
      <c r="A74" s="1455"/>
      <c r="B74" s="727" t="s">
        <v>384</v>
      </c>
      <c r="C74" s="728"/>
      <c r="D74" s="1455"/>
      <c r="E74" s="1455"/>
      <c r="F74" s="1455"/>
      <c r="O74" s="2590" t="s">
        <v>2494</v>
      </c>
      <c r="P74" s="2598" t="s">
        <v>2486</v>
      </c>
      <c r="Q74" s="2589">
        <f ca="1">L59</f>
        <v>0</v>
      </c>
      <c r="R74" s="2589" t="s">
        <v>2461</v>
      </c>
    </row>
    <row r="75" spans="1:18" ht="15.75" thickBot="1">
      <c r="A75" s="1455"/>
      <c r="B75" s="729" t="s">
        <v>968</v>
      </c>
      <c r="C75" s="730">
        <f ca="1">ROUND(C13*C76,0)</f>
        <v>0</v>
      </c>
      <c r="D75" s="1455"/>
      <c r="E75" s="1455"/>
      <c r="F75" s="1455"/>
      <c r="K75" s="1456"/>
      <c r="L75" s="1455"/>
      <c r="O75" s="2588" t="s">
        <v>2457</v>
      </c>
      <c r="P75" s="2598" t="s">
        <v>2475</v>
      </c>
      <c r="Q75" s="2589" t="e">
        <f ca="1">Q65+Q66</f>
        <v>#DIV/0!</v>
      </c>
      <c r="R75" s="2589" t="s">
        <v>2458</v>
      </c>
    </row>
    <row r="76" spans="1:18">
      <c r="B76" s="731" t="s">
        <v>969</v>
      </c>
      <c r="C76" s="732">
        <f ca="1">INDIRECT("'数据-取费表'!j"&amp;$G$1)</f>
        <v>0</v>
      </c>
      <c r="I76" s="1455"/>
      <c r="J76" s="1455"/>
      <c r="K76" s="1456"/>
      <c r="L76" s="1455"/>
    </row>
    <row r="77" spans="1:18">
      <c r="B77" s="733" t="s">
        <v>972</v>
      </c>
      <c r="C77" s="734"/>
      <c r="I77" s="1455"/>
      <c r="J77" s="1455"/>
      <c r="K77" s="1456"/>
      <c r="L77" s="1455"/>
    </row>
    <row r="78" spans="1:18">
      <c r="B78" s="646" t="s">
        <v>958</v>
      </c>
      <c r="C78" s="735"/>
    </row>
    <row r="79" spans="1:18">
      <c r="B79" s="2877" t="s">
        <v>2702</v>
      </c>
      <c r="C79" s="650" t="e">
        <f ca="1">1-C80</f>
        <v>#DIV/0!</v>
      </c>
    </row>
    <row r="80" spans="1:18">
      <c r="B80" s="2877" t="s">
        <v>2703</v>
      </c>
      <c r="C80" s="650" t="e">
        <f ca="1">ROUND(C75/C39,3)</f>
        <v>#DIV/0!</v>
      </c>
    </row>
    <row r="81" spans="2:3">
      <c r="B81" s="646" t="s">
        <v>385</v>
      </c>
      <c r="C81" s="647"/>
    </row>
    <row r="82" spans="2:3">
      <c r="B82" s="2876" t="s">
        <v>2700</v>
      </c>
      <c r="C82" s="651" t="e">
        <f ca="1">1-C83</f>
        <v>#DIV/0!</v>
      </c>
    </row>
    <row r="83" spans="2:3">
      <c r="B83" s="2876" t="s">
        <v>2699</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63" sqref="J63:L65"/>
    </sheetView>
  </sheetViews>
  <sheetFormatPr defaultRowHeight="13.5"/>
  <cols>
    <col min="1" max="1" width="23.625" customWidth="1"/>
    <col min="2" max="2" width="12" customWidth="1"/>
    <col min="4" max="4" width="14.125" customWidth="1"/>
  </cols>
  <sheetData>
    <row r="1" spans="1:5" ht="20.25">
      <c r="A1" s="2784" t="s">
        <v>2673</v>
      </c>
      <c r="B1" s="2785"/>
      <c r="C1" s="2785"/>
      <c r="D1" s="2785"/>
      <c r="E1" s="2786"/>
    </row>
    <row r="2" spans="1:5" ht="14.25">
      <c r="A2" s="2787" t="s">
        <v>2674</v>
      </c>
      <c r="B2" s="2781">
        <f ca="1">SUMIF(B6:B13,"&lt;&gt;#ref!",B6:B13)</f>
        <v>540253</v>
      </c>
      <c r="C2" s="2782" t="s">
        <v>2671</v>
      </c>
      <c r="D2" s="2783" t="s">
        <v>2676</v>
      </c>
      <c r="E2" s="2791">
        <f>SUM(E6:E13)</f>
        <v>326059.4499999999</v>
      </c>
    </row>
    <row r="3" spans="1:5" ht="14.25">
      <c r="A3" s="2787" t="s">
        <v>2675</v>
      </c>
      <c r="B3" s="2781">
        <f ca="1">ROUND(B2*10000/E2,0)</f>
        <v>16569</v>
      </c>
      <c r="C3" s="2782" t="s">
        <v>2672</v>
      </c>
      <c r="D3" s="2788"/>
      <c r="E3" s="2792"/>
    </row>
    <row r="4" spans="1:5" ht="14.25">
      <c r="A4" s="2795"/>
      <c r="B4" s="2788"/>
      <c r="C4" s="2788"/>
      <c r="D4" s="2788"/>
      <c r="E4" s="2792"/>
    </row>
    <row r="5" spans="1:5">
      <c r="A5" s="2799" t="s">
        <v>2678</v>
      </c>
      <c r="B5" s="3743" t="s">
        <v>2680</v>
      </c>
      <c r="C5" s="3743"/>
      <c r="D5" s="2798"/>
      <c r="E5" s="2800" t="s">
        <v>2679</v>
      </c>
    </row>
    <row r="6" spans="1:5">
      <c r="A6" s="2796" t="str">
        <f>'数据-取费表'!AN6</f>
        <v>收益法</v>
      </c>
      <c r="B6" s="2790">
        <f ca="1">'数据-取费表'!AO6</f>
        <v>540253</v>
      </c>
      <c r="C6" s="2782" t="s">
        <v>2671</v>
      </c>
      <c r="D6" s="2788"/>
      <c r="E6" s="2791">
        <f>IF(A6=0,0,'数据-取费表'!K6+'数据-取费表'!S6)</f>
        <v>326059.4499999999</v>
      </c>
    </row>
    <row r="7" spans="1:5">
      <c r="A7" s="2796">
        <f>'数据-取费表'!AN7</f>
        <v>0</v>
      </c>
      <c r="B7" s="2790" t="e">
        <f ca="1">'数据-取费表'!AO7</f>
        <v>#REF!</v>
      </c>
      <c r="C7" s="2782" t="s">
        <v>2671</v>
      </c>
      <c r="D7" s="2788"/>
      <c r="E7" s="2791">
        <f>IF(A7=0,0,'数据-取费表'!K7+'数据-取费表'!S7)</f>
        <v>0</v>
      </c>
    </row>
    <row r="8" spans="1:5">
      <c r="A8" s="2796">
        <f>'数据-取费表'!AN8</f>
        <v>0</v>
      </c>
      <c r="B8" s="2790" t="e">
        <f ca="1">'数据-取费表'!AO8</f>
        <v>#REF!</v>
      </c>
      <c r="C8" s="2782" t="s">
        <v>2671</v>
      </c>
      <c r="D8" s="2788"/>
      <c r="E8" s="2791">
        <f>IF(A8=0,0,'数据-取费表'!K8+'数据-取费表'!S8)</f>
        <v>0</v>
      </c>
    </row>
    <row r="9" spans="1:5">
      <c r="A9" s="2796">
        <f>'数据-取费表'!AN9</f>
        <v>0</v>
      </c>
      <c r="B9" s="2790" t="e">
        <f ca="1">'数据-取费表'!AO9</f>
        <v>#REF!</v>
      </c>
      <c r="C9" s="2782" t="s">
        <v>2671</v>
      </c>
      <c r="D9" s="2788"/>
      <c r="E9" s="2791">
        <f>IF(A9=0,0,'数据-取费表'!K9+'数据-取费表'!S9)</f>
        <v>0</v>
      </c>
    </row>
    <row r="10" spans="1:5">
      <c r="A10" s="2796">
        <f>'数据-取费表'!AN10</f>
        <v>0</v>
      </c>
      <c r="B10" s="2790" t="e">
        <f ca="1">'数据-取费表'!AO10</f>
        <v>#REF!</v>
      </c>
      <c r="C10" s="2782" t="s">
        <v>2671</v>
      </c>
      <c r="D10" s="2788"/>
      <c r="E10" s="2791">
        <f>IF(A10=0,0,'数据-取费表'!K10+'数据-取费表'!S10)</f>
        <v>0</v>
      </c>
    </row>
    <row r="11" spans="1:5">
      <c r="A11" s="2796">
        <f>'数据-取费表'!AN11</f>
        <v>0</v>
      </c>
      <c r="B11" s="2790" t="e">
        <f ca="1">'数据-取费表'!AO11</f>
        <v>#REF!</v>
      </c>
      <c r="C11" s="2782" t="s">
        <v>2671</v>
      </c>
      <c r="D11" s="2788"/>
      <c r="E11" s="2791">
        <f>IF(A11=0,0,'数据-取费表'!K11+'数据-取费表'!S11)</f>
        <v>0</v>
      </c>
    </row>
    <row r="12" spans="1:5">
      <c r="A12" s="2796">
        <f>'数据-取费表'!AN12</f>
        <v>0</v>
      </c>
      <c r="B12" s="2790" t="e">
        <f ca="1">'数据-取费表'!AO12</f>
        <v>#REF!</v>
      </c>
      <c r="C12" s="2782" t="s">
        <v>2671</v>
      </c>
      <c r="D12" s="2788"/>
      <c r="E12" s="2791">
        <f>IF(A12=0,0,'数据-取费表'!K12+'数据-取费表'!S12)</f>
        <v>0</v>
      </c>
    </row>
    <row r="13" spans="1:5" ht="14.25" thickBot="1">
      <c r="A13" s="2797">
        <f>'数据-取费表'!AN13</f>
        <v>0</v>
      </c>
      <c r="B13" s="2793" t="e">
        <f ca="1">'数据-取费表'!AO13</f>
        <v>#REF!</v>
      </c>
      <c r="C13" s="2801" t="s">
        <v>2671</v>
      </c>
      <c r="D13" s="2789"/>
      <c r="E13" s="2794">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9"/>
  <sheetViews>
    <sheetView workbookViewId="0">
      <selection activeCell="E26" sqref="E26:G26"/>
    </sheetView>
  </sheetViews>
  <sheetFormatPr defaultRowHeight="13.5"/>
  <cols>
    <col min="1" max="1" width="10.5" customWidth="1"/>
    <col min="2" max="2" width="12.875" customWidth="1"/>
    <col min="3" max="3" width="12" customWidth="1"/>
    <col min="5" max="5" width="10.5" bestFit="1" customWidth="1"/>
  </cols>
  <sheetData>
    <row r="1" spans="1:9" ht="14.25">
      <c r="A1" s="3760" t="s">
        <v>2547</v>
      </c>
      <c r="B1" s="3761"/>
      <c r="C1" s="3762"/>
      <c r="D1" s="3763">
        <f>SUM(I10,I15,I20,I21,I23)</f>
        <v>0</v>
      </c>
      <c r="E1" s="3763"/>
      <c r="F1" s="3763"/>
      <c r="G1" s="3763"/>
      <c r="H1" s="3763"/>
      <c r="I1" s="3764"/>
    </row>
    <row r="2" spans="1:9">
      <c r="A2" s="3750" t="s">
        <v>2548</v>
      </c>
      <c r="B2" s="3751" t="s">
        <v>2549</v>
      </c>
      <c r="C2" s="3751"/>
      <c r="D2" s="2639" t="s">
        <v>2550</v>
      </c>
      <c r="E2" s="2639" t="s">
        <v>2551</v>
      </c>
      <c r="F2" s="2639" t="s">
        <v>2552</v>
      </c>
      <c r="G2" s="2639" t="s">
        <v>2553</v>
      </c>
      <c r="H2" s="2639" t="s">
        <v>2554</v>
      </c>
      <c r="I2" s="2640" t="s">
        <v>2555</v>
      </c>
    </row>
    <row r="3" spans="1:9">
      <c r="A3" s="3750"/>
      <c r="B3" s="3751" t="s">
        <v>2556</v>
      </c>
      <c r="C3" s="3751"/>
      <c r="D3" s="2641"/>
      <c r="E3" s="2639"/>
      <c r="F3" s="2642"/>
      <c r="G3" s="2642"/>
      <c r="H3" s="2643"/>
      <c r="I3" s="2644">
        <f>ROUND(D3*E3*F3*G3*H3/10000,0)</f>
        <v>0</v>
      </c>
    </row>
    <row r="4" spans="1:9">
      <c r="A4" s="3750"/>
      <c r="B4" s="3751" t="s">
        <v>2557</v>
      </c>
      <c r="C4" s="3751"/>
      <c r="D4" s="2641"/>
      <c r="E4" s="2639"/>
      <c r="F4" s="2642"/>
      <c r="G4" s="2642"/>
      <c r="H4" s="2643"/>
      <c r="I4" s="2644">
        <f t="shared" ref="I4:I9" si="0">ROUND(D4*E4*F4*G4*H4/10000,0)</f>
        <v>0</v>
      </c>
    </row>
    <row r="5" spans="1:9">
      <c r="A5" s="3750"/>
      <c r="B5" s="3751" t="s">
        <v>2558</v>
      </c>
      <c r="C5" s="3751"/>
      <c r="D5" s="2641"/>
      <c r="E5" s="2639"/>
      <c r="F5" s="2642"/>
      <c r="G5" s="2642"/>
      <c r="H5" s="2643"/>
      <c r="I5" s="2644">
        <f t="shared" si="0"/>
        <v>0</v>
      </c>
    </row>
    <row r="6" spans="1:9">
      <c r="A6" s="3750"/>
      <c r="B6" s="3751" t="s">
        <v>2559</v>
      </c>
      <c r="C6" s="3751"/>
      <c r="D6" s="2641"/>
      <c r="E6" s="2639"/>
      <c r="F6" s="2642"/>
      <c r="G6" s="2642"/>
      <c r="H6" s="2643"/>
      <c r="I6" s="2644">
        <f t="shared" si="0"/>
        <v>0</v>
      </c>
    </row>
    <row r="7" spans="1:9">
      <c r="A7" s="3750"/>
      <c r="B7" s="3751" t="s">
        <v>2560</v>
      </c>
      <c r="C7" s="3751"/>
      <c r="D7" s="2641"/>
      <c r="E7" s="2639"/>
      <c r="F7" s="2642"/>
      <c r="G7" s="2642"/>
      <c r="H7" s="2643"/>
      <c r="I7" s="2644">
        <f t="shared" si="0"/>
        <v>0</v>
      </c>
    </row>
    <row r="8" spans="1:9">
      <c r="A8" s="3750"/>
      <c r="B8" s="3751" t="s">
        <v>2561</v>
      </c>
      <c r="C8" s="3751"/>
      <c r="D8" s="2641"/>
      <c r="E8" s="2639"/>
      <c r="F8" s="2642"/>
      <c r="G8" s="2642"/>
      <c r="H8" s="2643"/>
      <c r="I8" s="2644">
        <f t="shared" si="0"/>
        <v>0</v>
      </c>
    </row>
    <row r="9" spans="1:9">
      <c r="A9" s="3750"/>
      <c r="B9" s="3751" t="s">
        <v>2562</v>
      </c>
      <c r="C9" s="3751"/>
      <c r="D9" s="2641"/>
      <c r="E9" s="2639"/>
      <c r="F9" s="2642"/>
      <c r="G9" s="2642"/>
      <c r="H9" s="2643"/>
      <c r="I9" s="2644">
        <f t="shared" si="0"/>
        <v>0</v>
      </c>
    </row>
    <row r="10" spans="1:9">
      <c r="A10" s="3750"/>
      <c r="B10" s="3752" t="s">
        <v>2563</v>
      </c>
      <c r="C10" s="3752"/>
      <c r="D10" s="2645"/>
      <c r="E10" s="2645" t="e">
        <f>ROUND(D1*10000/D10/H9,0)</f>
        <v>#DIV/0!</v>
      </c>
      <c r="F10" s="2646"/>
      <c r="G10" s="2646"/>
      <c r="H10" s="2647"/>
      <c r="I10" s="2648">
        <f>SUM(I3:I9)</f>
        <v>0</v>
      </c>
    </row>
    <row r="11" spans="1:9" ht="14.25">
      <c r="A11" s="3750" t="s">
        <v>2564</v>
      </c>
      <c r="B11" s="3751" t="s">
        <v>2565</v>
      </c>
      <c r="C11" s="3751"/>
      <c r="D11" s="2641" t="s">
        <v>2566</v>
      </c>
      <c r="E11" s="2641" t="s">
        <v>2567</v>
      </c>
      <c r="F11" s="2642" t="s">
        <v>2568</v>
      </c>
      <c r="G11" s="2642" t="s">
        <v>2554</v>
      </c>
      <c r="H11" s="2649" t="s">
        <v>2569</v>
      </c>
      <c r="I11" s="2640" t="s">
        <v>2555</v>
      </c>
    </row>
    <row r="12" spans="1:9">
      <c r="A12" s="3750"/>
      <c r="B12" s="3751" t="s">
        <v>2570</v>
      </c>
      <c r="C12" s="3751"/>
      <c r="D12" s="2641"/>
      <c r="E12" s="2641"/>
      <c r="F12" s="2642"/>
      <c r="G12" s="2643"/>
      <c r="H12" s="2650"/>
      <c r="I12" s="2640">
        <f>ROUND(D12*E12*F12*G12/10000,0)</f>
        <v>0</v>
      </c>
    </row>
    <row r="13" spans="1:9">
      <c r="A13" s="3750"/>
      <c r="B13" s="3751" t="s">
        <v>2571</v>
      </c>
      <c r="C13" s="3751"/>
      <c r="D13" s="2641"/>
      <c r="E13" s="2641"/>
      <c r="F13" s="2642"/>
      <c r="G13" s="2643"/>
      <c r="H13" s="2650"/>
      <c r="I13" s="2640">
        <f>ROUND(D13*E13*F13*G13/10000,0)</f>
        <v>0</v>
      </c>
    </row>
    <row r="14" spans="1:9">
      <c r="A14" s="3750"/>
      <c r="B14" s="3751" t="s">
        <v>2572</v>
      </c>
      <c r="C14" s="3751"/>
      <c r="D14" s="2641"/>
      <c r="E14" s="2641"/>
      <c r="F14" s="2642"/>
      <c r="G14" s="2643"/>
      <c r="H14" s="2650"/>
      <c r="I14" s="2640">
        <f>ROUND(D14*E14*F14*G14/10000,0)</f>
        <v>0</v>
      </c>
    </row>
    <row r="15" spans="1:9">
      <c r="A15" s="3750"/>
      <c r="B15" s="3752" t="s">
        <v>2563</v>
      </c>
      <c r="C15" s="3752"/>
      <c r="D15" s="2645"/>
      <c r="E15" s="2645">
        <f>SUM(E12:E14)</f>
        <v>0</v>
      </c>
      <c r="F15" s="2646"/>
      <c r="G15" s="2643"/>
      <c r="H15" s="2650"/>
      <c r="I15" s="2651">
        <f>SUM(I12:I14)</f>
        <v>0</v>
      </c>
    </row>
    <row r="16" spans="1:9" ht="24">
      <c r="A16" s="3750" t="s">
        <v>2573</v>
      </c>
      <c r="B16" s="3751" t="s">
        <v>2574</v>
      </c>
      <c r="C16" s="3751"/>
      <c r="D16" s="2641" t="s">
        <v>2550</v>
      </c>
      <c r="E16" s="2652" t="s">
        <v>2575</v>
      </c>
      <c r="F16" s="2642" t="s">
        <v>2576</v>
      </c>
      <c r="G16" s="2643" t="s">
        <v>2554</v>
      </c>
      <c r="H16" s="2649" t="s">
        <v>2569</v>
      </c>
      <c r="I16" s="2640" t="s">
        <v>2555</v>
      </c>
    </row>
    <row r="17" spans="1:9" ht="14.25">
      <c r="A17" s="3750"/>
      <c r="B17" s="3751" t="s">
        <v>2577</v>
      </c>
      <c r="C17" s="3751"/>
      <c r="D17" s="2641"/>
      <c r="E17" s="2641"/>
      <c r="F17" s="2642"/>
      <c r="G17" s="2643"/>
      <c r="H17" s="2653"/>
      <c r="I17" s="2654">
        <f>ROUND(D17*E17*F17*G17/10000,0)</f>
        <v>0</v>
      </c>
    </row>
    <row r="18" spans="1:9" ht="14.25">
      <c r="A18" s="3750"/>
      <c r="B18" s="3751" t="s">
        <v>2578</v>
      </c>
      <c r="C18" s="3751"/>
      <c r="D18" s="2641"/>
      <c r="E18" s="2641"/>
      <c r="F18" s="2642"/>
      <c r="G18" s="2643"/>
      <c r="H18" s="2653"/>
      <c r="I18" s="2654">
        <f>ROUND(D18*E18*F18*G18/10000,0)</f>
        <v>0</v>
      </c>
    </row>
    <row r="19" spans="1:9" ht="14.25">
      <c r="A19" s="3750"/>
      <c r="B19" s="3751" t="s">
        <v>2579</v>
      </c>
      <c r="C19" s="3751"/>
      <c r="D19" s="2641"/>
      <c r="E19" s="2641"/>
      <c r="F19" s="2642"/>
      <c r="G19" s="2643"/>
      <c r="H19" s="2653"/>
      <c r="I19" s="2654">
        <f>ROUND(D19*E19*F19*G19/10000,0)</f>
        <v>0</v>
      </c>
    </row>
    <row r="20" spans="1:9">
      <c r="A20" s="3750"/>
      <c r="B20" s="3752" t="s">
        <v>2563</v>
      </c>
      <c r="C20" s="3752"/>
      <c r="D20" s="2645">
        <f>SUM(D17:D19)</f>
        <v>0</v>
      </c>
      <c r="E20" s="2645"/>
      <c r="F20" s="2646"/>
      <c r="G20" s="2643"/>
      <c r="H20" s="2650"/>
      <c r="I20" s="2651">
        <f>SUM(I17:I19)</f>
        <v>0</v>
      </c>
    </row>
    <row r="21" spans="1:9">
      <c r="A21" s="3750" t="s">
        <v>2580</v>
      </c>
      <c r="B21" s="3753"/>
      <c r="C21" s="3753"/>
      <c r="D21" s="3753"/>
      <c r="E21" s="3753"/>
      <c r="F21" s="3753"/>
      <c r="G21" s="3753"/>
      <c r="H21" s="3300">
        <v>0.1</v>
      </c>
      <c r="I21" s="2648">
        <f>ROUND(I10*H21,0)</f>
        <v>0</v>
      </c>
    </row>
    <row r="22" spans="1:9" ht="14.25">
      <c r="A22" s="3754" t="s">
        <v>2581</v>
      </c>
      <c r="B22" s="3755"/>
      <c r="C22" s="3756"/>
      <c r="D22" s="2655" t="s">
        <v>2582</v>
      </c>
      <c r="E22" s="2655" t="s">
        <v>2583</v>
      </c>
      <c r="F22" s="2656" t="s">
        <v>2584</v>
      </c>
      <c r="G22" s="2656" t="s">
        <v>2585</v>
      </c>
      <c r="H22" s="2649" t="s">
        <v>2586</v>
      </c>
      <c r="I22" s="2640" t="s">
        <v>2587</v>
      </c>
    </row>
    <row r="23" spans="1:9" ht="14.25" thickBot="1">
      <c r="A23" s="3757"/>
      <c r="B23" s="3758"/>
      <c r="C23" s="3759"/>
      <c r="D23" s="2657"/>
      <c r="E23" s="2657"/>
      <c r="F23" s="2657"/>
      <c r="G23" s="2658"/>
      <c r="H23" s="2659"/>
      <c r="I23" s="2660">
        <f>ROUND(E23*D23*F23*(1-G23)/10000,0)</f>
        <v>0</v>
      </c>
    </row>
    <row r="26" spans="1:9">
      <c r="A26" s="2661" t="s">
        <v>2588</v>
      </c>
      <c r="B26" s="2661"/>
      <c r="C26" s="2661"/>
      <c r="D26" s="2661"/>
      <c r="E26" s="3747">
        <f>C27-C30-C31-C32</f>
        <v>18689.258838599999</v>
      </c>
      <c r="F26" s="3747"/>
      <c r="G26" s="3747"/>
      <c r="H26" s="3256" t="s">
        <v>2960</v>
      </c>
    </row>
    <row r="27" spans="1:9">
      <c r="A27" s="2662">
        <v>1</v>
      </c>
      <c r="B27" s="2663" t="s">
        <v>2589</v>
      </c>
      <c r="C27" s="2663">
        <f>C28+C29</f>
        <v>41531.686307999997</v>
      </c>
      <c r="D27" s="2663"/>
      <c r="E27" s="3748"/>
      <c r="F27" s="3748"/>
      <c r="G27" s="3748"/>
    </row>
    <row r="28" spans="1:9">
      <c r="A28" s="2664" t="s">
        <v>2590</v>
      </c>
      <c r="B28" s="2663" t="s">
        <v>2591</v>
      </c>
      <c r="C28" s="3440">
        <f>'[2]Sheet1 (2)'!$G$14/10000*2</f>
        <v>26211.663177999999</v>
      </c>
      <c r="D28" s="2663"/>
      <c r="E28" s="3748"/>
      <c r="F28" s="3748"/>
      <c r="G28" s="3748"/>
    </row>
    <row r="29" spans="1:9">
      <c r="A29" s="2664" t="s">
        <v>2592</v>
      </c>
      <c r="B29" s="2663" t="s">
        <v>2593</v>
      </c>
      <c r="C29" s="3440">
        <f>('[2]Sheet1 (2)'!$H$14+'[2]Sheet1 (2)'!$I$14+'[2]Sheet1 (2)'!$J$14)/10000*2+[3]Sheet1!$E$9+[3]Sheet1!$F$24</f>
        <v>15320.023129999998</v>
      </c>
      <c r="D29" s="2663"/>
      <c r="E29" s="2663" t="s">
        <v>2594</v>
      </c>
      <c r="F29" s="2663"/>
      <c r="G29" s="2663"/>
    </row>
    <row r="30" spans="1:9">
      <c r="A30" s="2662">
        <v>2</v>
      </c>
      <c r="B30" s="2663" t="s">
        <v>2595</v>
      </c>
      <c r="C30" s="2663">
        <f>C27*D30</f>
        <v>8306.3372615999997</v>
      </c>
      <c r="D30" s="2665">
        <v>0.2</v>
      </c>
      <c r="E30" s="2663" t="s">
        <v>2596</v>
      </c>
      <c r="F30" s="2663"/>
      <c r="G30" s="2663"/>
    </row>
    <row r="31" spans="1:9">
      <c r="A31" s="2662">
        <v>3</v>
      </c>
      <c r="B31" s="2663" t="s">
        <v>2597</v>
      </c>
      <c r="C31" s="3459">
        <f>C27*D31</f>
        <v>2076.5843153999999</v>
      </c>
      <c r="D31" s="2665">
        <v>0.05</v>
      </c>
      <c r="E31" s="2663" t="s">
        <v>2598</v>
      </c>
      <c r="F31" s="2663"/>
      <c r="G31" s="2663"/>
    </row>
    <row r="32" spans="1:9">
      <c r="A32" s="2662">
        <v>4</v>
      </c>
      <c r="B32" s="2663" t="s">
        <v>2599</v>
      </c>
      <c r="C32" s="2663">
        <f>C27*D32</f>
        <v>12459.505892399999</v>
      </c>
      <c r="D32" s="2665">
        <v>0.3</v>
      </c>
      <c r="E32" s="3749"/>
      <c r="F32" s="3749"/>
      <c r="G32" s="3749"/>
    </row>
    <row r="33" spans="1:7" hidden="1">
      <c r="A33" s="3744" t="s">
        <v>2600</v>
      </c>
      <c r="B33" s="3745"/>
      <c r="C33" s="3745"/>
      <c r="D33" s="3746"/>
      <c r="E33" s="3747"/>
      <c r="F33" s="3747"/>
      <c r="G33" s="3747"/>
    </row>
    <row r="34" spans="1:7" hidden="1">
      <c r="A34" s="2666">
        <v>1</v>
      </c>
      <c r="B34" s="2663" t="s">
        <v>2601</v>
      </c>
      <c r="C34" s="2663"/>
      <c r="D34" s="2663"/>
      <c r="E34" s="3748"/>
      <c r="F34" s="3748"/>
      <c r="G34" s="3748"/>
    </row>
    <row r="35" spans="1:7" hidden="1">
      <c r="A35" s="2666">
        <v>2</v>
      </c>
      <c r="B35" s="2663" t="s">
        <v>2602</v>
      </c>
      <c r="C35" s="2663"/>
      <c r="D35" s="2663"/>
      <c r="E35" s="3748"/>
      <c r="F35" s="3748"/>
      <c r="G35" s="3748"/>
    </row>
    <row r="36" spans="1:7" hidden="1">
      <c r="A36" s="2666">
        <v>3</v>
      </c>
      <c r="B36" s="2663" t="s">
        <v>2603</v>
      </c>
      <c r="C36" s="2663"/>
      <c r="D36" s="2663"/>
      <c r="E36" s="3748"/>
      <c r="F36" s="3748"/>
      <c r="G36" s="3748"/>
    </row>
    <row r="37" spans="1:7" hidden="1">
      <c r="A37" s="2666">
        <v>4</v>
      </c>
      <c r="B37" s="2663" t="s">
        <v>2604</v>
      </c>
      <c r="C37" s="2663"/>
      <c r="D37" s="2663"/>
      <c r="E37" s="3748"/>
      <c r="F37" s="3748"/>
      <c r="G37" s="3748"/>
    </row>
    <row r="38" spans="1:7" hidden="1">
      <c r="A38" s="3744" t="s">
        <v>2605</v>
      </c>
      <c r="B38" s="3745"/>
      <c r="C38" s="3745"/>
      <c r="D38" s="3746"/>
      <c r="E38" s="3747"/>
      <c r="F38" s="3747"/>
      <c r="G38" s="3747"/>
    </row>
    <row r="39" spans="1:7">
      <c r="E39">
        <f ca="1">ROUND(E26/收益法!F7/365/(1-30%)*10000,2)</f>
        <v>2.31</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973</v>
      </c>
      <c r="B1" s="3106" t="s">
        <v>974</v>
      </c>
      <c r="C1" s="3107" t="s">
        <v>975</v>
      </c>
      <c r="D1" s="3108"/>
      <c r="E1" s="3109"/>
      <c r="F1" s="3110" t="s">
        <v>2696</v>
      </c>
      <c r="G1" s="3112" t="s">
        <v>976</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977</v>
      </c>
      <c r="B2" s="2848" t="e">
        <f ca="1">IF(C2="——",ROUND(C49*D3/10000,0),ROUND(C49*D3/10000,0)-D2)</f>
        <v>#DIV/0!</v>
      </c>
      <c r="C2" s="3102"/>
      <c r="D2" s="2725" t="e">
        <f ca="1">SUMIF(INDIRECT("'"&amp;F2&amp;"'"&amp;"!A:A"),"承租人权益价值",INDIRECT("'"&amp;F2&amp;"'"&amp;"!c:c"))</f>
        <v>#REF!</v>
      </c>
      <c r="E2" s="3103" t="s">
        <v>862</v>
      </c>
      <c r="F2" s="3104"/>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978</v>
      </c>
      <c r="B3" s="742" t="e">
        <f ca="1">IF(C2="——",C49,ROUND(B2*10000/D3,0))</f>
        <v>#DIV/0!</v>
      </c>
      <c r="C3" s="142" t="s">
        <v>979</v>
      </c>
      <c r="D3" s="742">
        <f>IF(D1="",'数据-汇总表'!E3,SUMIF('数据-汇总表'!$C19:$C33,D1,'数据-汇总表'!$E19:$E33))</f>
        <v>326059.4499999999</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980</v>
      </c>
      <c r="B4" s="144"/>
      <c r="C4" s="3783" t="s">
        <v>981</v>
      </c>
      <c r="D4" s="3784"/>
      <c r="E4" s="3785" t="s">
        <v>982</v>
      </c>
      <c r="F4" s="3786"/>
      <c r="G4" s="3783" t="s">
        <v>983</v>
      </c>
      <c r="H4" s="3784"/>
      <c r="I4" s="3783" t="s">
        <v>984</v>
      </c>
      <c r="J4" s="3784"/>
      <c r="K4" s="145" t="s">
        <v>985</v>
      </c>
      <c r="L4" s="2296"/>
      <c r="M4" s="2297"/>
      <c r="N4" s="2297"/>
      <c r="O4" s="2297"/>
      <c r="P4" s="3787" t="s">
        <v>980</v>
      </c>
      <c r="Q4" s="3788"/>
      <c r="R4" s="3793" t="s">
        <v>982</v>
      </c>
      <c r="S4" s="3794"/>
      <c r="T4" s="3793" t="s">
        <v>983</v>
      </c>
      <c r="U4" s="3794"/>
      <c r="V4" s="3799" t="s">
        <v>984</v>
      </c>
      <c r="W4" s="3799"/>
      <c r="X4" s="1340"/>
      <c r="Y4" s="3793" t="s">
        <v>980</v>
      </c>
      <c r="Z4" s="3794"/>
      <c r="AA4" s="3780" t="s">
        <v>982</v>
      </c>
      <c r="AB4" s="3780" t="s">
        <v>983</v>
      </c>
      <c r="AC4" s="3780" t="s">
        <v>984</v>
      </c>
    </row>
    <row r="5" spans="1:29">
      <c r="A5" s="146"/>
      <c r="B5" s="147"/>
      <c r="C5" s="3802" t="s">
        <v>986</v>
      </c>
      <c r="D5" s="3803"/>
      <c r="E5" s="3809" t="s">
        <v>987</v>
      </c>
      <c r="F5" s="3810"/>
      <c r="G5" s="3802" t="s">
        <v>988</v>
      </c>
      <c r="H5" s="3803"/>
      <c r="I5" s="3802" t="s">
        <v>989</v>
      </c>
      <c r="J5" s="3803"/>
      <c r="K5" s="152"/>
      <c r="L5" s="2296"/>
      <c r="M5" s="2297"/>
      <c r="N5" s="2297"/>
      <c r="O5" s="2297"/>
      <c r="P5" s="3789"/>
      <c r="Q5" s="3790"/>
      <c r="R5" s="3795"/>
      <c r="S5" s="3796"/>
      <c r="T5" s="3795"/>
      <c r="U5" s="3796"/>
      <c r="V5" s="3799"/>
      <c r="W5" s="3799"/>
      <c r="X5" s="1340"/>
      <c r="Y5" s="3795"/>
      <c r="Z5" s="3796"/>
      <c r="AA5" s="3781"/>
      <c r="AB5" s="3781"/>
      <c r="AC5" s="3781"/>
    </row>
    <row r="6" spans="1:29" ht="14.25" thickBot="1">
      <c r="A6" s="148"/>
      <c r="B6" s="149"/>
      <c r="C6" s="3800" t="s">
        <v>990</v>
      </c>
      <c r="D6" s="3801"/>
      <c r="E6" s="3807" t="s">
        <v>990</v>
      </c>
      <c r="F6" s="3808"/>
      <c r="G6" s="3800" t="s">
        <v>990</v>
      </c>
      <c r="H6" s="3801"/>
      <c r="I6" s="3800" t="s">
        <v>990</v>
      </c>
      <c r="J6" s="3801"/>
      <c r="K6" s="152" t="s">
        <v>991</v>
      </c>
      <c r="L6" s="2296"/>
      <c r="M6" s="2297"/>
      <c r="N6" s="2297"/>
      <c r="O6" s="2297"/>
      <c r="P6" s="3791"/>
      <c r="Q6" s="3792"/>
      <c r="R6" s="3795"/>
      <c r="S6" s="3796"/>
      <c r="T6" s="3797"/>
      <c r="U6" s="3798"/>
      <c r="V6" s="3799"/>
      <c r="W6" s="3799"/>
      <c r="X6" s="1340"/>
      <c r="Y6" s="3797"/>
      <c r="Z6" s="3798"/>
      <c r="AA6" s="3782"/>
      <c r="AB6" s="3782"/>
      <c r="AC6" s="3782"/>
    </row>
    <row r="7" spans="1:29" s="40" customFormat="1" ht="15" thickBot="1">
      <c r="A7" s="1014" t="s">
        <v>992</v>
      </c>
      <c r="B7" s="1015"/>
      <c r="C7" s="1016">
        <f>'数据-取费表'!B2</f>
        <v>42941</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804" t="s">
        <v>992</v>
      </c>
      <c r="Q7" s="3806"/>
      <c r="R7" s="1342" t="s">
        <v>115</v>
      </c>
      <c r="S7" s="1343">
        <f t="shared" ref="S7:S15" si="0">F7</f>
        <v>0</v>
      </c>
      <c r="T7" s="1342" t="s">
        <v>115</v>
      </c>
      <c r="U7" s="1343">
        <f t="shared" ref="U7:U15" si="1">H7</f>
        <v>0</v>
      </c>
      <c r="V7" s="1342" t="s">
        <v>115</v>
      </c>
      <c r="W7" s="1343">
        <f t="shared" ref="W7:W15" si="2">J7</f>
        <v>0</v>
      </c>
      <c r="X7" s="287"/>
      <c r="Y7" s="3804" t="s">
        <v>992</v>
      </c>
      <c r="Z7" s="3805"/>
      <c r="AA7" s="1344" t="e">
        <f>D7/F7</f>
        <v>#DIV/0!</v>
      </c>
      <c r="AB7" s="1344" t="e">
        <f>D7/H7</f>
        <v>#DIV/0!</v>
      </c>
      <c r="AC7" s="1344" t="e">
        <f>D7/J7</f>
        <v>#DIV/0!</v>
      </c>
    </row>
    <row r="8" spans="1:29" s="40" customFormat="1" ht="15" thickBot="1">
      <c r="A8" s="1014" t="s">
        <v>993</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804" t="s">
        <v>993</v>
      </c>
      <c r="Q8" s="3805"/>
      <c r="R8" s="1342" t="s">
        <v>115</v>
      </c>
      <c r="S8" s="1343">
        <f t="shared" si="0"/>
        <v>0</v>
      </c>
      <c r="T8" s="1342" t="s">
        <v>115</v>
      </c>
      <c r="U8" s="1343">
        <f t="shared" si="1"/>
        <v>0</v>
      </c>
      <c r="V8" s="1342" t="s">
        <v>115</v>
      </c>
      <c r="W8" s="1343">
        <f t="shared" si="2"/>
        <v>0</v>
      </c>
      <c r="X8" s="287"/>
      <c r="Y8" s="3804" t="s">
        <v>993</v>
      </c>
      <c r="Z8" s="3805"/>
      <c r="AA8" s="1344" t="e">
        <f t="shared" ref="AA8:AA19" si="3">D8/F8</f>
        <v>#DIV/0!</v>
      </c>
      <c r="AB8" s="1344" t="e">
        <f t="shared" ref="AB8:AB19" si="4">D8/H8</f>
        <v>#DIV/0!</v>
      </c>
      <c r="AC8" s="1344" t="e">
        <f t="shared" ref="AC8:AC19" si="5">D8/J8</f>
        <v>#DIV/0!</v>
      </c>
    </row>
    <row r="9" spans="1:29" s="40" customFormat="1" ht="14.25">
      <c r="A9" s="1021" t="s">
        <v>994</v>
      </c>
      <c r="B9" s="62" t="s">
        <v>995</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779" t="s">
        <v>67</v>
      </c>
      <c r="Q9" s="7" t="str">
        <f t="shared" ref="Q9:Q15" si="6">B9</f>
        <v>用途</v>
      </c>
      <c r="R9" s="1342" t="s">
        <v>65</v>
      </c>
      <c r="S9" s="1343">
        <f t="shared" si="0"/>
        <v>100</v>
      </c>
      <c r="T9" s="1342" t="s">
        <v>65</v>
      </c>
      <c r="U9" s="1343">
        <f t="shared" si="1"/>
        <v>100</v>
      </c>
      <c r="V9" s="1342" t="s">
        <v>65</v>
      </c>
      <c r="W9" s="1343">
        <f t="shared" si="2"/>
        <v>100</v>
      </c>
      <c r="X9" s="287"/>
      <c r="Y9" s="3545"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779"/>
      <c r="Q10" s="7" t="str">
        <f t="shared" si="6"/>
        <v>土地使用年限（年）</v>
      </c>
      <c r="R10" s="1342" t="s">
        <v>65</v>
      </c>
      <c r="S10" s="1343">
        <f t="shared" si="0"/>
        <v>100</v>
      </c>
      <c r="T10" s="1342" t="s">
        <v>65</v>
      </c>
      <c r="U10" s="1343">
        <f t="shared" si="1"/>
        <v>100</v>
      </c>
      <c r="V10" s="1342" t="s">
        <v>65</v>
      </c>
      <c r="W10" s="1343">
        <f t="shared" si="2"/>
        <v>100</v>
      </c>
      <c r="X10" s="287"/>
      <c r="Y10" s="3545"/>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779"/>
      <c r="Q11" s="7" t="str">
        <f t="shared" si="6"/>
        <v>容积率</v>
      </c>
      <c r="R11" s="1342" t="s">
        <v>104</v>
      </c>
      <c r="S11" s="1343" t="e">
        <f t="shared" si="0"/>
        <v>#N/A</v>
      </c>
      <c r="T11" s="1342" t="s">
        <v>104</v>
      </c>
      <c r="U11" s="1343" t="e">
        <f t="shared" si="1"/>
        <v>#N/A</v>
      </c>
      <c r="V11" s="1342" t="s">
        <v>104</v>
      </c>
      <c r="W11" s="1343" t="e">
        <f t="shared" si="2"/>
        <v>#N/A</v>
      </c>
      <c r="X11" s="287"/>
      <c r="Y11" s="354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779"/>
      <c r="Q12" s="7">
        <f t="shared" si="6"/>
        <v>111</v>
      </c>
      <c r="R12" s="1342" t="s">
        <v>104</v>
      </c>
      <c r="S12" s="1343">
        <f t="shared" si="0"/>
        <v>100</v>
      </c>
      <c r="T12" s="1342" t="s">
        <v>104</v>
      </c>
      <c r="U12" s="1343">
        <f t="shared" si="1"/>
        <v>100</v>
      </c>
      <c r="V12" s="1342" t="s">
        <v>104</v>
      </c>
      <c r="W12" s="1343">
        <f t="shared" si="2"/>
        <v>100</v>
      </c>
      <c r="X12" s="287"/>
      <c r="Y12" s="3545"/>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779"/>
      <c r="Q13" s="7">
        <f t="shared" si="6"/>
        <v>111</v>
      </c>
      <c r="R13" s="1342" t="s">
        <v>104</v>
      </c>
      <c r="S13" s="1343">
        <f t="shared" si="0"/>
        <v>100</v>
      </c>
      <c r="T13" s="1342" t="s">
        <v>104</v>
      </c>
      <c r="U13" s="1343">
        <f t="shared" si="1"/>
        <v>100</v>
      </c>
      <c r="V13" s="1342" t="s">
        <v>104</v>
      </c>
      <c r="W13" s="1343">
        <f t="shared" si="2"/>
        <v>100</v>
      </c>
      <c r="X13" s="287"/>
      <c r="Y13" s="3545"/>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779"/>
      <c r="Q14" s="7">
        <f t="shared" si="6"/>
        <v>111</v>
      </c>
      <c r="R14" s="1342" t="s">
        <v>104</v>
      </c>
      <c r="S14" s="1343">
        <f t="shared" si="0"/>
        <v>100</v>
      </c>
      <c r="T14" s="1342" t="s">
        <v>104</v>
      </c>
      <c r="U14" s="1343">
        <f t="shared" si="1"/>
        <v>100</v>
      </c>
      <c r="V14" s="1342" t="s">
        <v>104</v>
      </c>
      <c r="W14" s="1343">
        <f t="shared" si="2"/>
        <v>100</v>
      </c>
      <c r="X14" s="287"/>
      <c r="Y14" s="3545"/>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777" t="s">
        <v>69</v>
      </c>
      <c r="Q15" s="1351" t="str">
        <f t="shared" si="6"/>
        <v>居住社区成熟度</v>
      </c>
      <c r="R15" s="1352" t="s">
        <v>104</v>
      </c>
      <c r="S15" s="1353">
        <f t="shared" si="0"/>
        <v>100</v>
      </c>
      <c r="T15" s="1352" t="s">
        <v>104</v>
      </c>
      <c r="U15" s="1353">
        <f t="shared" si="1"/>
        <v>100</v>
      </c>
      <c r="V15" s="1352" t="s">
        <v>104</v>
      </c>
      <c r="W15" s="1353">
        <f t="shared" si="2"/>
        <v>100</v>
      </c>
      <c r="X15" s="1340"/>
      <c r="Y15" s="3770"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778"/>
      <c r="Q16" s="1351"/>
      <c r="R16" s="1352"/>
      <c r="S16" s="1353"/>
      <c r="T16" s="1352"/>
      <c r="U16" s="1353"/>
      <c r="V16" s="1352"/>
      <c r="W16" s="1353"/>
      <c r="X16" s="1340"/>
      <c r="Y16" s="3771"/>
      <c r="Z16" s="1354"/>
      <c r="AA16" s="1355">
        <v>1</v>
      </c>
      <c r="AB16" s="1355">
        <v>1</v>
      </c>
      <c r="AC16" s="1355">
        <v>1</v>
      </c>
    </row>
    <row r="17" spans="1:29" ht="81">
      <c r="A17" s="151"/>
      <c r="B17" s="1356" t="s">
        <v>72</v>
      </c>
      <c r="C17" s="158" t="str">
        <f>估价对象房地状况!C6</f>
        <v>估价对象紧邻大广高速，周边有密37、密50、密51路等公交线路，综合评价交通便捷度较好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778"/>
      <c r="Q17" s="1351" t="str">
        <f>B17</f>
        <v>交通便捷度</v>
      </c>
      <c r="R17" s="1352" t="s">
        <v>104</v>
      </c>
      <c r="S17" s="1353">
        <f>F17</f>
        <v>100</v>
      </c>
      <c r="T17" s="1352" t="s">
        <v>104</v>
      </c>
      <c r="U17" s="1353">
        <f>H17</f>
        <v>100</v>
      </c>
      <c r="V17" s="1352" t="s">
        <v>104</v>
      </c>
      <c r="W17" s="1353">
        <f>J17</f>
        <v>100</v>
      </c>
      <c r="X17" s="1340"/>
      <c r="Y17" s="3771"/>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778"/>
      <c r="Q18" s="1351"/>
      <c r="R18" s="1352"/>
      <c r="S18" s="1353"/>
      <c r="T18" s="1352"/>
      <c r="U18" s="1353"/>
      <c r="V18" s="1352"/>
      <c r="W18" s="1353"/>
      <c r="X18" s="1340"/>
      <c r="Y18" s="3771"/>
      <c r="Z18" s="1354"/>
      <c r="AA18" s="1355">
        <v>1</v>
      </c>
      <c r="AB18" s="1355">
        <v>1</v>
      </c>
      <c r="AC18" s="1355">
        <v>1</v>
      </c>
    </row>
    <row r="19" spans="1:29" ht="94.5">
      <c r="A19" s="151"/>
      <c r="B19" s="1356" t="s">
        <v>2632</v>
      </c>
      <c r="C19" s="158" t="str">
        <f>估价对象房地状况!C7</f>
        <v>估价对象所在区域公共配套设施齐备情况；基础设施水平；综合评价公用设施及基础设施水平一般</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778"/>
      <c r="Q19" s="1351" t="str">
        <f>B19</f>
        <v>公共配套设施</v>
      </c>
      <c r="R19" s="1352" t="s">
        <v>104</v>
      </c>
      <c r="S19" s="1353">
        <f>F19</f>
        <v>100</v>
      </c>
      <c r="T19" s="1352" t="s">
        <v>104</v>
      </c>
      <c r="U19" s="1353">
        <f>H19</f>
        <v>100</v>
      </c>
      <c r="V19" s="1352" t="s">
        <v>104</v>
      </c>
      <c r="W19" s="1353">
        <f>J19</f>
        <v>100</v>
      </c>
      <c r="X19" s="1340"/>
      <c r="Y19" s="3771"/>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778"/>
      <c r="Q20" s="1351"/>
      <c r="R20" s="1352"/>
      <c r="S20" s="1353"/>
      <c r="T20" s="1352"/>
      <c r="U20" s="1353"/>
      <c r="V20" s="1352"/>
      <c r="W20" s="1353"/>
      <c r="X20" s="1340"/>
      <c r="Y20" s="3771"/>
      <c r="Z20" s="1354"/>
      <c r="AA20" s="1355">
        <v>1</v>
      </c>
      <c r="AB20" s="1355">
        <v>1</v>
      </c>
      <c r="AC20" s="1355">
        <v>1</v>
      </c>
    </row>
    <row r="21" spans="1:29" ht="94.5">
      <c r="A21" s="151"/>
      <c r="B21" s="1412" t="s">
        <v>2643</v>
      </c>
      <c r="C21" s="158" t="str">
        <f>估价对象房地状况!C8</f>
        <v>估价对象所在区域公共配套设施齐备情况；基础设施水平；综合评价公用设施及基础设施水平一般</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778"/>
      <c r="Q21" s="2747" t="str">
        <f>B21</f>
        <v>基础设施水平</v>
      </c>
      <c r="R21" s="1352" t="s">
        <v>65</v>
      </c>
      <c r="S21" s="1353">
        <f>F21</f>
        <v>100</v>
      </c>
      <c r="T21" s="1352" t="s">
        <v>65</v>
      </c>
      <c r="U21" s="1353">
        <f>H21</f>
        <v>100</v>
      </c>
      <c r="V21" s="1352" t="s">
        <v>65</v>
      </c>
      <c r="W21" s="1353">
        <f>J21</f>
        <v>100</v>
      </c>
      <c r="X21" s="2749"/>
      <c r="Y21" s="3771"/>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778"/>
      <c r="Q22" s="2747"/>
      <c r="R22" s="1352"/>
      <c r="S22" s="1353"/>
      <c r="T22" s="1352"/>
      <c r="U22" s="1353"/>
      <c r="V22" s="1352"/>
      <c r="W22" s="1353"/>
      <c r="X22" s="2749"/>
      <c r="Y22" s="3771"/>
      <c r="Z22" s="2748"/>
      <c r="AA22" s="1355">
        <v>1</v>
      </c>
      <c r="AB22" s="1355">
        <v>1</v>
      </c>
      <c r="AC22" s="1355">
        <v>1</v>
      </c>
    </row>
    <row r="23" spans="1:29" ht="54">
      <c r="A23" s="151"/>
      <c r="B23" s="1356" t="s">
        <v>73</v>
      </c>
      <c r="C23" s="158" t="str">
        <f>估价对象房地状况!C9</f>
        <v>区域有司马台长城、鸳鸯湖水库；综合评价环境状况好</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778"/>
      <c r="Q23" s="1351" t="str">
        <f>B23</f>
        <v>自然及人文环境</v>
      </c>
      <c r="R23" s="1352" t="s">
        <v>104</v>
      </c>
      <c r="S23" s="1353">
        <f>F23</f>
        <v>100</v>
      </c>
      <c r="T23" s="1352" t="s">
        <v>104</v>
      </c>
      <c r="U23" s="1353">
        <f>H23</f>
        <v>100</v>
      </c>
      <c r="V23" s="1352" t="s">
        <v>104</v>
      </c>
      <c r="W23" s="1353">
        <f>J23</f>
        <v>100</v>
      </c>
      <c r="X23" s="1340"/>
      <c r="Y23" s="3771"/>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778"/>
      <c r="Q24" s="1351"/>
      <c r="R24" s="1352"/>
      <c r="S24" s="1353"/>
      <c r="T24" s="1352"/>
      <c r="U24" s="1353"/>
      <c r="V24" s="1352"/>
      <c r="W24" s="1353"/>
      <c r="X24" s="1340"/>
      <c r="Y24" s="3771"/>
      <c r="Z24" s="1354"/>
      <c r="AA24" s="1355">
        <v>1</v>
      </c>
      <c r="AB24" s="1355">
        <v>1</v>
      </c>
      <c r="AC24" s="1355">
        <v>1</v>
      </c>
    </row>
    <row r="25" spans="1:29" ht="15">
      <c r="A25" s="151"/>
      <c r="B25" s="12" t="s">
        <v>2294</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778"/>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771"/>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778"/>
      <c r="Q26" s="1351" t="str">
        <f t="shared" si="11"/>
        <v>朝向</v>
      </c>
      <c r="R26" s="1352" t="s">
        <v>104</v>
      </c>
      <c r="S26" s="1353">
        <f t="shared" si="12"/>
        <v>100</v>
      </c>
      <c r="T26" s="1352" t="s">
        <v>104</v>
      </c>
      <c r="U26" s="1353">
        <f t="shared" si="13"/>
        <v>100</v>
      </c>
      <c r="V26" s="1352" t="s">
        <v>104</v>
      </c>
      <c r="W26" s="1353">
        <f t="shared" si="14"/>
        <v>100</v>
      </c>
      <c r="X26" s="1340"/>
      <c r="Y26" s="3771"/>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778"/>
      <c r="Q27" s="7">
        <f t="shared" si="11"/>
        <v>111</v>
      </c>
      <c r="R27" s="1342" t="s">
        <v>104</v>
      </c>
      <c r="S27" s="1343">
        <f t="shared" si="12"/>
        <v>100</v>
      </c>
      <c r="T27" s="1342" t="s">
        <v>104</v>
      </c>
      <c r="U27" s="1343">
        <f t="shared" si="13"/>
        <v>100</v>
      </c>
      <c r="V27" s="1342" t="s">
        <v>104</v>
      </c>
      <c r="W27" s="1343">
        <f t="shared" si="14"/>
        <v>100</v>
      </c>
      <c r="X27" s="287"/>
      <c r="Y27" s="3771"/>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778"/>
      <c r="Q28" s="1351">
        <f t="shared" si="11"/>
        <v>111</v>
      </c>
      <c r="R28" s="1352" t="s">
        <v>104</v>
      </c>
      <c r="S28" s="1353">
        <f t="shared" si="12"/>
        <v>100</v>
      </c>
      <c r="T28" s="1352" t="s">
        <v>104</v>
      </c>
      <c r="U28" s="1353">
        <f t="shared" si="13"/>
        <v>100</v>
      </c>
      <c r="V28" s="1352" t="s">
        <v>104</v>
      </c>
      <c r="W28" s="1353">
        <f t="shared" si="14"/>
        <v>100</v>
      </c>
      <c r="X28" s="1340"/>
      <c r="Y28" s="3771"/>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778"/>
      <c r="Q29" s="1351">
        <f t="shared" si="11"/>
        <v>111</v>
      </c>
      <c r="R29" s="1352" t="s">
        <v>104</v>
      </c>
      <c r="S29" s="1353">
        <f t="shared" si="12"/>
        <v>100</v>
      </c>
      <c r="T29" s="1352" t="s">
        <v>104</v>
      </c>
      <c r="U29" s="1353">
        <f t="shared" si="13"/>
        <v>100</v>
      </c>
      <c r="V29" s="1352" t="s">
        <v>104</v>
      </c>
      <c r="W29" s="1353">
        <f t="shared" si="14"/>
        <v>100</v>
      </c>
      <c r="X29" s="1340"/>
      <c r="Y29" s="3771"/>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778"/>
      <c r="Q30" s="1351">
        <f t="shared" si="11"/>
        <v>111</v>
      </c>
      <c r="R30" s="1352" t="s">
        <v>104</v>
      </c>
      <c r="S30" s="1353">
        <f t="shared" si="12"/>
        <v>100</v>
      </c>
      <c r="T30" s="1352" t="s">
        <v>104</v>
      </c>
      <c r="U30" s="1353">
        <f t="shared" si="13"/>
        <v>100</v>
      </c>
      <c r="V30" s="1352" t="s">
        <v>104</v>
      </c>
      <c r="W30" s="1353">
        <f t="shared" si="14"/>
        <v>100</v>
      </c>
      <c r="X30" s="1340"/>
      <c r="Y30" s="3771"/>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778"/>
      <c r="Q31" s="1351">
        <f t="shared" si="11"/>
        <v>111</v>
      </c>
      <c r="R31" s="1352" t="s">
        <v>104</v>
      </c>
      <c r="S31" s="1353">
        <f t="shared" si="12"/>
        <v>100</v>
      </c>
      <c r="T31" s="1352" t="s">
        <v>104</v>
      </c>
      <c r="U31" s="1353">
        <f t="shared" si="13"/>
        <v>100</v>
      </c>
      <c r="V31" s="1352" t="s">
        <v>104</v>
      </c>
      <c r="W31" s="1353">
        <f t="shared" si="14"/>
        <v>100</v>
      </c>
      <c r="X31" s="1340"/>
      <c r="Y31" s="3771"/>
      <c r="Z31" s="1354">
        <f t="shared" si="18"/>
        <v>111</v>
      </c>
      <c r="AA31" s="1355">
        <f t="shared" si="15"/>
        <v>1</v>
      </c>
      <c r="AB31" s="1355">
        <f t="shared" si="16"/>
        <v>1</v>
      </c>
      <c r="AC31" s="1355">
        <f t="shared" si="17"/>
        <v>1</v>
      </c>
    </row>
    <row r="32" spans="1:29" ht="15">
      <c r="A32" s="155" t="s">
        <v>996</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772" t="s">
        <v>70</v>
      </c>
      <c r="Q32" s="1351" t="str">
        <f t="shared" si="11"/>
        <v>建筑类型</v>
      </c>
      <c r="R32" s="1352" t="s">
        <v>104</v>
      </c>
      <c r="S32" s="1353">
        <f t="shared" si="12"/>
        <v>100</v>
      </c>
      <c r="T32" s="1352" t="s">
        <v>104</v>
      </c>
      <c r="U32" s="1353">
        <f t="shared" si="13"/>
        <v>100</v>
      </c>
      <c r="V32" s="1352" t="s">
        <v>104</v>
      </c>
      <c r="W32" s="1353">
        <f t="shared" si="14"/>
        <v>100</v>
      </c>
      <c r="X32" s="1340"/>
      <c r="Y32" s="3775"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773"/>
      <c r="Q33" s="1359" t="str">
        <f t="shared" si="11"/>
        <v>项目建筑规模</v>
      </c>
      <c r="R33" s="1360" t="s">
        <v>104</v>
      </c>
      <c r="S33" s="1361" t="e">
        <f t="shared" si="12"/>
        <v>#N/A</v>
      </c>
      <c r="T33" s="1360" t="s">
        <v>104</v>
      </c>
      <c r="U33" s="1361" t="e">
        <f t="shared" si="13"/>
        <v>#N/A</v>
      </c>
      <c r="V33" s="1360" t="s">
        <v>104</v>
      </c>
      <c r="W33" s="1361" t="e">
        <f t="shared" si="14"/>
        <v>#N/A</v>
      </c>
      <c r="X33" s="1362"/>
      <c r="Y33" s="3775"/>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773"/>
      <c r="Q34" s="1351" t="str">
        <f t="shared" si="11"/>
        <v>建筑结构</v>
      </c>
      <c r="R34" s="1352" t="s">
        <v>104</v>
      </c>
      <c r="S34" s="1353">
        <f t="shared" si="12"/>
        <v>100</v>
      </c>
      <c r="T34" s="1352" t="s">
        <v>104</v>
      </c>
      <c r="U34" s="1353">
        <f t="shared" si="13"/>
        <v>100</v>
      </c>
      <c r="V34" s="1352" t="s">
        <v>104</v>
      </c>
      <c r="W34" s="1353">
        <f t="shared" si="14"/>
        <v>100</v>
      </c>
      <c r="X34" s="1340"/>
      <c r="Y34" s="3775"/>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773"/>
      <c r="Q35" s="1351" t="str">
        <f t="shared" si="11"/>
        <v>建筑品质</v>
      </c>
      <c r="R35" s="1352" t="s">
        <v>104</v>
      </c>
      <c r="S35" s="1353">
        <f t="shared" si="12"/>
        <v>100</v>
      </c>
      <c r="T35" s="1352" t="s">
        <v>104</v>
      </c>
      <c r="U35" s="1353">
        <f t="shared" si="13"/>
        <v>100</v>
      </c>
      <c r="V35" s="1352" t="s">
        <v>104</v>
      </c>
      <c r="W35" s="1353">
        <f t="shared" si="14"/>
        <v>100</v>
      </c>
      <c r="X35" s="1340"/>
      <c r="Y35" s="3775"/>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773"/>
      <c r="Q36" s="1351" t="str">
        <f t="shared" si="11"/>
        <v>公共部分装修</v>
      </c>
      <c r="R36" s="1352" t="s">
        <v>104</v>
      </c>
      <c r="S36" s="1353">
        <f t="shared" si="12"/>
        <v>100</v>
      </c>
      <c r="T36" s="1352" t="s">
        <v>104</v>
      </c>
      <c r="U36" s="1353">
        <f t="shared" si="13"/>
        <v>100</v>
      </c>
      <c r="V36" s="1352" t="s">
        <v>104</v>
      </c>
      <c r="W36" s="1353">
        <f t="shared" si="14"/>
        <v>100</v>
      </c>
      <c r="X36" s="1340"/>
      <c r="Y36" s="3775"/>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773"/>
      <c r="Q37" s="7" t="str">
        <f t="shared" si="11"/>
        <v>成新度</v>
      </c>
      <c r="R37" s="1342" t="s">
        <v>104</v>
      </c>
      <c r="S37" s="1343" t="e">
        <f t="shared" si="12"/>
        <v>#N/A</v>
      </c>
      <c r="T37" s="1342" t="s">
        <v>104</v>
      </c>
      <c r="U37" s="1343" t="e">
        <f t="shared" si="13"/>
        <v>#N/A</v>
      </c>
      <c r="V37" s="1342" t="s">
        <v>104</v>
      </c>
      <c r="W37" s="1343" t="e">
        <f t="shared" si="14"/>
        <v>#N/A</v>
      </c>
      <c r="X37" s="287"/>
      <c r="Y37" s="3775"/>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773" t="s">
        <v>70</v>
      </c>
      <c r="Q38" s="1351" t="str">
        <f t="shared" si="11"/>
        <v>物业管理</v>
      </c>
      <c r="R38" s="1352" t="s">
        <v>104</v>
      </c>
      <c r="S38" s="1353">
        <f t="shared" si="12"/>
        <v>100</v>
      </c>
      <c r="T38" s="1352" t="s">
        <v>104</v>
      </c>
      <c r="U38" s="1353">
        <f t="shared" si="13"/>
        <v>100</v>
      </c>
      <c r="V38" s="1352" t="s">
        <v>104</v>
      </c>
      <c r="W38" s="1353">
        <f t="shared" si="14"/>
        <v>100</v>
      </c>
      <c r="X38" s="1340"/>
      <c r="Y38" s="3775" t="s">
        <v>70</v>
      </c>
      <c r="Z38" s="1354" t="str">
        <f t="shared" si="18"/>
        <v>物业管理</v>
      </c>
      <c r="AA38" s="1355">
        <f t="shared" si="15"/>
        <v>1</v>
      </c>
      <c r="AB38" s="1355">
        <f t="shared" si="16"/>
        <v>1</v>
      </c>
      <c r="AC38" s="1355">
        <f t="shared" si="17"/>
        <v>1</v>
      </c>
    </row>
    <row r="39" spans="1:29" ht="15">
      <c r="A39" s="161"/>
      <c r="B39" s="12" t="s">
        <v>2644</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773"/>
      <c r="Q39" s="1351" t="str">
        <f t="shared" si="11"/>
        <v>市政基础设施</v>
      </c>
      <c r="R39" s="1352" t="s">
        <v>104</v>
      </c>
      <c r="S39" s="1353">
        <f t="shared" si="12"/>
        <v>100</v>
      </c>
      <c r="T39" s="1352" t="s">
        <v>104</v>
      </c>
      <c r="U39" s="1353">
        <f t="shared" si="13"/>
        <v>100</v>
      </c>
      <c r="V39" s="1352" t="s">
        <v>104</v>
      </c>
      <c r="W39" s="1353">
        <f t="shared" si="14"/>
        <v>100</v>
      </c>
      <c r="X39" s="1340"/>
      <c r="Y39" s="3775"/>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773"/>
      <c r="Q40" s="1351" t="str">
        <f t="shared" si="11"/>
        <v>房型</v>
      </c>
      <c r="R40" s="1352" t="s">
        <v>104</v>
      </c>
      <c r="S40" s="1353">
        <f t="shared" si="12"/>
        <v>100</v>
      </c>
      <c r="T40" s="1352" t="s">
        <v>104</v>
      </c>
      <c r="U40" s="1353">
        <f t="shared" si="13"/>
        <v>100</v>
      </c>
      <c r="V40" s="1352" t="s">
        <v>104</v>
      </c>
      <c r="W40" s="1353">
        <f t="shared" si="14"/>
        <v>100</v>
      </c>
      <c r="X40" s="1340"/>
      <c r="Y40" s="3775"/>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773"/>
      <c r="Q41" s="1359" t="str">
        <f t="shared" si="11"/>
        <v>单套/主力户型建筑面积</v>
      </c>
      <c r="R41" s="1360" t="s">
        <v>104</v>
      </c>
      <c r="S41" s="1361">
        <f t="shared" si="12"/>
        <v>100</v>
      </c>
      <c r="T41" s="1360" t="s">
        <v>104</v>
      </c>
      <c r="U41" s="1361">
        <f t="shared" si="13"/>
        <v>100</v>
      </c>
      <c r="V41" s="1360" t="s">
        <v>104</v>
      </c>
      <c r="W41" s="1361">
        <f t="shared" si="14"/>
        <v>100</v>
      </c>
      <c r="X41" s="1362"/>
      <c r="Y41" s="3775"/>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773"/>
      <c r="Q42" s="1351" t="str">
        <f t="shared" si="11"/>
        <v>内部装修</v>
      </c>
      <c r="R42" s="1352" t="s">
        <v>104</v>
      </c>
      <c r="S42" s="1353">
        <f t="shared" si="12"/>
        <v>100</v>
      </c>
      <c r="T42" s="1352" t="s">
        <v>104</v>
      </c>
      <c r="U42" s="1353">
        <f t="shared" si="13"/>
        <v>100</v>
      </c>
      <c r="V42" s="1352" t="s">
        <v>104</v>
      </c>
      <c r="W42" s="1353">
        <f t="shared" si="14"/>
        <v>100</v>
      </c>
      <c r="X42" s="1340"/>
      <c r="Y42" s="3775"/>
      <c r="Z42" s="1354" t="str">
        <f t="shared" si="18"/>
        <v>内部装修</v>
      </c>
      <c r="AA42" s="1355">
        <f t="shared" si="15"/>
        <v>1</v>
      </c>
      <c r="AB42" s="1355">
        <f t="shared" si="16"/>
        <v>1</v>
      </c>
      <c r="AC42" s="1355">
        <f t="shared" si="17"/>
        <v>1</v>
      </c>
    </row>
    <row r="43" spans="1:29" ht="15">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773"/>
      <c r="Q43" s="1351" t="str">
        <f t="shared" si="11"/>
        <v>内部装修维护情况</v>
      </c>
      <c r="R43" s="1352" t="s">
        <v>104</v>
      </c>
      <c r="S43" s="1353">
        <f t="shared" si="12"/>
        <v>100</v>
      </c>
      <c r="T43" s="1352" t="s">
        <v>104</v>
      </c>
      <c r="U43" s="1353">
        <f t="shared" si="13"/>
        <v>100</v>
      </c>
      <c r="V43" s="1352" t="s">
        <v>104</v>
      </c>
      <c r="W43" s="1353">
        <f t="shared" si="14"/>
        <v>100</v>
      </c>
      <c r="X43" s="1340"/>
      <c r="Y43" s="3775"/>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773"/>
      <c r="Q44" s="7">
        <f t="shared" si="11"/>
        <v>111</v>
      </c>
      <c r="R44" s="1342" t="s">
        <v>104</v>
      </c>
      <c r="S44" s="1343">
        <f t="shared" si="12"/>
        <v>100</v>
      </c>
      <c r="T44" s="1342" t="s">
        <v>104</v>
      </c>
      <c r="U44" s="1343">
        <f t="shared" si="13"/>
        <v>100</v>
      </c>
      <c r="V44" s="1342" t="s">
        <v>104</v>
      </c>
      <c r="W44" s="1343">
        <f t="shared" si="14"/>
        <v>100</v>
      </c>
      <c r="X44" s="287"/>
      <c r="Y44" s="3775"/>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773"/>
      <c r="Q45" s="1351">
        <f t="shared" si="11"/>
        <v>111</v>
      </c>
      <c r="R45" s="1352" t="s">
        <v>104</v>
      </c>
      <c r="S45" s="1353">
        <f t="shared" si="12"/>
        <v>100</v>
      </c>
      <c r="T45" s="1352" t="s">
        <v>104</v>
      </c>
      <c r="U45" s="1353">
        <f t="shared" si="13"/>
        <v>100</v>
      </c>
      <c r="V45" s="1352" t="s">
        <v>104</v>
      </c>
      <c r="W45" s="1353">
        <f t="shared" si="14"/>
        <v>100</v>
      </c>
      <c r="X45" s="1340"/>
      <c r="Y45" s="3775"/>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774"/>
      <c r="Q46" s="1351">
        <f t="shared" si="11"/>
        <v>111</v>
      </c>
      <c r="R46" s="1352" t="s">
        <v>103</v>
      </c>
      <c r="S46" s="1353">
        <f t="shared" si="12"/>
        <v>100</v>
      </c>
      <c r="T46" s="1352" t="s">
        <v>103</v>
      </c>
      <c r="U46" s="1353">
        <f t="shared" si="13"/>
        <v>100</v>
      </c>
      <c r="V46" s="1352" t="s">
        <v>103</v>
      </c>
      <c r="W46" s="1353">
        <f t="shared" si="14"/>
        <v>100</v>
      </c>
      <c r="X46" s="1340"/>
      <c r="Y46" s="3776"/>
      <c r="Z46" s="1354">
        <f t="shared" si="18"/>
        <v>111</v>
      </c>
      <c r="AA46" s="1355">
        <f t="shared" si="15"/>
        <v>1</v>
      </c>
      <c r="AB46" s="1355">
        <f t="shared" si="16"/>
        <v>1</v>
      </c>
      <c r="AC46" s="1355">
        <f t="shared" si="17"/>
        <v>1</v>
      </c>
    </row>
    <row r="47" spans="1:29" ht="15">
      <c r="A47" s="163" t="s">
        <v>102</v>
      </c>
      <c r="B47" s="164"/>
      <c r="C47" s="2837" t="s">
        <v>101</v>
      </c>
      <c r="D47" s="2838"/>
      <c r="E47" s="2839"/>
      <c r="F47" s="2840"/>
      <c r="G47" s="2841"/>
      <c r="H47" s="2842"/>
      <c r="I47" s="2839"/>
      <c r="J47" s="2842"/>
      <c r="K47" s="1364"/>
      <c r="L47" s="2304"/>
      <c r="M47" s="2305"/>
      <c r="N47" s="2297"/>
      <c r="O47" s="2305"/>
      <c r="P47" s="3768" t="str">
        <f>A47</f>
        <v>成交单价（元/平方米）</v>
      </c>
      <c r="Q47" s="3768"/>
      <c r="R47" s="3769">
        <f>E47</f>
        <v>0</v>
      </c>
      <c r="S47" s="3769"/>
      <c r="T47" s="3769">
        <f>G47</f>
        <v>0</v>
      </c>
      <c r="U47" s="3769"/>
      <c r="V47" s="3769">
        <f>I47</f>
        <v>0</v>
      </c>
      <c r="W47" s="3769"/>
      <c r="X47" s="1365"/>
      <c r="Y47" s="1366"/>
      <c r="Z47" s="1365"/>
      <c r="AA47" s="1365"/>
      <c r="AB47" s="1365"/>
      <c r="AC47" s="1365"/>
    </row>
    <row r="48" spans="1:29" ht="15.75" thickBot="1">
      <c r="A48" s="165" t="s">
        <v>100</v>
      </c>
      <c r="B48" s="166"/>
      <c r="C48" s="2843" t="e">
        <f>R49</f>
        <v>#DIV/0!</v>
      </c>
      <c r="D48" s="2844"/>
      <c r="E48" s="2845" t="e">
        <f>R48</f>
        <v>#DIV/0!</v>
      </c>
      <c r="F48" s="2845"/>
      <c r="G48" s="2843" t="e">
        <f>T48</f>
        <v>#DIV/0!</v>
      </c>
      <c r="H48" s="2844"/>
      <c r="I48" s="2845" t="e">
        <f>V48</f>
        <v>#DIV/0!</v>
      </c>
      <c r="J48" s="2844"/>
      <c r="K48" s="1367"/>
      <c r="L48" s="2304"/>
      <c r="M48" s="2305"/>
      <c r="N48" s="2305"/>
      <c r="O48" s="2305"/>
      <c r="P48" s="3768" t="str">
        <f>A48</f>
        <v>比较价值（元/平方米）</v>
      </c>
      <c r="Q48" s="3768"/>
      <c r="R48" s="3769" t="e">
        <f>IF(F1="售价",ROUND(PRODUCT(R47,AA7:AA46),0),ROUND(PRODUCT(R47,AA7:AA46),1))</f>
        <v>#DIV/0!</v>
      </c>
      <c r="S48" s="3769"/>
      <c r="T48" s="3769" t="e">
        <f>IF(F1="售价",ROUND(PRODUCT(T47,AB7:AB46),0),ROUND(PRODUCT(T47,AB7:AB46),1))</f>
        <v>#DIV/0!</v>
      </c>
      <c r="U48" s="3769"/>
      <c r="V48" s="3769" t="e">
        <f>IF(F1="售价",ROUND(PRODUCT(V47,AC7:AC46),0),ROUND(PRODUCT(V47,AC7:AC46),1))</f>
        <v>#DIV/0!</v>
      </c>
      <c r="W48" s="3769"/>
      <c r="X48" s="1365"/>
      <c r="Y48" s="1365"/>
      <c r="Z48" s="1365"/>
      <c r="AA48" s="1365"/>
      <c r="AB48" s="1365"/>
      <c r="AC48" s="1365"/>
    </row>
    <row r="49" spans="1:29" ht="15.75" thickBot="1">
      <c r="A49" s="115" t="s">
        <v>3018</v>
      </c>
      <c r="B49" s="116"/>
      <c r="C49" s="2846" t="e">
        <f>R49</f>
        <v>#DIV/0!</v>
      </c>
      <c r="D49" s="2847"/>
      <c r="E49" s="2847"/>
      <c r="F49" s="2847"/>
      <c r="G49" s="2847"/>
      <c r="H49" s="2847"/>
      <c r="I49" s="2847"/>
      <c r="J49" s="2847"/>
      <c r="K49" s="1368"/>
      <c r="L49" s="2304"/>
      <c r="M49" s="2305"/>
      <c r="N49" s="2305"/>
      <c r="O49" s="2305"/>
      <c r="P49" s="3765" t="str">
        <f>A49</f>
        <v>估价对象XX用房的比较价值（楼面单价，元/平方米）</v>
      </c>
      <c r="Q49" s="3766"/>
      <c r="R49" s="3767" t="e">
        <f>IF(F1="售价",ROUND(AVERAGE(R48:V48),0),ROUND(AVERAGE(R48:V48),1))</f>
        <v>#DIV/0!</v>
      </c>
      <c r="S49" s="3767"/>
      <c r="T49" s="3767"/>
      <c r="U49" s="3767"/>
      <c r="V49" s="3767"/>
      <c r="W49" s="3767"/>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2797</v>
      </c>
      <c r="B58" s="849"/>
      <c r="C58" s="3048" t="str">
        <f>YEAR(C7)&amp;"-"&amp;MONTH(C7)</f>
        <v>2017-7</v>
      </c>
      <c r="D58" s="3047">
        <f>EDATE(C58,-1)</f>
        <v>42887</v>
      </c>
      <c r="E58" s="3047">
        <f>EDATE(D58,-1)</f>
        <v>42856</v>
      </c>
      <c r="F58" s="3047">
        <f t="shared" ref="F58:O58" si="19">EDATE(E58,-1)</f>
        <v>42826</v>
      </c>
      <c r="G58" s="3047">
        <f t="shared" si="19"/>
        <v>42795</v>
      </c>
      <c r="H58" s="3047">
        <f t="shared" si="19"/>
        <v>42767</v>
      </c>
      <c r="I58" s="3047">
        <f t="shared" si="19"/>
        <v>42736</v>
      </c>
      <c r="J58" s="3047">
        <f t="shared" si="19"/>
        <v>42705</v>
      </c>
      <c r="K58" s="3047">
        <f t="shared" si="19"/>
        <v>42675</v>
      </c>
      <c r="L58" s="3047">
        <f t="shared" si="19"/>
        <v>42644</v>
      </c>
      <c r="M58" s="3047">
        <f t="shared" si="19"/>
        <v>42614</v>
      </c>
      <c r="N58" s="3047">
        <f t="shared" si="19"/>
        <v>42583</v>
      </c>
      <c r="O58" s="3047">
        <f t="shared" si="19"/>
        <v>42552</v>
      </c>
      <c r="P58" s="3040"/>
    </row>
    <row r="59" spans="1:29" s="40" customFormat="1" ht="14.25">
      <c r="A59" s="1045"/>
      <c r="B59" s="3043"/>
      <c r="C59" s="3044">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1003</v>
      </c>
      <c r="D65" s="882" t="s">
        <v>1004</v>
      </c>
      <c r="E65" s="882" t="s">
        <v>1005</v>
      </c>
      <c r="F65" s="882" t="s">
        <v>1006</v>
      </c>
      <c r="G65" s="882" t="s">
        <v>1007</v>
      </c>
      <c r="H65" s="882" t="s">
        <v>1008</v>
      </c>
      <c r="I65" s="882" t="s">
        <v>1009</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1010</v>
      </c>
      <c r="D76" s="916" t="s">
        <v>1011</v>
      </c>
      <c r="E76" s="916" t="s">
        <v>1012</v>
      </c>
      <c r="F76" s="916" t="s">
        <v>1013</v>
      </c>
      <c r="G76" s="916" t="s">
        <v>1014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1010</v>
      </c>
      <c r="D78" s="921" t="s">
        <v>1011</v>
      </c>
      <c r="E78" s="921" t="s">
        <v>1012</v>
      </c>
      <c r="F78" s="921" t="s">
        <v>1013</v>
      </c>
      <c r="G78" s="921" t="s">
        <v>1014</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2636</v>
      </c>
      <c r="C80" s="921" t="s">
        <v>1010</v>
      </c>
      <c r="D80" s="921" t="s">
        <v>1011</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2646</v>
      </c>
      <c r="C82" s="177" t="s">
        <v>2647</v>
      </c>
      <c r="D82" s="177" t="s">
        <v>2651</v>
      </c>
      <c r="E82" s="177" t="s">
        <v>2648</v>
      </c>
      <c r="F82" s="177" t="s">
        <v>2649</v>
      </c>
      <c r="G82" s="177" t="s">
        <v>2650</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2638</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15" thickTop="1">
      <c r="A124" s="175"/>
      <c r="B124" s="1054" t="s">
        <v>94</v>
      </c>
      <c r="C124" s="921" t="s">
        <v>423</v>
      </c>
      <c r="D124" s="921" t="s">
        <v>424</v>
      </c>
      <c r="E124" s="921" t="s">
        <v>425</v>
      </c>
      <c r="F124" s="921" t="s">
        <v>426</v>
      </c>
      <c r="G124" s="921" t="s">
        <v>427</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2296</v>
      </c>
    </row>
    <row r="137" spans="1:17" ht="14.25">
      <c r="B137" s="2143" t="s">
        <v>2297</v>
      </c>
      <c r="C137" s="2144"/>
      <c r="D137" s="2144"/>
      <c r="E137" s="2144"/>
      <c r="F137" s="2144"/>
      <c r="G137" s="2145"/>
      <c r="H137" s="2146"/>
      <c r="I137" s="2147" t="s">
        <v>2298</v>
      </c>
      <c r="J137" s="2144"/>
      <c r="K137" s="2148"/>
    </row>
    <row r="138" spans="1:17" ht="14.25">
      <c r="B138" s="2149"/>
      <c r="C138" s="1779" t="s">
        <v>2299</v>
      </c>
      <c r="D138" s="1779" t="s">
        <v>2300</v>
      </c>
      <c r="E138" s="2150" t="s">
        <v>2301</v>
      </c>
      <c r="F138" s="2151" t="s">
        <v>2302</v>
      </c>
      <c r="G138" s="1779" t="s">
        <v>2300</v>
      </c>
      <c r="H138" s="2152" t="s">
        <v>2301</v>
      </c>
      <c r="I138" s="2153"/>
      <c r="J138" s="1779" t="s">
        <v>2303</v>
      </c>
      <c r="K138" s="2152" t="s">
        <v>2304</v>
      </c>
    </row>
    <row r="139" spans="1:17" ht="15">
      <c r="B139" s="2154">
        <v>6</v>
      </c>
      <c r="C139" s="2155">
        <v>96</v>
      </c>
      <c r="D139" s="2156" t="s">
        <v>2305</v>
      </c>
      <c r="E139" s="2157">
        <v>100</v>
      </c>
      <c r="F139" s="2158">
        <v>102.5</v>
      </c>
      <c r="G139" s="2156" t="s">
        <v>2305</v>
      </c>
      <c r="H139" s="2159">
        <v>105</v>
      </c>
      <c r="I139" s="2160" t="s">
        <v>2306</v>
      </c>
      <c r="J139" s="2155">
        <v>20</v>
      </c>
      <c r="K139" s="2161">
        <f>C145/(J139-2)</f>
        <v>4.0555555555555553E-3</v>
      </c>
    </row>
    <row r="140" spans="1:17" ht="15">
      <c r="B140" s="2162">
        <v>5</v>
      </c>
      <c r="C140" s="2163">
        <v>100</v>
      </c>
      <c r="D140" s="2164"/>
      <c r="E140" s="2165"/>
      <c r="F140" s="2166">
        <v>102</v>
      </c>
      <c r="G140" s="2164"/>
      <c r="H140" s="2167"/>
      <c r="I140" s="2168" t="s">
        <v>2307</v>
      </c>
      <c r="J140" s="647">
        <f>ROUNDUP((J139-1)/2,0)</f>
        <v>10</v>
      </c>
      <c r="K140" s="2169">
        <v>100</v>
      </c>
    </row>
    <row r="141" spans="1:17" ht="15">
      <c r="B141" s="2162">
        <v>4</v>
      </c>
      <c r="C141" s="2163">
        <v>102</v>
      </c>
      <c r="D141" s="2164"/>
      <c r="E141" s="2165"/>
      <c r="F141" s="2166">
        <v>101.5</v>
      </c>
      <c r="G141" s="2164"/>
      <c r="H141" s="2167"/>
      <c r="I141" s="2168" t="s">
        <v>2308</v>
      </c>
      <c r="J141" s="647">
        <v>1</v>
      </c>
      <c r="K141" s="2170">
        <f>ROUND(100+(J141-J140)*K139*100,1)</f>
        <v>96.4</v>
      </c>
    </row>
    <row r="142" spans="1:17" ht="15">
      <c r="B142" s="2162">
        <v>3</v>
      </c>
      <c r="C142" s="2163">
        <v>103</v>
      </c>
      <c r="D142" s="2164"/>
      <c r="E142" s="2165"/>
      <c r="F142" s="2166">
        <v>101</v>
      </c>
      <c r="G142" s="2164"/>
      <c r="H142" s="2167"/>
      <c r="I142" s="2168" t="s">
        <v>2309</v>
      </c>
      <c r="J142" s="647">
        <f>J139</f>
        <v>20</v>
      </c>
      <c r="K142" s="2171">
        <v>95</v>
      </c>
    </row>
    <row r="143" spans="1:17" ht="15">
      <c r="B143" s="2162">
        <v>2</v>
      </c>
      <c r="C143" s="2163">
        <v>100</v>
      </c>
      <c r="D143" s="2164"/>
      <c r="E143" s="2165"/>
      <c r="F143" s="2166">
        <v>100.5</v>
      </c>
      <c r="G143" s="2164"/>
      <c r="H143" s="2167"/>
      <c r="I143" s="2168" t="s">
        <v>2310</v>
      </c>
      <c r="J143" s="2163">
        <v>15</v>
      </c>
      <c r="K143" s="2170">
        <f>ROUND(100+(J143-J140)*K139*100,1)</f>
        <v>102</v>
      </c>
    </row>
    <row r="144" spans="1:17" ht="15">
      <c r="B144" s="2162">
        <v>1</v>
      </c>
      <c r="C144" s="2163">
        <v>98</v>
      </c>
      <c r="D144" s="1160" t="s">
        <v>2311</v>
      </c>
      <c r="E144" s="2165">
        <v>102</v>
      </c>
      <c r="F144" s="2172">
        <v>100</v>
      </c>
      <c r="G144" s="1160" t="s">
        <v>2311</v>
      </c>
      <c r="H144" s="2167">
        <v>105</v>
      </c>
      <c r="I144" s="2168" t="s">
        <v>2310</v>
      </c>
      <c r="J144" s="2163">
        <v>18</v>
      </c>
      <c r="K144" s="2170">
        <f>ROUND(100+(J144-J140)*K139*100,1)</f>
        <v>103.2</v>
      </c>
    </row>
    <row r="145" spans="2:11" ht="15.75" thickBot="1">
      <c r="B145" s="2173" t="s">
        <v>2312</v>
      </c>
      <c r="C145" s="2174">
        <f>ROUND(MAX(C139:C144)/MIN(C139:C144)-1,3)</f>
        <v>7.2999999999999995E-2</v>
      </c>
      <c r="D145" s="2175"/>
      <c r="E145" s="2176"/>
      <c r="F145" s="2177" t="s">
        <v>2313</v>
      </c>
      <c r="G145" s="2178"/>
      <c r="H145" s="2179"/>
      <c r="I145" s="2180" t="s">
        <v>2314</v>
      </c>
      <c r="J145" s="2181">
        <v>8</v>
      </c>
      <c r="K145" s="2182">
        <f>ROUND(100+(J145-J140)*K139*100,1)</f>
        <v>99.2</v>
      </c>
    </row>
    <row r="147" spans="2:11">
      <c r="B147" s="2142" t="s">
        <v>2322</v>
      </c>
    </row>
    <row r="148" spans="2:11">
      <c r="B148" s="2142" t="s">
        <v>2323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6" t="s">
        <v>2007</v>
      </c>
    </row>
    <row r="2" spans="1:1">
      <c r="A2" s="1947"/>
    </row>
    <row r="3" spans="1:1" ht="18.75">
      <c r="A3" s="2890" t="str">
        <f>项目基本情况!B5&amp;"："</f>
        <v>北京古北水镇旅游有限公司：</v>
      </c>
    </row>
    <row r="4" spans="1:1" ht="37.5">
      <c r="A4" s="1948" t="str">
        <f>"受贵公司委托，我公司对"&amp;项目基本情况!S1&amp;"进行了预评估。"</f>
        <v>受贵公司委托，我公司对北京市密云县司马台村出让国有建设用地使用权及在建建筑物房地产抵押价值进行了预评估。</v>
      </c>
    </row>
    <row r="5" spans="1:1" ht="18.75">
      <c r="A5" s="1949" t="s">
        <v>2008</v>
      </c>
    </row>
    <row r="6" spans="1:1" ht="18.75">
      <c r="A6" s="3057" t="s">
        <v>2871</v>
      </c>
    </row>
    <row r="7" spans="1:1" ht="56.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司马台村出让国有建设用地使用权及在建建筑物房地产，为所有。根据《国有土地使用证》[]，估价对象（分摊）出让国有建设用地使用权面积为346512.69平方米，建筑面积为326059.45平方米。</v>
      </c>
    </row>
    <row r="8" spans="1:1" ht="56.25">
      <c r="A8" s="1992" t="s">
        <v>2864</v>
      </c>
    </row>
    <row r="9" spans="1:1" ht="18.75">
      <c r="A9" s="3057" t="s">
        <v>2872</v>
      </c>
    </row>
    <row r="10" spans="1:1" ht="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司马台村出让国有建设用地使用权及在建建筑物房地产,为开发建设的商业项目，该项目尚在开发建设中。根据《国有土地使用证》[]，估价对象（分摊）出让国有建设用地使用权面积为346512.69平方米，规划建筑面积为326059.45平方米。</v>
      </c>
    </row>
    <row r="11" spans="1:1" ht="75">
      <c r="A11" s="1992" t="s">
        <v>2906</v>
      </c>
    </row>
    <row r="12" spans="1:1" ht="18.75">
      <c r="A12" s="1949" t="s">
        <v>2009</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2010</v>
      </c>
    </row>
    <row r="15" spans="1:1" ht="18.75">
      <c r="A15" s="1952" t="str">
        <f>TEXT(项目基本情况!D3,"yyyy年m月d日;;")&amp;IF(项目基本情况!D3=项目基本情况!B3,"（评估专业人员实地查勘之日）","")</f>
        <v>2017年7月25日（评估专业人员实地查勘之日）</v>
      </c>
    </row>
    <row r="16" spans="1:1" ht="18.75">
      <c r="A16" s="1951" t="s">
        <v>2012</v>
      </c>
    </row>
    <row r="17" spans="1:1" ht="75">
      <c r="A17" s="1948" t="s">
        <v>2865</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25日，估价对象规划用途为商业，土地取得方式为出让，出让国有建设用地使用权剩余土地使用年限为商业34.06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热、、、）、红线内场地平整条件下，剩余土地使用年限为商业34.06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48"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48" t="s">
        <v>2866</v>
      </c>
    </row>
    <row r="22" spans="1:1" ht="56.25">
      <c r="A22" s="1948"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2028</v>
      </c>
    </row>
    <row r="24" spans="1:1" ht="18.75">
      <c r="A24" s="1955" t="str">
        <f>"本次评估采用的主估价方法为"&amp;结果表!K4&amp;"和"&amp;结果表!L4&amp;"。"</f>
        <v>本次评估采用的主估价方法为成本法和假设开发法。</v>
      </c>
    </row>
    <row r="25" spans="1:1" ht="18.75">
      <c r="A25" s="1955"/>
    </row>
    <row r="26" spans="1:1" ht="18.75">
      <c r="A26" s="2084" t="s">
        <v>2109</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108</v>
      </c>
      <c r="B1" s="3106" t="s">
        <v>1</v>
      </c>
      <c r="C1" s="3107" t="s">
        <v>128</v>
      </c>
      <c r="D1" s="3108"/>
      <c r="E1" s="3111"/>
      <c r="F1" s="3110"/>
      <c r="G1" s="3112" t="s">
        <v>129</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173</v>
      </c>
      <c r="B2" s="2848" t="e">
        <f ca="1">IF(C2="——",ROUND(C49*D3/10000,0),ROUND(C49*D3/10000,0)-D2)</f>
        <v>#DIV/0!</v>
      </c>
      <c r="C2" s="3102"/>
      <c r="D2" s="2725" t="e">
        <f ca="1">SUMIF(INDIRECT("'"&amp;F2&amp;"'"&amp;"!A:A"),"承租人权益价值",INDIRECT("'"&amp;F2&amp;"'"&amp;"!c:c"))</f>
        <v>#REF!</v>
      </c>
      <c r="E2" s="3103" t="s">
        <v>862</v>
      </c>
      <c r="F2" s="3104"/>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326059.4499999999</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783" t="s">
        <v>54</v>
      </c>
      <c r="D4" s="3784"/>
      <c r="E4" s="3785" t="s">
        <v>55</v>
      </c>
      <c r="F4" s="3786"/>
      <c r="G4" s="3783" t="s">
        <v>56</v>
      </c>
      <c r="H4" s="3784"/>
      <c r="I4" s="3783" t="s">
        <v>57</v>
      </c>
      <c r="J4" s="3784"/>
      <c r="K4" s="187" t="s">
        <v>58</v>
      </c>
      <c r="L4" s="2296"/>
      <c r="M4" s="2297"/>
      <c r="N4" s="2297"/>
      <c r="O4" s="2297"/>
      <c r="P4" s="3787" t="s">
        <v>53</v>
      </c>
      <c r="Q4" s="3788"/>
      <c r="R4" s="3793" t="s">
        <v>55</v>
      </c>
      <c r="S4" s="3794"/>
      <c r="T4" s="3793" t="s">
        <v>56</v>
      </c>
      <c r="U4" s="3794"/>
      <c r="V4" s="3799" t="s">
        <v>57</v>
      </c>
      <c r="W4" s="3799"/>
      <c r="X4" s="1340"/>
      <c r="Y4" s="3793" t="s">
        <v>53</v>
      </c>
      <c r="Z4" s="3794"/>
      <c r="AA4" s="3780" t="s">
        <v>55</v>
      </c>
      <c r="AB4" s="3799" t="s">
        <v>56</v>
      </c>
      <c r="AC4" s="3780" t="s">
        <v>57</v>
      </c>
    </row>
    <row r="5" spans="1:29">
      <c r="A5" s="146"/>
      <c r="B5" s="147"/>
      <c r="C5" s="3802" t="s">
        <v>59</v>
      </c>
      <c r="D5" s="3803"/>
      <c r="E5" s="3809" t="s">
        <v>60</v>
      </c>
      <c r="F5" s="3810"/>
      <c r="G5" s="3802" t="s">
        <v>61</v>
      </c>
      <c r="H5" s="3803"/>
      <c r="I5" s="3802" t="s">
        <v>62</v>
      </c>
      <c r="J5" s="3803"/>
      <c r="K5" s="187"/>
      <c r="L5" s="2296"/>
      <c r="M5" s="2297"/>
      <c r="N5" s="2297"/>
      <c r="O5" s="2297"/>
      <c r="P5" s="3789"/>
      <c r="Q5" s="3790"/>
      <c r="R5" s="3795"/>
      <c r="S5" s="3796"/>
      <c r="T5" s="3795"/>
      <c r="U5" s="3796"/>
      <c r="V5" s="3799"/>
      <c r="W5" s="3799"/>
      <c r="X5" s="1340"/>
      <c r="Y5" s="3795"/>
      <c r="Z5" s="3796"/>
      <c r="AA5" s="3781"/>
      <c r="AB5" s="3799"/>
      <c r="AC5" s="3781"/>
    </row>
    <row r="6" spans="1:29" ht="14.25" thickBot="1">
      <c r="A6" s="148"/>
      <c r="B6" s="149"/>
      <c r="C6" s="3800" t="s">
        <v>63</v>
      </c>
      <c r="D6" s="3801"/>
      <c r="E6" s="3807" t="s">
        <v>63</v>
      </c>
      <c r="F6" s="3808"/>
      <c r="G6" s="3800" t="s">
        <v>63</v>
      </c>
      <c r="H6" s="3801"/>
      <c r="I6" s="3800" t="s">
        <v>63</v>
      </c>
      <c r="J6" s="3801"/>
      <c r="K6" s="187" t="s">
        <v>117</v>
      </c>
      <c r="L6" s="2296"/>
      <c r="M6" s="2297"/>
      <c r="N6" s="2297"/>
      <c r="O6" s="2297"/>
      <c r="P6" s="3791"/>
      <c r="Q6" s="3792"/>
      <c r="R6" s="3795"/>
      <c r="S6" s="3796"/>
      <c r="T6" s="3797"/>
      <c r="U6" s="3798"/>
      <c r="V6" s="3799"/>
      <c r="W6" s="3799"/>
      <c r="X6" s="1340"/>
      <c r="Y6" s="3797"/>
      <c r="Z6" s="3798"/>
      <c r="AA6" s="3782"/>
      <c r="AB6" s="3799"/>
      <c r="AC6" s="3782"/>
    </row>
    <row r="7" spans="1:29" s="40" customFormat="1" ht="15" thickBot="1">
      <c r="A7" s="1014" t="s">
        <v>64</v>
      </c>
      <c r="B7" s="1015"/>
      <c r="C7" s="1016">
        <f>'数据-取费表'!B2</f>
        <v>42941</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804" t="s">
        <v>64</v>
      </c>
      <c r="Q7" s="3806"/>
      <c r="R7" s="1342" t="s">
        <v>65</v>
      </c>
      <c r="S7" s="1343">
        <f t="shared" ref="S7:S15" si="0">F7</f>
        <v>0</v>
      </c>
      <c r="T7" s="1342" t="s">
        <v>65</v>
      </c>
      <c r="U7" s="1343">
        <f t="shared" ref="U7:U15" si="1">H7</f>
        <v>0</v>
      </c>
      <c r="V7" s="1342" t="s">
        <v>65</v>
      </c>
      <c r="W7" s="1343">
        <f t="shared" ref="W7:W15" si="2">J7</f>
        <v>0</v>
      </c>
      <c r="X7" s="287"/>
      <c r="Y7" s="3804" t="s">
        <v>64</v>
      </c>
      <c r="Z7" s="3805"/>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804" t="s">
        <v>1015</v>
      </c>
      <c r="Q8" s="3805"/>
      <c r="R8" s="1342" t="s">
        <v>65</v>
      </c>
      <c r="S8" s="1343">
        <f t="shared" si="0"/>
        <v>0</v>
      </c>
      <c r="T8" s="1342" t="s">
        <v>65</v>
      </c>
      <c r="U8" s="1343">
        <f t="shared" si="1"/>
        <v>0</v>
      </c>
      <c r="V8" s="1342" t="s">
        <v>65</v>
      </c>
      <c r="W8" s="1343">
        <f t="shared" si="2"/>
        <v>0</v>
      </c>
      <c r="X8" s="287"/>
      <c r="Y8" s="3804" t="s">
        <v>1015</v>
      </c>
      <c r="Z8" s="3805"/>
      <c r="AA8" s="1344" t="e">
        <f t="shared" ref="AA8:AA46" si="3">D8/F8</f>
        <v>#DIV/0!</v>
      </c>
      <c r="AB8" s="1344" t="e">
        <f t="shared" ref="AB8:AB46" si="4">D8/H8</f>
        <v>#DIV/0!</v>
      </c>
      <c r="AC8" s="1344" t="e">
        <f t="shared" ref="AC8:AC46" si="5">D8/J8</f>
        <v>#DIV/0!</v>
      </c>
    </row>
    <row r="9" spans="1:29" s="40" customFormat="1" ht="14.25">
      <c r="A9" s="1021" t="s">
        <v>1016</v>
      </c>
      <c r="B9" s="62" t="s">
        <v>1017</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779" t="s">
        <v>67</v>
      </c>
      <c r="Q9" s="7" t="str">
        <f t="shared" ref="Q9:Q15" si="6">B9</f>
        <v>用途</v>
      </c>
      <c r="R9" s="1342" t="s">
        <v>65</v>
      </c>
      <c r="S9" s="1343">
        <f t="shared" si="0"/>
        <v>100</v>
      </c>
      <c r="T9" s="1342" t="s">
        <v>65</v>
      </c>
      <c r="U9" s="1343">
        <f t="shared" si="1"/>
        <v>100</v>
      </c>
      <c r="V9" s="1342" t="s">
        <v>65</v>
      </c>
      <c r="W9" s="1343">
        <f t="shared" si="2"/>
        <v>100</v>
      </c>
      <c r="X9" s="287"/>
      <c r="Y9" s="3545"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779"/>
      <c r="Q10" s="7" t="str">
        <f t="shared" si="6"/>
        <v>土地使用年限（年）</v>
      </c>
      <c r="R10" s="1342" t="s">
        <v>65</v>
      </c>
      <c r="S10" s="1343">
        <f t="shared" si="0"/>
        <v>100</v>
      </c>
      <c r="T10" s="1342" t="s">
        <v>65</v>
      </c>
      <c r="U10" s="1343">
        <f t="shared" si="1"/>
        <v>100</v>
      </c>
      <c r="V10" s="1342" t="s">
        <v>65</v>
      </c>
      <c r="W10" s="1343">
        <f t="shared" si="2"/>
        <v>100</v>
      </c>
      <c r="X10" s="287"/>
      <c r="Y10" s="3545"/>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779"/>
      <c r="Q11" s="7" t="str">
        <f t="shared" si="6"/>
        <v>容积率</v>
      </c>
      <c r="R11" s="1342" t="s">
        <v>65</v>
      </c>
      <c r="S11" s="1343" t="e">
        <f t="shared" si="0"/>
        <v>#N/A</v>
      </c>
      <c r="T11" s="1342" t="s">
        <v>65</v>
      </c>
      <c r="U11" s="1343" t="e">
        <f t="shared" si="1"/>
        <v>#N/A</v>
      </c>
      <c r="V11" s="1342" t="s">
        <v>65</v>
      </c>
      <c r="W11" s="1343" t="e">
        <f t="shared" si="2"/>
        <v>#N/A</v>
      </c>
      <c r="X11" s="287"/>
      <c r="Y11" s="354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779"/>
      <c r="Q12" s="7">
        <f t="shared" si="6"/>
        <v>111</v>
      </c>
      <c r="R12" s="1342" t="s">
        <v>65</v>
      </c>
      <c r="S12" s="1343">
        <f t="shared" si="0"/>
        <v>100</v>
      </c>
      <c r="T12" s="1342" t="s">
        <v>65</v>
      </c>
      <c r="U12" s="1343">
        <f t="shared" si="1"/>
        <v>100</v>
      </c>
      <c r="V12" s="1342" t="s">
        <v>65</v>
      </c>
      <c r="W12" s="1343">
        <f t="shared" si="2"/>
        <v>100</v>
      </c>
      <c r="X12" s="287"/>
      <c r="Y12" s="3545"/>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779"/>
      <c r="Q13" s="7">
        <f t="shared" si="6"/>
        <v>111</v>
      </c>
      <c r="R13" s="1342" t="s">
        <v>65</v>
      </c>
      <c r="S13" s="1343">
        <f t="shared" si="0"/>
        <v>100</v>
      </c>
      <c r="T13" s="1342" t="s">
        <v>65</v>
      </c>
      <c r="U13" s="1343">
        <f t="shared" si="1"/>
        <v>100</v>
      </c>
      <c r="V13" s="1342" t="s">
        <v>65</v>
      </c>
      <c r="W13" s="1343">
        <f t="shared" si="2"/>
        <v>100</v>
      </c>
      <c r="X13" s="287"/>
      <c r="Y13" s="3545"/>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779"/>
      <c r="Q14" s="7">
        <f t="shared" si="6"/>
        <v>111</v>
      </c>
      <c r="R14" s="1342" t="s">
        <v>65</v>
      </c>
      <c r="S14" s="1343">
        <f t="shared" si="0"/>
        <v>100</v>
      </c>
      <c r="T14" s="1342" t="s">
        <v>65</v>
      </c>
      <c r="U14" s="1343">
        <f t="shared" si="1"/>
        <v>100</v>
      </c>
      <c r="V14" s="1342" t="s">
        <v>65</v>
      </c>
      <c r="W14" s="1343">
        <f t="shared" si="2"/>
        <v>100</v>
      </c>
      <c r="X14" s="287"/>
      <c r="Y14" s="3545"/>
      <c r="Z14" s="288">
        <f t="shared" si="7"/>
        <v>111</v>
      </c>
      <c r="AA14" s="1344">
        <f t="shared" si="3"/>
        <v>1</v>
      </c>
      <c r="AB14" s="1344">
        <f t="shared" si="4"/>
        <v>1</v>
      </c>
      <c r="AC14" s="1344">
        <f t="shared" si="5"/>
        <v>1</v>
      </c>
    </row>
    <row r="15" spans="1:29" ht="81">
      <c r="A15" s="155" t="s">
        <v>69</v>
      </c>
      <c r="B15" s="58" t="s">
        <v>130</v>
      </c>
      <c r="C15" s="157" t="str">
        <f>估价对象房地状况!C4</f>
        <v>估价对象区域内无大型商业项目，零星分布农村商店，人流量较少，区域内商业繁华度一般</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777" t="s">
        <v>69</v>
      </c>
      <c r="Q15" s="1351" t="str">
        <f t="shared" si="6"/>
        <v>商业繁华度</v>
      </c>
      <c r="R15" s="1352" t="s">
        <v>65</v>
      </c>
      <c r="S15" s="1353">
        <f t="shared" si="0"/>
        <v>100</v>
      </c>
      <c r="T15" s="1352" t="s">
        <v>65</v>
      </c>
      <c r="U15" s="1353">
        <f t="shared" si="1"/>
        <v>100</v>
      </c>
      <c r="V15" s="1352" t="s">
        <v>65</v>
      </c>
      <c r="W15" s="1353">
        <f t="shared" si="2"/>
        <v>100</v>
      </c>
      <c r="X15" s="1340"/>
      <c r="Y15" s="3770"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778"/>
      <c r="Q16" s="1351"/>
      <c r="R16" s="1352"/>
      <c r="S16" s="1353"/>
      <c r="T16" s="1352"/>
      <c r="U16" s="1353"/>
      <c r="V16" s="1352"/>
      <c r="W16" s="1353"/>
      <c r="X16" s="1340"/>
      <c r="Y16" s="3771"/>
      <c r="Z16" s="1354"/>
      <c r="AA16" s="1355">
        <v>1</v>
      </c>
      <c r="AB16" s="1355">
        <v>1</v>
      </c>
      <c r="AC16" s="1355">
        <v>1</v>
      </c>
    </row>
    <row r="17" spans="1:29" ht="81">
      <c r="A17" s="151"/>
      <c r="B17" s="1356" t="s">
        <v>72</v>
      </c>
      <c r="C17" s="158" t="str">
        <f>估价对象房地状况!C6</f>
        <v>估价对象紧邻大广高速，周边有密37、密50、密51路等公交线路，综合评价交通便捷度较好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778"/>
      <c r="Q17" s="1351" t="str">
        <f>B17</f>
        <v>交通便捷度</v>
      </c>
      <c r="R17" s="1352" t="s">
        <v>65</v>
      </c>
      <c r="S17" s="1353">
        <f>F17</f>
        <v>100</v>
      </c>
      <c r="T17" s="1352" t="s">
        <v>65</v>
      </c>
      <c r="U17" s="1353">
        <f>H17</f>
        <v>100</v>
      </c>
      <c r="V17" s="1352" t="s">
        <v>65</v>
      </c>
      <c r="W17" s="1353">
        <f>J17</f>
        <v>100</v>
      </c>
      <c r="X17" s="1340"/>
      <c r="Y17" s="3771"/>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778"/>
      <c r="Q18" s="1351"/>
      <c r="R18" s="1352"/>
      <c r="S18" s="1353"/>
      <c r="T18" s="1352"/>
      <c r="U18" s="1353"/>
      <c r="V18" s="1352"/>
      <c r="W18" s="1353"/>
      <c r="X18" s="1340"/>
      <c r="Y18" s="3771"/>
      <c r="Z18" s="1354"/>
      <c r="AA18" s="1355">
        <v>1</v>
      </c>
      <c r="AB18" s="1355">
        <v>1</v>
      </c>
      <c r="AC18" s="1355">
        <v>1</v>
      </c>
    </row>
    <row r="19" spans="1:29" ht="94.5">
      <c r="A19" s="151"/>
      <c r="B19" s="1356" t="s">
        <v>2652</v>
      </c>
      <c r="C19" s="158" t="str">
        <f>估价对象房地状况!C7</f>
        <v>估价对象所在区域公共配套设施齐备情况；基础设施水平；综合评价公用设施及基础设施水平一般</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778"/>
      <c r="Q19" s="1351" t="str">
        <f>B19</f>
        <v>公共配套设施</v>
      </c>
      <c r="R19" s="1352" t="s">
        <v>65</v>
      </c>
      <c r="S19" s="1353">
        <f>F19</f>
        <v>100</v>
      </c>
      <c r="T19" s="1352" t="s">
        <v>65</v>
      </c>
      <c r="U19" s="1353">
        <f>H19</f>
        <v>100</v>
      </c>
      <c r="V19" s="1352" t="s">
        <v>65</v>
      </c>
      <c r="W19" s="1353">
        <f>J19</f>
        <v>100</v>
      </c>
      <c r="X19" s="1340"/>
      <c r="Y19" s="3771"/>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778"/>
      <c r="Q20" s="1351"/>
      <c r="R20" s="1352"/>
      <c r="S20" s="1353"/>
      <c r="T20" s="1352"/>
      <c r="U20" s="1353"/>
      <c r="V20" s="1352"/>
      <c r="W20" s="1353"/>
      <c r="X20" s="1340"/>
      <c r="Y20" s="3771"/>
      <c r="Z20" s="1354"/>
      <c r="AA20" s="1355">
        <v>1</v>
      </c>
      <c r="AB20" s="1355">
        <v>1</v>
      </c>
      <c r="AC20" s="1355">
        <v>1</v>
      </c>
    </row>
    <row r="21" spans="1:29" ht="94.5">
      <c r="A21" s="151"/>
      <c r="B21" s="1412" t="s">
        <v>2653</v>
      </c>
      <c r="C21" s="158" t="str">
        <f>估价对象房地状况!C8</f>
        <v>估价对象所在区域公共配套设施齐备情况；基础设施水平；综合评价公用设施及基础设施水平一般</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778"/>
      <c r="Q21" s="2747" t="str">
        <f>B21</f>
        <v>基础设施水平</v>
      </c>
      <c r="R21" s="1352" t="s">
        <v>65</v>
      </c>
      <c r="S21" s="1353">
        <f>F21</f>
        <v>100</v>
      </c>
      <c r="T21" s="1352" t="s">
        <v>65</v>
      </c>
      <c r="U21" s="1353">
        <f>H21</f>
        <v>100</v>
      </c>
      <c r="V21" s="1352" t="s">
        <v>65</v>
      </c>
      <c r="W21" s="1353">
        <f>J21</f>
        <v>100</v>
      </c>
      <c r="X21" s="2749"/>
      <c r="Y21" s="3771"/>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778"/>
      <c r="Q22" s="2747"/>
      <c r="R22" s="1352"/>
      <c r="S22" s="1353"/>
      <c r="T22" s="1352"/>
      <c r="U22" s="1353"/>
      <c r="V22" s="1352"/>
      <c r="W22" s="1353"/>
      <c r="X22" s="2749"/>
      <c r="Y22" s="3771"/>
      <c r="Z22" s="2748"/>
      <c r="AA22" s="1355">
        <v>1</v>
      </c>
      <c r="AB22" s="1355">
        <v>1</v>
      </c>
      <c r="AC22" s="1355">
        <v>1</v>
      </c>
    </row>
    <row r="23" spans="1:29" ht="54">
      <c r="A23" s="151"/>
      <c r="B23" s="1356" t="s">
        <v>73</v>
      </c>
      <c r="C23" s="190" t="str">
        <f>估价对象房地状况!C9</f>
        <v>区域有司马台长城、鸳鸯湖水库；综合评价环境状况好</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778"/>
      <c r="Q23" s="1351" t="str">
        <f>B23</f>
        <v>自然及人文环境</v>
      </c>
      <c r="R23" s="1352" t="s">
        <v>65</v>
      </c>
      <c r="S23" s="1353">
        <f>F23</f>
        <v>100</v>
      </c>
      <c r="T23" s="1352" t="s">
        <v>65</v>
      </c>
      <c r="U23" s="1353">
        <f>H23</f>
        <v>100</v>
      </c>
      <c r="V23" s="1352" t="s">
        <v>65</v>
      </c>
      <c r="W23" s="1353">
        <f>J23</f>
        <v>100</v>
      </c>
      <c r="X23" s="1340"/>
      <c r="Y23" s="3771"/>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778"/>
      <c r="Q24" s="1351"/>
      <c r="R24" s="1352"/>
      <c r="S24" s="1353"/>
      <c r="T24" s="1352"/>
      <c r="U24" s="1353"/>
      <c r="V24" s="1352"/>
      <c r="W24" s="1353"/>
      <c r="X24" s="1340"/>
      <c r="Y24" s="3771"/>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778"/>
      <c r="Q25" s="1351" t="str">
        <f t="shared" ref="Q25:Q46" si="11">B25</f>
        <v>临街状况</v>
      </c>
      <c r="R25" s="1352" t="s">
        <v>65</v>
      </c>
      <c r="S25" s="1353">
        <f>F25</f>
        <v>100</v>
      </c>
      <c r="T25" s="1352" t="s">
        <v>65</v>
      </c>
      <c r="U25" s="1353">
        <f>H25</f>
        <v>100</v>
      </c>
      <c r="V25" s="1352" t="s">
        <v>65</v>
      </c>
      <c r="W25" s="1353">
        <f>J25</f>
        <v>100</v>
      </c>
      <c r="X25" s="1340"/>
      <c r="Y25" s="3771"/>
      <c r="Z25" s="1354" t="str">
        <f>Q25</f>
        <v>临街状况</v>
      </c>
      <c r="AA25" s="1355">
        <f t="shared" si="3"/>
        <v>1</v>
      </c>
      <c r="AB25" s="1355">
        <f t="shared" si="4"/>
        <v>1</v>
      </c>
      <c r="AC25" s="1355">
        <f t="shared" si="5"/>
        <v>1</v>
      </c>
    </row>
    <row r="26" spans="1:29" ht="14.25">
      <c r="A26" s="151"/>
      <c r="B26" s="1357" t="s">
        <v>1018</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778"/>
      <c r="Q26" s="1351" t="str">
        <f t="shared" si="11"/>
        <v>平面位置/可视性</v>
      </c>
      <c r="R26" s="1352" t="s">
        <v>65</v>
      </c>
      <c r="S26" s="1353">
        <f>F26</f>
        <v>100</v>
      </c>
      <c r="T26" s="1352" t="s">
        <v>65</v>
      </c>
      <c r="U26" s="1353">
        <f>H26</f>
        <v>100</v>
      </c>
      <c r="V26" s="1352" t="s">
        <v>65</v>
      </c>
      <c r="W26" s="1353">
        <f>J26</f>
        <v>100</v>
      </c>
      <c r="X26" s="1340"/>
      <c r="Y26" s="3771"/>
      <c r="Z26" s="1354" t="str">
        <f>Q26</f>
        <v>平面位置/可视性</v>
      </c>
      <c r="AA26" s="1355">
        <f t="shared" si="3"/>
        <v>1</v>
      </c>
      <c r="AB26" s="1355">
        <f t="shared" si="4"/>
        <v>1</v>
      </c>
      <c r="AC26" s="1355">
        <f t="shared" si="5"/>
        <v>1</v>
      </c>
    </row>
    <row r="27" spans="1:29" s="40" customFormat="1" ht="15">
      <c r="A27" s="1030"/>
      <c r="B27" s="1356" t="s">
        <v>1019</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778"/>
      <c r="Q27" s="7" t="str">
        <f t="shared" si="11"/>
        <v>人流量</v>
      </c>
      <c r="R27" s="1342" t="s">
        <v>65</v>
      </c>
      <c r="S27" s="1343">
        <f>F27</f>
        <v>100</v>
      </c>
      <c r="T27" s="1342" t="s">
        <v>65</v>
      </c>
      <c r="U27" s="1343">
        <f>H27</f>
        <v>100</v>
      </c>
      <c r="V27" s="1342" t="s">
        <v>65</v>
      </c>
      <c r="W27" s="1343">
        <f>J27</f>
        <v>100</v>
      </c>
      <c r="X27" s="287"/>
      <c r="Y27" s="3771"/>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778"/>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771"/>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778"/>
      <c r="Q29" s="1351">
        <f t="shared" si="11"/>
        <v>111</v>
      </c>
      <c r="R29" s="1352" t="s">
        <v>65</v>
      </c>
      <c r="S29" s="1353">
        <f t="shared" si="12"/>
        <v>100</v>
      </c>
      <c r="T29" s="1352" t="s">
        <v>65</v>
      </c>
      <c r="U29" s="1353">
        <f t="shared" si="13"/>
        <v>100</v>
      </c>
      <c r="V29" s="1352" t="s">
        <v>65</v>
      </c>
      <c r="W29" s="1353">
        <f t="shared" si="14"/>
        <v>100</v>
      </c>
      <c r="X29" s="1340"/>
      <c r="Y29" s="3771"/>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778"/>
      <c r="Q30" s="1351">
        <f t="shared" si="11"/>
        <v>111</v>
      </c>
      <c r="R30" s="1352" t="s">
        <v>65</v>
      </c>
      <c r="S30" s="1353">
        <f t="shared" si="12"/>
        <v>100</v>
      </c>
      <c r="T30" s="1352" t="s">
        <v>65</v>
      </c>
      <c r="U30" s="1353">
        <f t="shared" si="13"/>
        <v>100</v>
      </c>
      <c r="V30" s="1352" t="s">
        <v>65</v>
      </c>
      <c r="W30" s="1353">
        <f t="shared" si="14"/>
        <v>100</v>
      </c>
      <c r="X30" s="1340"/>
      <c r="Y30" s="3771"/>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778"/>
      <c r="Q31" s="1351">
        <f t="shared" si="11"/>
        <v>111</v>
      </c>
      <c r="R31" s="1352" t="s">
        <v>65</v>
      </c>
      <c r="S31" s="1353">
        <f t="shared" si="12"/>
        <v>100</v>
      </c>
      <c r="T31" s="1352" t="s">
        <v>65</v>
      </c>
      <c r="U31" s="1353">
        <f t="shared" si="13"/>
        <v>100</v>
      </c>
      <c r="V31" s="1352" t="s">
        <v>65</v>
      </c>
      <c r="W31" s="1353">
        <f t="shared" si="14"/>
        <v>100</v>
      </c>
      <c r="X31" s="1340"/>
      <c r="Y31" s="3771"/>
      <c r="Z31" s="1354">
        <f t="shared" si="15"/>
        <v>111</v>
      </c>
      <c r="AA31" s="1355">
        <f t="shared" si="3"/>
        <v>1</v>
      </c>
      <c r="AB31" s="1355">
        <f t="shared" si="4"/>
        <v>1</v>
      </c>
      <c r="AC31" s="1355">
        <f t="shared" si="5"/>
        <v>1</v>
      </c>
    </row>
    <row r="32" spans="1:29" ht="15">
      <c r="A32" s="155" t="s">
        <v>1020</v>
      </c>
      <c r="B32" s="62" t="s">
        <v>1021</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772" t="s">
        <v>1022</v>
      </c>
      <c r="Q32" s="1351" t="str">
        <f t="shared" si="11"/>
        <v>商业类型</v>
      </c>
      <c r="R32" s="1352" t="s">
        <v>65</v>
      </c>
      <c r="S32" s="1353">
        <f t="shared" si="12"/>
        <v>100</v>
      </c>
      <c r="T32" s="1352" t="s">
        <v>65</v>
      </c>
      <c r="U32" s="1353">
        <f t="shared" si="13"/>
        <v>100</v>
      </c>
      <c r="V32" s="1352" t="s">
        <v>65</v>
      </c>
      <c r="W32" s="1353">
        <f t="shared" si="14"/>
        <v>100</v>
      </c>
      <c r="X32" s="1340"/>
      <c r="Y32" s="3775" t="s">
        <v>1022</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773"/>
      <c r="Q33" s="1359" t="str">
        <f t="shared" si="11"/>
        <v>项目建筑规模</v>
      </c>
      <c r="R33" s="1360" t="s">
        <v>65</v>
      </c>
      <c r="S33" s="1361" t="e">
        <f t="shared" si="12"/>
        <v>#N/A</v>
      </c>
      <c r="T33" s="1360" t="s">
        <v>65</v>
      </c>
      <c r="U33" s="1361" t="e">
        <f t="shared" si="13"/>
        <v>#N/A</v>
      </c>
      <c r="V33" s="1360" t="s">
        <v>65</v>
      </c>
      <c r="W33" s="1361" t="e">
        <f t="shared" si="14"/>
        <v>#N/A</v>
      </c>
      <c r="X33" s="1362"/>
      <c r="Y33" s="3775"/>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773"/>
      <c r="Q34" s="1351" t="str">
        <f t="shared" si="11"/>
        <v>建筑结构</v>
      </c>
      <c r="R34" s="1352" t="s">
        <v>65</v>
      </c>
      <c r="S34" s="1353">
        <f t="shared" si="12"/>
        <v>100</v>
      </c>
      <c r="T34" s="1352" t="s">
        <v>65</v>
      </c>
      <c r="U34" s="1353">
        <f t="shared" si="13"/>
        <v>100</v>
      </c>
      <c r="V34" s="1352" t="s">
        <v>65</v>
      </c>
      <c r="W34" s="1353">
        <f t="shared" si="14"/>
        <v>100</v>
      </c>
      <c r="X34" s="1340"/>
      <c r="Y34" s="3775"/>
      <c r="Z34" s="1354" t="str">
        <f t="shared" si="15"/>
        <v>建筑结构</v>
      </c>
      <c r="AA34" s="1355">
        <f t="shared" si="3"/>
        <v>1</v>
      </c>
      <c r="AB34" s="1355">
        <f t="shared" si="4"/>
        <v>1</v>
      </c>
      <c r="AC34" s="1355">
        <f t="shared" si="5"/>
        <v>1</v>
      </c>
    </row>
    <row r="35" spans="1:29" ht="15">
      <c r="A35" s="161"/>
      <c r="B35" s="12" t="s">
        <v>1023</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773"/>
      <c r="Q35" s="1351" t="str">
        <f t="shared" si="11"/>
        <v>公共部分装修</v>
      </c>
      <c r="R35" s="1352" t="s">
        <v>65</v>
      </c>
      <c r="S35" s="1353">
        <f t="shared" si="12"/>
        <v>100</v>
      </c>
      <c r="T35" s="1352" t="s">
        <v>65</v>
      </c>
      <c r="U35" s="1353">
        <f t="shared" si="13"/>
        <v>100</v>
      </c>
      <c r="V35" s="1352" t="s">
        <v>65</v>
      </c>
      <c r="W35" s="1353">
        <f t="shared" si="14"/>
        <v>100</v>
      </c>
      <c r="X35" s="1340"/>
      <c r="Y35" s="3775"/>
      <c r="Z35" s="1354" t="str">
        <f t="shared" si="15"/>
        <v>公共部分装修</v>
      </c>
      <c r="AA35" s="1355">
        <f t="shared" si="3"/>
        <v>1</v>
      </c>
      <c r="AB35" s="1355">
        <f t="shared" si="4"/>
        <v>1</v>
      </c>
      <c r="AC35" s="1355">
        <f t="shared" si="5"/>
        <v>1</v>
      </c>
    </row>
    <row r="36" spans="1:29" ht="15">
      <c r="A36" s="161"/>
      <c r="B36" s="12" t="s">
        <v>1024</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773"/>
      <c r="Q36" s="1351" t="str">
        <f t="shared" si="11"/>
        <v>成新度</v>
      </c>
      <c r="R36" s="1352" t="s">
        <v>65</v>
      </c>
      <c r="S36" s="1353" t="e">
        <f t="shared" si="12"/>
        <v>#N/A</v>
      </c>
      <c r="T36" s="1352" t="s">
        <v>65</v>
      </c>
      <c r="U36" s="1353" t="e">
        <f t="shared" si="13"/>
        <v>#N/A</v>
      </c>
      <c r="V36" s="1352" t="s">
        <v>65</v>
      </c>
      <c r="W36" s="1353" t="e">
        <f t="shared" si="14"/>
        <v>#N/A</v>
      </c>
      <c r="X36" s="1340"/>
      <c r="Y36" s="3775"/>
      <c r="Z36" s="1354" t="str">
        <f t="shared" si="15"/>
        <v>成新度</v>
      </c>
      <c r="AA36" s="1355" t="e">
        <f t="shared" si="3"/>
        <v>#N/A</v>
      </c>
      <c r="AB36" s="1355" t="e">
        <f t="shared" si="4"/>
        <v>#N/A</v>
      </c>
      <c r="AC36" s="1355" t="e">
        <f t="shared" si="5"/>
        <v>#N/A</v>
      </c>
    </row>
    <row r="37" spans="1:29" s="40" customFormat="1" ht="15">
      <c r="A37" s="1041"/>
      <c r="B37" s="12" t="s">
        <v>2654</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773"/>
      <c r="Q37" s="7" t="str">
        <f t="shared" si="11"/>
        <v>市政基础设施</v>
      </c>
      <c r="R37" s="1342" t="s">
        <v>65</v>
      </c>
      <c r="S37" s="1343">
        <f t="shared" si="12"/>
        <v>100</v>
      </c>
      <c r="T37" s="1342" t="s">
        <v>65</v>
      </c>
      <c r="U37" s="1343">
        <f t="shared" si="13"/>
        <v>100</v>
      </c>
      <c r="V37" s="1342" t="s">
        <v>65</v>
      </c>
      <c r="W37" s="1343">
        <f t="shared" si="14"/>
        <v>100</v>
      </c>
      <c r="X37" s="287"/>
      <c r="Y37" s="3775"/>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773" t="s">
        <v>1025</v>
      </c>
      <c r="Q38" s="1351" t="str">
        <f t="shared" si="11"/>
        <v>业态</v>
      </c>
      <c r="R38" s="1352" t="s">
        <v>65</v>
      </c>
      <c r="S38" s="1353">
        <f t="shared" si="12"/>
        <v>100</v>
      </c>
      <c r="T38" s="1352" t="s">
        <v>65</v>
      </c>
      <c r="U38" s="1353">
        <f t="shared" si="13"/>
        <v>100</v>
      </c>
      <c r="V38" s="1352" t="s">
        <v>65</v>
      </c>
      <c r="W38" s="1353">
        <f t="shared" si="14"/>
        <v>100</v>
      </c>
      <c r="X38" s="1340"/>
      <c r="Y38" s="3775" t="s">
        <v>1025</v>
      </c>
      <c r="Z38" s="1354" t="str">
        <f t="shared" si="15"/>
        <v>业态</v>
      </c>
      <c r="AA38" s="1355">
        <f t="shared" si="3"/>
        <v>1</v>
      </c>
      <c r="AB38" s="1355">
        <f t="shared" si="4"/>
        <v>1</v>
      </c>
      <c r="AC38" s="1355">
        <f t="shared" si="5"/>
        <v>1</v>
      </c>
    </row>
    <row r="39" spans="1:29" ht="15">
      <c r="A39" s="161"/>
      <c r="B39" s="12" t="s">
        <v>1026</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773"/>
      <c r="Q39" s="1351" t="str">
        <f t="shared" si="11"/>
        <v>层高</v>
      </c>
      <c r="R39" s="1352" t="s">
        <v>65</v>
      </c>
      <c r="S39" s="1353">
        <f t="shared" si="12"/>
        <v>100</v>
      </c>
      <c r="T39" s="1352" t="s">
        <v>65</v>
      </c>
      <c r="U39" s="1353">
        <f t="shared" si="13"/>
        <v>100</v>
      </c>
      <c r="V39" s="1352" t="s">
        <v>65</v>
      </c>
      <c r="W39" s="1353">
        <f t="shared" si="14"/>
        <v>100</v>
      </c>
      <c r="X39" s="1340"/>
      <c r="Y39" s="3775"/>
      <c r="Z39" s="1354" t="str">
        <f t="shared" si="15"/>
        <v>层高</v>
      </c>
      <c r="AA39" s="1355">
        <f t="shared" si="3"/>
        <v>1</v>
      </c>
      <c r="AB39" s="1355">
        <f t="shared" si="4"/>
        <v>1</v>
      </c>
      <c r="AC39" s="1355">
        <f t="shared" si="5"/>
        <v>1</v>
      </c>
    </row>
    <row r="40" spans="1:29" ht="14.25">
      <c r="A40" s="161"/>
      <c r="B40" s="12" t="s">
        <v>1027</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773"/>
      <c r="Q40" s="1351" t="str">
        <f t="shared" si="11"/>
        <v>单套建筑面积</v>
      </c>
      <c r="R40" s="1352" t="s">
        <v>65</v>
      </c>
      <c r="S40" s="1353">
        <f t="shared" si="12"/>
        <v>100</v>
      </c>
      <c r="T40" s="1352" t="s">
        <v>65</v>
      </c>
      <c r="U40" s="1353">
        <f t="shared" si="13"/>
        <v>100</v>
      </c>
      <c r="V40" s="1352" t="s">
        <v>65</v>
      </c>
      <c r="W40" s="1353">
        <f t="shared" si="14"/>
        <v>100</v>
      </c>
      <c r="X40" s="1340"/>
      <c r="Y40" s="3775"/>
      <c r="Z40" s="1354" t="str">
        <f t="shared" si="15"/>
        <v>单套建筑面积</v>
      </c>
      <c r="AA40" s="1355">
        <f t="shared" si="3"/>
        <v>1</v>
      </c>
      <c r="AB40" s="1355">
        <f t="shared" si="4"/>
        <v>1</v>
      </c>
      <c r="AC40" s="1355">
        <f t="shared" si="5"/>
        <v>1</v>
      </c>
    </row>
    <row r="41" spans="1:29" s="1039" customFormat="1" ht="15">
      <c r="A41" s="1043"/>
      <c r="B41" s="191" t="s">
        <v>1028</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773"/>
      <c r="Q41" s="1359" t="str">
        <f t="shared" si="11"/>
        <v>进深比</v>
      </c>
      <c r="R41" s="1360" t="s">
        <v>65</v>
      </c>
      <c r="S41" s="1361">
        <f t="shared" si="12"/>
        <v>100</v>
      </c>
      <c r="T41" s="1360" t="s">
        <v>65</v>
      </c>
      <c r="U41" s="1361">
        <f t="shared" si="13"/>
        <v>100</v>
      </c>
      <c r="V41" s="1360" t="s">
        <v>65</v>
      </c>
      <c r="W41" s="1361">
        <f t="shared" si="14"/>
        <v>100</v>
      </c>
      <c r="X41" s="1362"/>
      <c r="Y41" s="3775"/>
      <c r="Z41" s="1363" t="str">
        <f t="shared" si="15"/>
        <v>进深比</v>
      </c>
      <c r="AA41" s="1355">
        <f t="shared" si="3"/>
        <v>1</v>
      </c>
      <c r="AB41" s="1355">
        <f t="shared" si="4"/>
        <v>1</v>
      </c>
      <c r="AC41" s="1355">
        <f t="shared" si="5"/>
        <v>1</v>
      </c>
    </row>
    <row r="42" spans="1:29" ht="15">
      <c r="A42" s="161"/>
      <c r="B42" s="12" t="s">
        <v>1029</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773"/>
      <c r="Q42" s="1351" t="str">
        <f t="shared" si="11"/>
        <v>内部装修</v>
      </c>
      <c r="R42" s="1352" t="s">
        <v>65</v>
      </c>
      <c r="S42" s="1353">
        <f t="shared" si="12"/>
        <v>100</v>
      </c>
      <c r="T42" s="1352" t="s">
        <v>65</v>
      </c>
      <c r="U42" s="1353">
        <f t="shared" si="13"/>
        <v>100</v>
      </c>
      <c r="V42" s="1352" t="s">
        <v>65</v>
      </c>
      <c r="W42" s="1353">
        <f t="shared" si="14"/>
        <v>100</v>
      </c>
      <c r="X42" s="1340"/>
      <c r="Y42" s="3775"/>
      <c r="Z42" s="1354" t="str">
        <f t="shared" si="15"/>
        <v>内部装修</v>
      </c>
      <c r="AA42" s="1355">
        <f t="shared" si="3"/>
        <v>1</v>
      </c>
      <c r="AB42" s="1355">
        <f t="shared" si="4"/>
        <v>1</v>
      </c>
      <c r="AC42" s="1355">
        <f t="shared" si="5"/>
        <v>1</v>
      </c>
    </row>
    <row r="43" spans="1:29" ht="15">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773"/>
      <c r="Q43" s="1351" t="str">
        <f t="shared" si="11"/>
        <v>内部装修维护情况</v>
      </c>
      <c r="R43" s="1352" t="s">
        <v>65</v>
      </c>
      <c r="S43" s="1353">
        <f t="shared" si="12"/>
        <v>100</v>
      </c>
      <c r="T43" s="1352" t="s">
        <v>65</v>
      </c>
      <c r="U43" s="1353">
        <f t="shared" si="13"/>
        <v>100</v>
      </c>
      <c r="V43" s="1352" t="s">
        <v>65</v>
      </c>
      <c r="W43" s="1353">
        <f t="shared" si="14"/>
        <v>100</v>
      </c>
      <c r="X43" s="1340"/>
      <c r="Y43" s="3775"/>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773"/>
      <c r="Q44" s="7">
        <f t="shared" si="11"/>
        <v>111</v>
      </c>
      <c r="R44" s="1342" t="s">
        <v>65</v>
      </c>
      <c r="S44" s="1343">
        <f t="shared" si="12"/>
        <v>100</v>
      </c>
      <c r="T44" s="1342" t="s">
        <v>65</v>
      </c>
      <c r="U44" s="1343">
        <f t="shared" si="13"/>
        <v>100</v>
      </c>
      <c r="V44" s="1342" t="s">
        <v>65</v>
      </c>
      <c r="W44" s="1343">
        <f t="shared" si="14"/>
        <v>100</v>
      </c>
      <c r="X44" s="287"/>
      <c r="Y44" s="3775"/>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773"/>
      <c r="Q45" s="1351">
        <f t="shared" si="11"/>
        <v>111</v>
      </c>
      <c r="R45" s="1352" t="s">
        <v>65</v>
      </c>
      <c r="S45" s="1353">
        <f t="shared" si="12"/>
        <v>100</v>
      </c>
      <c r="T45" s="1352" t="s">
        <v>65</v>
      </c>
      <c r="U45" s="1353">
        <f t="shared" si="13"/>
        <v>100</v>
      </c>
      <c r="V45" s="1352" t="s">
        <v>65</v>
      </c>
      <c r="W45" s="1353">
        <f t="shared" si="14"/>
        <v>100</v>
      </c>
      <c r="X45" s="1340"/>
      <c r="Y45" s="3775"/>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774"/>
      <c r="Q46" s="1351">
        <f t="shared" si="11"/>
        <v>111</v>
      </c>
      <c r="R46" s="1352" t="s">
        <v>65</v>
      </c>
      <c r="S46" s="1353">
        <f t="shared" si="12"/>
        <v>100</v>
      </c>
      <c r="T46" s="1352" t="s">
        <v>65</v>
      </c>
      <c r="U46" s="1353">
        <f t="shared" si="13"/>
        <v>100</v>
      </c>
      <c r="V46" s="1352" t="s">
        <v>65</v>
      </c>
      <c r="W46" s="1353">
        <f t="shared" si="14"/>
        <v>100</v>
      </c>
      <c r="X46" s="1340"/>
      <c r="Y46" s="3776"/>
      <c r="Z46" s="1354">
        <f t="shared" si="15"/>
        <v>111</v>
      </c>
      <c r="AA46" s="1355">
        <f t="shared" si="3"/>
        <v>1</v>
      </c>
      <c r="AB46" s="1355">
        <f t="shared" si="4"/>
        <v>1</v>
      </c>
      <c r="AC46" s="1355">
        <f t="shared" si="5"/>
        <v>1</v>
      </c>
    </row>
    <row r="47" spans="1:29" ht="15">
      <c r="A47" s="163" t="s">
        <v>1030</v>
      </c>
      <c r="B47" s="164"/>
      <c r="C47" s="2837" t="s">
        <v>23</v>
      </c>
      <c r="D47" s="2838"/>
      <c r="E47" s="2839"/>
      <c r="F47" s="2840"/>
      <c r="G47" s="2841"/>
      <c r="H47" s="2842"/>
      <c r="I47" s="2839"/>
      <c r="J47" s="2842"/>
      <c r="K47" s="1393"/>
      <c r="L47" s="2304"/>
      <c r="M47" s="2305"/>
      <c r="N47" s="2297"/>
      <c r="O47" s="2305"/>
      <c r="P47" s="3768" t="str">
        <f>A47</f>
        <v>成交单价（元/平方米）</v>
      </c>
      <c r="Q47" s="3768"/>
      <c r="R47" s="3799">
        <f>E47</f>
        <v>0</v>
      </c>
      <c r="S47" s="3799"/>
      <c r="T47" s="3799">
        <f>G47</f>
        <v>0</v>
      </c>
      <c r="U47" s="3799"/>
      <c r="V47" s="3799">
        <f>I47</f>
        <v>0</v>
      </c>
      <c r="W47" s="3799"/>
      <c r="X47" s="1365"/>
      <c r="Y47" s="1366"/>
      <c r="Z47" s="1365"/>
      <c r="AA47" s="1365"/>
      <c r="AB47" s="1365"/>
      <c r="AC47" s="1365"/>
    </row>
    <row r="48" spans="1:29" ht="15.75" thickBot="1">
      <c r="A48" s="165" t="s">
        <v>1031</v>
      </c>
      <c r="B48" s="166"/>
      <c r="C48" s="2843" t="e">
        <f>R49</f>
        <v>#DIV/0!</v>
      </c>
      <c r="D48" s="2844"/>
      <c r="E48" s="2845" t="e">
        <f>R48</f>
        <v>#DIV/0!</v>
      </c>
      <c r="F48" s="2845"/>
      <c r="G48" s="2843" t="e">
        <f>T48</f>
        <v>#DIV/0!</v>
      </c>
      <c r="H48" s="2844"/>
      <c r="I48" s="2845" t="e">
        <f>V48</f>
        <v>#DIV/0!</v>
      </c>
      <c r="J48" s="2844"/>
      <c r="K48" s="1394"/>
      <c r="L48" s="2304"/>
      <c r="M48" s="2305"/>
      <c r="N48" s="2297"/>
      <c r="O48" s="2305"/>
      <c r="P48" s="3768" t="str">
        <f>A48</f>
        <v>比较价值（元/平方米）</v>
      </c>
      <c r="Q48" s="3768"/>
      <c r="R48" s="3769" t="e">
        <f>IF(F1="售价",ROUND(PRODUCT(R47,AA7:AA46),0),ROUND(PRODUCT(R47,AA7:AA46),1))</f>
        <v>#DIV/0!</v>
      </c>
      <c r="S48" s="3769"/>
      <c r="T48" s="3769" t="e">
        <f>IF(F1="售价",ROUND(PRODUCT(T47,AB7:AB46),0),ROUND(PRODUCT(T47,AB7:AB46),1))</f>
        <v>#DIV/0!</v>
      </c>
      <c r="U48" s="3769"/>
      <c r="V48" s="3769" t="e">
        <f>IF(F1="售价",ROUND(PRODUCT(V47,AC7:AC46),0),ROUND(PRODUCT(V47,AC7:AC46),1))</f>
        <v>#DIV/0!</v>
      </c>
      <c r="W48" s="3769"/>
      <c r="X48" s="1365"/>
      <c r="Y48" s="1365"/>
      <c r="Z48" s="1365"/>
      <c r="AA48" s="1365"/>
      <c r="AB48" s="1365"/>
      <c r="AC48" s="1365"/>
    </row>
    <row r="49" spans="1:29" ht="15.75" thickBot="1">
      <c r="A49" s="115" t="s">
        <v>3018</v>
      </c>
      <c r="B49" s="116"/>
      <c r="C49" s="2847" t="e">
        <f>R49</f>
        <v>#DIV/0!</v>
      </c>
      <c r="D49" s="2847"/>
      <c r="E49" s="2847"/>
      <c r="F49" s="2847"/>
      <c r="G49" s="2847"/>
      <c r="H49" s="2847"/>
      <c r="I49" s="2847"/>
      <c r="J49" s="2847"/>
      <c r="K49" s="1395"/>
      <c r="L49" s="2304"/>
      <c r="M49" s="2305"/>
      <c r="N49" s="2297"/>
      <c r="O49" s="2305"/>
      <c r="P49" s="3765" t="str">
        <f>A49</f>
        <v>估价对象XX用房的比较价值（楼面单价，元/平方米）</v>
      </c>
      <c r="Q49" s="3766"/>
      <c r="R49" s="3767" t="e">
        <f>IF(F1="售价",ROUND(AVERAGE(R48:V48),0),ROUND(AVERAGE(R48:V48),1))</f>
        <v>#DIV/0!</v>
      </c>
      <c r="S49" s="3767"/>
      <c r="T49" s="3767"/>
      <c r="U49" s="3767"/>
      <c r="V49" s="3767"/>
      <c r="W49" s="3767"/>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1032</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2793</v>
      </c>
      <c r="B58" s="849"/>
      <c r="C58" s="3046" t="str">
        <f>YEAR(C7)&amp;"-"&amp;MONTH(C7)</f>
        <v>2017-7</v>
      </c>
      <c r="D58" s="3047">
        <f>EDATE(C58,-1)</f>
        <v>42887</v>
      </c>
      <c r="E58" s="3047">
        <f t="shared" ref="E58:N58" si="16">EDATE(D58,-1)</f>
        <v>42856</v>
      </c>
      <c r="F58" s="3047">
        <f t="shared" si="16"/>
        <v>42826</v>
      </c>
      <c r="G58" s="3047">
        <f t="shared" si="16"/>
        <v>42795</v>
      </c>
      <c r="H58" s="3047">
        <f t="shared" si="16"/>
        <v>42767</v>
      </c>
      <c r="I58" s="3047">
        <f t="shared" si="16"/>
        <v>42736</v>
      </c>
      <c r="J58" s="3047">
        <f t="shared" si="16"/>
        <v>42705</v>
      </c>
      <c r="K58" s="3047">
        <f t="shared" si="16"/>
        <v>42675</v>
      </c>
      <c r="L58" s="3047">
        <f t="shared" si="16"/>
        <v>42644</v>
      </c>
      <c r="M58" s="3047">
        <f t="shared" si="16"/>
        <v>42614</v>
      </c>
      <c r="N58" s="3047">
        <f t="shared" si="16"/>
        <v>42583</v>
      </c>
      <c r="O58" s="3047">
        <f>EDATE(N58,-1)</f>
        <v>42552</v>
      </c>
      <c r="P58" s="3040"/>
    </row>
    <row r="59" spans="1:29" s="40" customFormat="1" ht="14.25">
      <c r="A59" s="1045"/>
      <c r="B59" s="1046"/>
      <c r="C59" s="3044">
        <v>100</v>
      </c>
      <c r="D59" s="855"/>
      <c r="E59" s="855"/>
      <c r="F59" s="855"/>
      <c r="G59" s="855"/>
      <c r="H59" s="855"/>
      <c r="I59" s="855"/>
      <c r="J59" s="855"/>
      <c r="K59" s="855"/>
      <c r="L59" s="855"/>
      <c r="M59" s="856"/>
      <c r="N59" s="855"/>
      <c r="O59" s="856"/>
      <c r="P59" s="1377"/>
    </row>
    <row r="60" spans="1:29" s="40" customFormat="1" ht="15" thickBot="1">
      <c r="A60" s="1047" t="s">
        <v>1033</v>
      </c>
      <c r="B60" s="1048"/>
      <c r="C60" s="860"/>
      <c r="D60" s="861"/>
      <c r="E60" s="861"/>
      <c r="F60" s="861"/>
      <c r="G60" s="861"/>
      <c r="H60" s="861"/>
      <c r="I60" s="861"/>
      <c r="J60" s="861"/>
      <c r="K60" s="861"/>
      <c r="L60" s="861"/>
      <c r="M60" s="862"/>
      <c r="N60" s="861"/>
      <c r="O60" s="862"/>
      <c r="P60" s="1377"/>
      <c r="Q60" s="121"/>
    </row>
    <row r="61" spans="1:29" s="40" customFormat="1">
      <c r="A61" s="1049" t="s">
        <v>1034</v>
      </c>
      <c r="B61" s="1046"/>
      <c r="C61" s="1050" t="s">
        <v>1035</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1036</v>
      </c>
      <c r="B63" s="286" t="s">
        <v>1037</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1038</v>
      </c>
      <c r="C65" s="882" t="s">
        <v>1003</v>
      </c>
      <c r="D65" s="882" t="s">
        <v>1004</v>
      </c>
      <c r="E65" s="882" t="s">
        <v>1005</v>
      </c>
      <c r="F65" s="882" t="s">
        <v>1006</v>
      </c>
      <c r="G65" s="882" t="s">
        <v>1007</v>
      </c>
      <c r="H65" s="882" t="s">
        <v>1008</v>
      </c>
      <c r="I65" s="882" t="s">
        <v>1009</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1039</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1040</v>
      </c>
      <c r="B76" s="286" t="s">
        <v>1041</v>
      </c>
      <c r="C76" s="916" t="s">
        <v>1010</v>
      </c>
      <c r="D76" s="916" t="s">
        <v>1011</v>
      </c>
      <c r="E76" s="916" t="s">
        <v>1012</v>
      </c>
      <c r="F76" s="916" t="s">
        <v>1013</v>
      </c>
      <c r="G76" s="916" t="s">
        <v>1014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1047</v>
      </c>
      <c r="C78" s="921" t="s">
        <v>423</v>
      </c>
      <c r="D78" s="921" t="s">
        <v>424</v>
      </c>
      <c r="E78" s="921" t="s">
        <v>425</v>
      </c>
      <c r="F78" s="921" t="s">
        <v>426</v>
      </c>
      <c r="G78" s="921" t="s">
        <v>427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2636</v>
      </c>
      <c r="C80" s="921" t="s">
        <v>423</v>
      </c>
      <c r="D80" s="921" t="s">
        <v>424</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2655</v>
      </c>
      <c r="C82" s="213" t="s">
        <v>2656</v>
      </c>
      <c r="D82" s="213" t="s">
        <v>2657</v>
      </c>
      <c r="E82" s="213" t="s">
        <v>2658</v>
      </c>
      <c r="F82" s="213" t="s">
        <v>2659</v>
      </c>
      <c r="G82" s="213" t="s">
        <v>2660</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1048</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1049</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1050</v>
      </c>
      <c r="B100" s="286" t="s">
        <v>1051</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1052</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1053</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1054</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1055</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2638</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1056</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1057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1058</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1059</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1060</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14.25" thickTop="1">
      <c r="A124" s="175"/>
      <c r="B124" s="1054" t="s">
        <v>1061</v>
      </c>
      <c r="C124" s="181" t="s">
        <v>1042</v>
      </c>
      <c r="D124" s="181" t="s">
        <v>1043</v>
      </c>
      <c r="E124" s="181" t="s">
        <v>1044</v>
      </c>
      <c r="F124" s="181" t="s">
        <v>1045</v>
      </c>
      <c r="G124" s="181" t="s">
        <v>1046</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5" sqref="C5:J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1062</v>
      </c>
      <c r="B1" s="3123" t="s">
        <v>1063</v>
      </c>
      <c r="C1" s="3117" t="s">
        <v>1064</v>
      </c>
      <c r="D1" s="3108"/>
      <c r="E1" s="3113"/>
      <c r="F1" s="3110"/>
      <c r="G1" s="3112" t="s">
        <v>1065</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1066</v>
      </c>
      <c r="B2" s="2848" t="e">
        <f ca="1">IF(C2="——",ROUND(C50*D3/10000,0),ROUND(C50*D3/10000,0)-D2)</f>
        <v>#DIV/0!</v>
      </c>
      <c r="C2" s="3102"/>
      <c r="D2" s="2725" t="e">
        <f ca="1">SUMIF(INDIRECT("'"&amp;F2&amp;"'"&amp;"!A:A"),"承租人权益价值",INDIRECT("'"&amp;F2&amp;"'"&amp;"!c:c"))</f>
        <v>#REF!</v>
      </c>
      <c r="E2" s="3103" t="s">
        <v>862</v>
      </c>
      <c r="F2" s="3104"/>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1067</v>
      </c>
      <c r="B3" s="952" t="e">
        <f ca="1">IF(C2="——",C50,ROUND(B2*10000/D3,0))</f>
        <v>#DIV/0!</v>
      </c>
      <c r="C3" s="142" t="s">
        <v>1068</v>
      </c>
      <c r="D3" s="742">
        <f>IF(D1="",'数据-汇总表'!E3,SUMIF('数据-汇总表'!$C19:$C33,D1,'数据-汇总表'!$E19:$E33))</f>
        <v>326059.4499999999</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1069</v>
      </c>
      <c r="B4" s="144"/>
      <c r="C4" s="3783" t="s">
        <v>1070</v>
      </c>
      <c r="D4" s="3784"/>
      <c r="E4" s="3785" t="s">
        <v>1071</v>
      </c>
      <c r="F4" s="3786"/>
      <c r="G4" s="3783" t="s">
        <v>1072</v>
      </c>
      <c r="H4" s="3784"/>
      <c r="I4" s="3783" t="s">
        <v>1073</v>
      </c>
      <c r="J4" s="3784"/>
      <c r="K4" s="187" t="s">
        <v>1074</v>
      </c>
      <c r="L4" s="2296"/>
      <c r="M4" s="2297"/>
      <c r="N4" s="2297"/>
      <c r="O4" s="2297"/>
      <c r="P4" s="3817" t="s">
        <v>1069</v>
      </c>
      <c r="Q4" s="3818"/>
      <c r="R4" s="3821" t="s">
        <v>1071</v>
      </c>
      <c r="S4" s="3822"/>
      <c r="T4" s="3821" t="s">
        <v>1072</v>
      </c>
      <c r="U4" s="3822"/>
      <c r="V4" s="3823" t="s">
        <v>1073</v>
      </c>
      <c r="W4" s="3823"/>
      <c r="X4" s="2336"/>
      <c r="Y4" s="3821" t="s">
        <v>1069</v>
      </c>
      <c r="Z4" s="3822"/>
      <c r="AA4" s="3825" t="s">
        <v>1071</v>
      </c>
      <c r="AB4" s="3825" t="s">
        <v>1072</v>
      </c>
      <c r="AC4" s="3814" t="s">
        <v>1073</v>
      </c>
    </row>
    <row r="5" spans="1:29">
      <c r="A5" s="146"/>
      <c r="B5" s="147"/>
      <c r="C5" s="3802" t="s">
        <v>1075</v>
      </c>
      <c r="D5" s="3803"/>
      <c r="E5" s="3809" t="s">
        <v>1076</v>
      </c>
      <c r="F5" s="3810"/>
      <c r="G5" s="3802" t="s">
        <v>1077</v>
      </c>
      <c r="H5" s="3803"/>
      <c r="I5" s="3802" t="s">
        <v>1078</v>
      </c>
      <c r="J5" s="3803"/>
      <c r="K5" s="187"/>
      <c r="L5" s="2296"/>
      <c r="M5" s="2297"/>
      <c r="N5" s="2297"/>
      <c r="O5" s="2297"/>
      <c r="P5" s="3819"/>
      <c r="Q5" s="3790"/>
      <c r="R5" s="3795"/>
      <c r="S5" s="3796"/>
      <c r="T5" s="3795"/>
      <c r="U5" s="3796"/>
      <c r="V5" s="3799"/>
      <c r="W5" s="3799"/>
      <c r="X5" s="2222"/>
      <c r="Y5" s="3795"/>
      <c r="Z5" s="3796"/>
      <c r="AA5" s="3781"/>
      <c r="AB5" s="3781"/>
      <c r="AC5" s="3815"/>
    </row>
    <row r="6" spans="1:29" ht="14.25" thickBot="1">
      <c r="A6" s="148"/>
      <c r="B6" s="149"/>
      <c r="C6" s="3800" t="s">
        <v>1079</v>
      </c>
      <c r="D6" s="3801"/>
      <c r="E6" s="3807" t="s">
        <v>1079</v>
      </c>
      <c r="F6" s="3808"/>
      <c r="G6" s="3800" t="s">
        <v>1079</v>
      </c>
      <c r="H6" s="3801"/>
      <c r="I6" s="3800" t="s">
        <v>1079</v>
      </c>
      <c r="J6" s="3801"/>
      <c r="K6" s="187" t="s">
        <v>1080</v>
      </c>
      <c r="L6" s="2296"/>
      <c r="M6" s="2297"/>
      <c r="N6" s="2297"/>
      <c r="O6" s="2297"/>
      <c r="P6" s="3820"/>
      <c r="Q6" s="3792"/>
      <c r="R6" s="3795"/>
      <c r="S6" s="3796"/>
      <c r="T6" s="3797"/>
      <c r="U6" s="3798"/>
      <c r="V6" s="3799"/>
      <c r="W6" s="3799"/>
      <c r="X6" s="2222"/>
      <c r="Y6" s="3797"/>
      <c r="Z6" s="3798"/>
      <c r="AA6" s="3782"/>
      <c r="AB6" s="3782"/>
      <c r="AC6" s="3816"/>
    </row>
    <row r="7" spans="1:29" s="40" customFormat="1" ht="15" thickBot="1">
      <c r="A7" s="1014" t="s">
        <v>1081</v>
      </c>
      <c r="B7" s="1015"/>
      <c r="C7" s="753">
        <f>'数据-取费表'!B2</f>
        <v>42941</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824" t="s">
        <v>1081</v>
      </c>
      <c r="Q7" s="3806"/>
      <c r="R7" s="1342" t="s">
        <v>65</v>
      </c>
      <c r="S7" s="1343">
        <f t="shared" ref="S7:S15" si="0">F7</f>
        <v>0</v>
      </c>
      <c r="T7" s="1342" t="s">
        <v>65</v>
      </c>
      <c r="U7" s="1343">
        <f t="shared" ref="U7:U15" si="1">H7</f>
        <v>0</v>
      </c>
      <c r="V7" s="1342" t="s">
        <v>65</v>
      </c>
      <c r="W7" s="1343">
        <f t="shared" ref="W7:W15" si="2">J7</f>
        <v>0</v>
      </c>
      <c r="X7" s="287"/>
      <c r="Y7" s="3804" t="s">
        <v>1081</v>
      </c>
      <c r="Z7" s="3805"/>
      <c r="AA7" s="1344" t="e">
        <f>D7/F7</f>
        <v>#DIV/0!</v>
      </c>
      <c r="AB7" s="1344" t="e">
        <f>D7/H7</f>
        <v>#DIV/0!</v>
      </c>
      <c r="AC7" s="2337" t="e">
        <f>D7/J7</f>
        <v>#DIV/0!</v>
      </c>
    </row>
    <row r="8" spans="1:29" s="40" customFormat="1" ht="15" thickBot="1">
      <c r="A8" s="1014" t="s">
        <v>1082</v>
      </c>
      <c r="B8" s="1015"/>
      <c r="C8" s="1020" t="s">
        <v>1083</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824" t="s">
        <v>1015</v>
      </c>
      <c r="Q8" s="3805"/>
      <c r="R8" s="1342" t="s">
        <v>65</v>
      </c>
      <c r="S8" s="1343">
        <f t="shared" si="0"/>
        <v>0</v>
      </c>
      <c r="T8" s="1342" t="s">
        <v>65</v>
      </c>
      <c r="U8" s="1343">
        <f t="shared" si="1"/>
        <v>0</v>
      </c>
      <c r="V8" s="1342" t="s">
        <v>65</v>
      </c>
      <c r="W8" s="1343">
        <f t="shared" si="2"/>
        <v>0</v>
      </c>
      <c r="X8" s="287"/>
      <c r="Y8" s="3804" t="s">
        <v>1015</v>
      </c>
      <c r="Z8" s="3805"/>
      <c r="AA8" s="1344" t="e">
        <f t="shared" ref="AA8:AA47" si="3">D8/F8</f>
        <v>#DIV/0!</v>
      </c>
      <c r="AB8" s="1344" t="e">
        <f t="shared" ref="AB8:AB47" si="4">D8/H8</f>
        <v>#DIV/0!</v>
      </c>
      <c r="AC8" s="2337" t="e">
        <f t="shared" ref="AC8:AC47" si="5">D8/J8</f>
        <v>#DIV/0!</v>
      </c>
    </row>
    <row r="9" spans="1:29" s="40" customFormat="1" ht="14.25">
      <c r="A9" s="1021" t="s">
        <v>1016</v>
      </c>
      <c r="B9" s="62" t="s">
        <v>1017</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779" t="s">
        <v>67</v>
      </c>
      <c r="Q9" s="2213" t="str">
        <f t="shared" ref="Q9:Q15" si="6">B9</f>
        <v>用途</v>
      </c>
      <c r="R9" s="1342" t="s">
        <v>65</v>
      </c>
      <c r="S9" s="1343">
        <f t="shared" si="0"/>
        <v>100</v>
      </c>
      <c r="T9" s="1342" t="s">
        <v>65</v>
      </c>
      <c r="U9" s="1343">
        <f t="shared" si="1"/>
        <v>100</v>
      </c>
      <c r="V9" s="1342" t="s">
        <v>65</v>
      </c>
      <c r="W9" s="1343">
        <f t="shared" si="2"/>
        <v>100</v>
      </c>
      <c r="X9" s="287"/>
      <c r="Y9" s="3545"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779"/>
      <c r="Q10" s="2213" t="str">
        <f t="shared" si="6"/>
        <v>土地使用年限（年）</v>
      </c>
      <c r="R10" s="1342" t="s">
        <v>65</v>
      </c>
      <c r="S10" s="1343">
        <f t="shared" si="0"/>
        <v>100</v>
      </c>
      <c r="T10" s="1342" t="s">
        <v>65</v>
      </c>
      <c r="U10" s="1343">
        <f t="shared" si="1"/>
        <v>100</v>
      </c>
      <c r="V10" s="1342" t="s">
        <v>65</v>
      </c>
      <c r="W10" s="1343">
        <f t="shared" si="2"/>
        <v>100</v>
      </c>
      <c r="X10" s="287"/>
      <c r="Y10" s="3545"/>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779"/>
      <c r="Q11" s="2213" t="str">
        <f t="shared" si="6"/>
        <v>容积率</v>
      </c>
      <c r="R11" s="1342" t="s">
        <v>65</v>
      </c>
      <c r="S11" s="1343" t="e">
        <f t="shared" si="0"/>
        <v>#N/A</v>
      </c>
      <c r="T11" s="1342" t="s">
        <v>65</v>
      </c>
      <c r="U11" s="1343" t="e">
        <f t="shared" si="1"/>
        <v>#N/A</v>
      </c>
      <c r="V11" s="1342" t="s">
        <v>65</v>
      </c>
      <c r="W11" s="1343" t="e">
        <f t="shared" si="2"/>
        <v>#N/A</v>
      </c>
      <c r="X11" s="287"/>
      <c r="Y11" s="3545"/>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779"/>
      <c r="Q12" s="2213">
        <f t="shared" si="6"/>
        <v>111</v>
      </c>
      <c r="R12" s="1342" t="s">
        <v>65</v>
      </c>
      <c r="S12" s="1343">
        <f t="shared" si="0"/>
        <v>100</v>
      </c>
      <c r="T12" s="1342" t="s">
        <v>65</v>
      </c>
      <c r="U12" s="1343">
        <f t="shared" si="1"/>
        <v>100</v>
      </c>
      <c r="V12" s="1342" t="s">
        <v>65</v>
      </c>
      <c r="W12" s="1343">
        <f t="shared" si="2"/>
        <v>100</v>
      </c>
      <c r="X12" s="287"/>
      <c r="Y12" s="3545"/>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779"/>
      <c r="Q13" s="2213">
        <f t="shared" si="6"/>
        <v>111</v>
      </c>
      <c r="R13" s="1342" t="s">
        <v>65</v>
      </c>
      <c r="S13" s="1343">
        <f t="shared" si="0"/>
        <v>100</v>
      </c>
      <c r="T13" s="1342" t="s">
        <v>65</v>
      </c>
      <c r="U13" s="1343">
        <f t="shared" si="1"/>
        <v>100</v>
      </c>
      <c r="V13" s="1342" t="s">
        <v>65</v>
      </c>
      <c r="W13" s="1343">
        <f t="shared" si="2"/>
        <v>100</v>
      </c>
      <c r="X13" s="287"/>
      <c r="Y13" s="3545"/>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779"/>
      <c r="Q14" s="2213">
        <f t="shared" si="6"/>
        <v>111</v>
      </c>
      <c r="R14" s="1342" t="s">
        <v>65</v>
      </c>
      <c r="S14" s="1343">
        <f t="shared" si="0"/>
        <v>100</v>
      </c>
      <c r="T14" s="1342" t="s">
        <v>65</v>
      </c>
      <c r="U14" s="1343">
        <f t="shared" si="1"/>
        <v>100</v>
      </c>
      <c r="V14" s="1342" t="s">
        <v>65</v>
      </c>
      <c r="W14" s="1343">
        <f t="shared" si="2"/>
        <v>100</v>
      </c>
      <c r="X14" s="287"/>
      <c r="Y14" s="3545"/>
      <c r="Z14" s="2212">
        <f t="shared" si="7"/>
        <v>111</v>
      </c>
      <c r="AA14" s="1344">
        <f t="shared" si="3"/>
        <v>1</v>
      </c>
      <c r="AB14" s="1344">
        <f t="shared" si="4"/>
        <v>1</v>
      </c>
      <c r="AC14" s="2337">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777" t="s">
        <v>69</v>
      </c>
      <c r="Q15" s="2220" t="str">
        <f t="shared" si="6"/>
        <v>办公集聚程度</v>
      </c>
      <c r="R15" s="1352" t="s">
        <v>65</v>
      </c>
      <c r="S15" s="1353">
        <f t="shared" si="0"/>
        <v>100</v>
      </c>
      <c r="T15" s="1352" t="s">
        <v>65</v>
      </c>
      <c r="U15" s="1353">
        <f t="shared" si="1"/>
        <v>100</v>
      </c>
      <c r="V15" s="1352" t="s">
        <v>65</v>
      </c>
      <c r="W15" s="1353">
        <f t="shared" si="2"/>
        <v>100</v>
      </c>
      <c r="X15" s="2222"/>
      <c r="Y15" s="3770"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778"/>
      <c r="Q16" s="2220"/>
      <c r="R16" s="1352"/>
      <c r="S16" s="1353"/>
      <c r="T16" s="1352"/>
      <c r="U16" s="1353"/>
      <c r="V16" s="1352"/>
      <c r="W16" s="1353"/>
      <c r="X16" s="2222"/>
      <c r="Y16" s="3771"/>
      <c r="Z16" s="2221"/>
      <c r="AA16" s="1355">
        <v>1</v>
      </c>
      <c r="AB16" s="1355">
        <v>1</v>
      </c>
      <c r="AC16" s="2338">
        <v>1</v>
      </c>
    </row>
    <row r="17" spans="1:29" ht="81">
      <c r="A17" s="151"/>
      <c r="B17" s="1034" t="s">
        <v>72</v>
      </c>
      <c r="C17" s="210" t="str">
        <f>估价对象房地状况!C6</f>
        <v>估价对象紧邻大广高速，周边有密37、密50、密51路等公交线路，综合评价交通便捷度较好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778"/>
      <c r="Q17" s="2220" t="str">
        <f>B17</f>
        <v>交通便捷度</v>
      </c>
      <c r="R17" s="1352" t="s">
        <v>65</v>
      </c>
      <c r="S17" s="1353">
        <f>F17</f>
        <v>100</v>
      </c>
      <c r="T17" s="1352" t="s">
        <v>65</v>
      </c>
      <c r="U17" s="1353">
        <f>H17</f>
        <v>100</v>
      </c>
      <c r="V17" s="1352" t="s">
        <v>65</v>
      </c>
      <c r="W17" s="1353">
        <f>J17</f>
        <v>100</v>
      </c>
      <c r="X17" s="2222"/>
      <c r="Y17" s="3771"/>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778"/>
      <c r="Q18" s="2220"/>
      <c r="R18" s="1352"/>
      <c r="S18" s="1353"/>
      <c r="T18" s="1352"/>
      <c r="U18" s="1353"/>
      <c r="V18" s="1352"/>
      <c r="W18" s="1353"/>
      <c r="X18" s="2222"/>
      <c r="Y18" s="3771"/>
      <c r="Z18" s="2221"/>
      <c r="AA18" s="1355">
        <v>1</v>
      </c>
      <c r="AB18" s="1355">
        <v>1</v>
      </c>
      <c r="AC18" s="2338">
        <v>1</v>
      </c>
    </row>
    <row r="19" spans="1:29" ht="81">
      <c r="A19" s="151"/>
      <c r="B19" s="1034" t="s">
        <v>2661</v>
      </c>
      <c r="C19" s="210" t="str">
        <f>估价对象房地状况!C7</f>
        <v>估价对象所在区域公共配套设施齐备情况；基础设施水平；综合评价公用设施及基础设施水平一般</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778"/>
      <c r="Q19" s="2220" t="str">
        <f>B19</f>
        <v>公共配套设施</v>
      </c>
      <c r="R19" s="1352" t="s">
        <v>65</v>
      </c>
      <c r="S19" s="1353">
        <f>F19</f>
        <v>100</v>
      </c>
      <c r="T19" s="1352" t="s">
        <v>65</v>
      </c>
      <c r="U19" s="1353">
        <f>H19</f>
        <v>100</v>
      </c>
      <c r="V19" s="1352" t="s">
        <v>65</v>
      </c>
      <c r="W19" s="1353">
        <f>J19</f>
        <v>100</v>
      </c>
      <c r="X19" s="2222"/>
      <c r="Y19" s="3771"/>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778"/>
      <c r="Q20" s="2220"/>
      <c r="R20" s="1352"/>
      <c r="S20" s="1353"/>
      <c r="T20" s="1352"/>
      <c r="U20" s="1353"/>
      <c r="V20" s="1352"/>
      <c r="W20" s="1353"/>
      <c r="X20" s="2222"/>
      <c r="Y20" s="3771"/>
      <c r="Z20" s="2221"/>
      <c r="AA20" s="1355">
        <v>1</v>
      </c>
      <c r="AB20" s="1355">
        <v>1</v>
      </c>
      <c r="AC20" s="2338">
        <v>1</v>
      </c>
    </row>
    <row r="21" spans="1:29" ht="81">
      <c r="A21" s="151"/>
      <c r="B21" s="1036" t="s">
        <v>2662</v>
      </c>
      <c r="C21" s="210" t="str">
        <f>估价对象房地状况!C8</f>
        <v>估价对象所在区域公共配套设施齐备情况；基础设施水平；综合评价公用设施及基础设施水平一般</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778"/>
      <c r="Q21" s="2747" t="str">
        <f>B21</f>
        <v>基础设施水平</v>
      </c>
      <c r="R21" s="1352" t="s">
        <v>65</v>
      </c>
      <c r="S21" s="1353">
        <f>F21</f>
        <v>100</v>
      </c>
      <c r="T21" s="1352" t="s">
        <v>65</v>
      </c>
      <c r="U21" s="1353">
        <f>H21</f>
        <v>100</v>
      </c>
      <c r="V21" s="1352" t="s">
        <v>65</v>
      </c>
      <c r="W21" s="1353">
        <f>J21</f>
        <v>100</v>
      </c>
      <c r="X21" s="2749"/>
      <c r="Y21" s="3771"/>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778"/>
      <c r="Q22" s="2747"/>
      <c r="R22" s="1352"/>
      <c r="S22" s="1353"/>
      <c r="T22" s="1352"/>
      <c r="U22" s="1353"/>
      <c r="V22" s="1352"/>
      <c r="W22" s="1353"/>
      <c r="X22" s="2749"/>
      <c r="Y22" s="3771"/>
      <c r="Z22" s="2748"/>
      <c r="AA22" s="1355">
        <v>1</v>
      </c>
      <c r="AB22" s="1355">
        <v>1</v>
      </c>
      <c r="AC22" s="2338">
        <v>1</v>
      </c>
    </row>
    <row r="23" spans="1:29" ht="40.5">
      <c r="A23" s="151"/>
      <c r="B23" s="1034" t="s">
        <v>143</v>
      </c>
      <c r="C23" s="210" t="str">
        <f>估价对象房地状况!C9</f>
        <v>区域有司马台长城、鸳鸯湖水库；综合评价环境状况好</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778"/>
      <c r="Q23" s="2220" t="str">
        <f>B23</f>
        <v>环境质量</v>
      </c>
      <c r="R23" s="1352" t="s">
        <v>65</v>
      </c>
      <c r="S23" s="1353">
        <f>F23</f>
        <v>100</v>
      </c>
      <c r="T23" s="1352" t="s">
        <v>65</v>
      </c>
      <c r="U23" s="1353">
        <f>H23</f>
        <v>100</v>
      </c>
      <c r="V23" s="1352" t="s">
        <v>65</v>
      </c>
      <c r="W23" s="1353">
        <f>J23</f>
        <v>100</v>
      </c>
      <c r="X23" s="2222"/>
      <c r="Y23" s="3771"/>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778"/>
      <c r="Q24" s="2220"/>
      <c r="R24" s="1352"/>
      <c r="S24" s="1353"/>
      <c r="T24" s="1352"/>
      <c r="U24" s="1353"/>
      <c r="V24" s="1352"/>
      <c r="W24" s="1353"/>
      <c r="X24" s="2222"/>
      <c r="Y24" s="3771"/>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778"/>
      <c r="Q25" s="2220" t="str">
        <f>B25</f>
        <v>毗邻道路的类型与等级</v>
      </c>
      <c r="R25" s="1352" t="s">
        <v>65</v>
      </c>
      <c r="S25" s="1353">
        <f>F25</f>
        <v>100</v>
      </c>
      <c r="T25" s="1352" t="s">
        <v>65</v>
      </c>
      <c r="U25" s="1353">
        <f>H25</f>
        <v>100</v>
      </c>
      <c r="V25" s="1352" t="s">
        <v>65</v>
      </c>
      <c r="W25" s="1353">
        <f>J25</f>
        <v>100</v>
      </c>
      <c r="X25" s="2222"/>
      <c r="Y25" s="3771"/>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778"/>
      <c r="Q26" s="2220"/>
      <c r="R26" s="1352"/>
      <c r="S26" s="1353"/>
      <c r="T26" s="1352"/>
      <c r="U26" s="1353"/>
      <c r="V26" s="1352"/>
      <c r="W26" s="1353"/>
      <c r="X26" s="2222"/>
      <c r="Y26" s="3771"/>
      <c r="Z26" s="2221"/>
      <c r="AA26" s="1355">
        <v>1</v>
      </c>
      <c r="AB26" s="1355">
        <v>1</v>
      </c>
      <c r="AC26" s="2338">
        <v>1</v>
      </c>
    </row>
    <row r="27" spans="1:29" ht="15">
      <c r="A27" s="151"/>
      <c r="B27" s="1035" t="s">
        <v>1084</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778"/>
      <c r="Q27" s="2220" t="str">
        <f t="shared" ref="Q27:Q47" si="11">B27</f>
        <v>楼层</v>
      </c>
      <c r="R27" s="1352" t="s">
        <v>65</v>
      </c>
      <c r="S27" s="1353">
        <f>F27</f>
        <v>100</v>
      </c>
      <c r="T27" s="1352" t="s">
        <v>65</v>
      </c>
      <c r="U27" s="1353">
        <f>H27</f>
        <v>100</v>
      </c>
      <c r="V27" s="1352" t="s">
        <v>65</v>
      </c>
      <c r="W27" s="1353">
        <f>J27</f>
        <v>100</v>
      </c>
      <c r="X27" s="2222"/>
      <c r="Y27" s="3771"/>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778"/>
      <c r="Q28" s="2213" t="str">
        <f t="shared" si="11"/>
        <v>朝向</v>
      </c>
      <c r="R28" s="1342" t="s">
        <v>65</v>
      </c>
      <c r="S28" s="1343">
        <f>F28</f>
        <v>100</v>
      </c>
      <c r="T28" s="1342" t="s">
        <v>65</v>
      </c>
      <c r="U28" s="1343">
        <f>H28</f>
        <v>100</v>
      </c>
      <c r="V28" s="1342" t="s">
        <v>65</v>
      </c>
      <c r="W28" s="1343">
        <f>J28</f>
        <v>100</v>
      </c>
      <c r="X28" s="287"/>
      <c r="Y28" s="3771"/>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778"/>
      <c r="Q29" s="2220">
        <f t="shared" si="11"/>
        <v>111</v>
      </c>
      <c r="R29" s="1352" t="s">
        <v>65</v>
      </c>
      <c r="S29" s="1353">
        <f t="shared" ref="S29:S47" si="12">F29</f>
        <v>100</v>
      </c>
      <c r="T29" s="1352" t="s">
        <v>65</v>
      </c>
      <c r="U29" s="1353">
        <f t="shared" ref="U29:U47" si="13">H29</f>
        <v>100</v>
      </c>
      <c r="V29" s="1352" t="s">
        <v>65</v>
      </c>
      <c r="W29" s="1353">
        <f t="shared" ref="W29:W47" si="14">J29</f>
        <v>100</v>
      </c>
      <c r="X29" s="2222"/>
      <c r="Y29" s="3771"/>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778"/>
      <c r="Q30" s="2220">
        <f t="shared" si="11"/>
        <v>111</v>
      </c>
      <c r="R30" s="1352" t="s">
        <v>65</v>
      </c>
      <c r="S30" s="1353">
        <f t="shared" si="12"/>
        <v>100</v>
      </c>
      <c r="T30" s="1352" t="s">
        <v>65</v>
      </c>
      <c r="U30" s="1353">
        <f t="shared" si="13"/>
        <v>100</v>
      </c>
      <c r="V30" s="1352" t="s">
        <v>65</v>
      </c>
      <c r="W30" s="1353">
        <f t="shared" si="14"/>
        <v>100</v>
      </c>
      <c r="X30" s="2222"/>
      <c r="Y30" s="3771"/>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778"/>
      <c r="Q31" s="2220">
        <f t="shared" si="11"/>
        <v>111</v>
      </c>
      <c r="R31" s="1352" t="s">
        <v>65</v>
      </c>
      <c r="S31" s="1353">
        <f t="shared" si="12"/>
        <v>100</v>
      </c>
      <c r="T31" s="1352" t="s">
        <v>65</v>
      </c>
      <c r="U31" s="1353">
        <f t="shared" si="13"/>
        <v>100</v>
      </c>
      <c r="V31" s="1352" t="s">
        <v>65</v>
      </c>
      <c r="W31" s="1353">
        <f t="shared" si="14"/>
        <v>100</v>
      </c>
      <c r="X31" s="2222"/>
      <c r="Y31" s="3771"/>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778"/>
      <c r="Q32" s="2220">
        <f t="shared" si="11"/>
        <v>111</v>
      </c>
      <c r="R32" s="1352" t="s">
        <v>65</v>
      </c>
      <c r="S32" s="1353">
        <f t="shared" si="12"/>
        <v>100</v>
      </c>
      <c r="T32" s="1352" t="s">
        <v>65</v>
      </c>
      <c r="U32" s="1353">
        <f t="shared" si="13"/>
        <v>100</v>
      </c>
      <c r="V32" s="1352" t="s">
        <v>65</v>
      </c>
      <c r="W32" s="1353">
        <f t="shared" si="14"/>
        <v>100</v>
      </c>
      <c r="X32" s="2222"/>
      <c r="Y32" s="3771"/>
      <c r="Z32" s="2221">
        <f t="shared" si="15"/>
        <v>111</v>
      </c>
      <c r="AA32" s="1355">
        <f t="shared" si="3"/>
        <v>1</v>
      </c>
      <c r="AB32" s="1355">
        <f t="shared" si="4"/>
        <v>1</v>
      </c>
      <c r="AC32" s="2338">
        <f t="shared" si="5"/>
        <v>1</v>
      </c>
    </row>
    <row r="33" spans="1:29" ht="15">
      <c r="A33" s="155" t="s">
        <v>1085</v>
      </c>
      <c r="B33" s="62" t="s">
        <v>1086</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772" t="s">
        <v>1087</v>
      </c>
      <c r="Q33" s="2220" t="str">
        <f t="shared" si="11"/>
        <v>建筑类型</v>
      </c>
      <c r="R33" s="1352" t="s">
        <v>65</v>
      </c>
      <c r="S33" s="1353">
        <f t="shared" si="12"/>
        <v>100</v>
      </c>
      <c r="T33" s="1352" t="s">
        <v>65</v>
      </c>
      <c r="U33" s="1353">
        <f t="shared" si="13"/>
        <v>100</v>
      </c>
      <c r="V33" s="1352" t="s">
        <v>65</v>
      </c>
      <c r="W33" s="1353">
        <f t="shared" si="14"/>
        <v>100</v>
      </c>
      <c r="X33" s="2222"/>
      <c r="Y33" s="3775" t="s">
        <v>1087</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773"/>
      <c r="Q34" s="1359" t="str">
        <f t="shared" si="11"/>
        <v>项目建筑规模</v>
      </c>
      <c r="R34" s="1360" t="s">
        <v>65</v>
      </c>
      <c r="S34" s="1361" t="e">
        <f t="shared" si="12"/>
        <v>#N/A</v>
      </c>
      <c r="T34" s="1360" t="s">
        <v>65</v>
      </c>
      <c r="U34" s="1361" t="e">
        <f t="shared" si="13"/>
        <v>#N/A</v>
      </c>
      <c r="V34" s="1360" t="s">
        <v>65</v>
      </c>
      <c r="W34" s="1361" t="e">
        <f t="shared" si="14"/>
        <v>#N/A</v>
      </c>
      <c r="X34" s="1362"/>
      <c r="Y34" s="3775"/>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773"/>
      <c r="Q35" s="2220" t="str">
        <f t="shared" si="11"/>
        <v>建筑结构</v>
      </c>
      <c r="R35" s="1352" t="s">
        <v>65</v>
      </c>
      <c r="S35" s="1353">
        <f t="shared" si="12"/>
        <v>100</v>
      </c>
      <c r="T35" s="1352" t="s">
        <v>65</v>
      </c>
      <c r="U35" s="1353">
        <f t="shared" si="13"/>
        <v>100</v>
      </c>
      <c r="V35" s="1352" t="s">
        <v>65</v>
      </c>
      <c r="W35" s="1353">
        <f t="shared" si="14"/>
        <v>100</v>
      </c>
      <c r="X35" s="2222"/>
      <c r="Y35" s="3775"/>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773"/>
      <c r="Q36" s="2220" t="str">
        <f t="shared" si="11"/>
        <v>公共部分装修</v>
      </c>
      <c r="R36" s="1352" t="s">
        <v>65</v>
      </c>
      <c r="S36" s="1353">
        <f t="shared" si="12"/>
        <v>100</v>
      </c>
      <c r="T36" s="1352" t="s">
        <v>65</v>
      </c>
      <c r="U36" s="1353">
        <f t="shared" si="13"/>
        <v>100</v>
      </c>
      <c r="V36" s="1352" t="s">
        <v>65</v>
      </c>
      <c r="W36" s="1353">
        <f t="shared" si="14"/>
        <v>100</v>
      </c>
      <c r="X36" s="2222"/>
      <c r="Y36" s="3775"/>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773"/>
      <c r="Q37" s="2220" t="str">
        <f t="shared" si="11"/>
        <v>成新度</v>
      </c>
      <c r="R37" s="1352" t="s">
        <v>65</v>
      </c>
      <c r="S37" s="1353" t="e">
        <f t="shared" si="12"/>
        <v>#N/A</v>
      </c>
      <c r="T37" s="1352" t="s">
        <v>65</v>
      </c>
      <c r="U37" s="1353" t="e">
        <f t="shared" si="13"/>
        <v>#N/A</v>
      </c>
      <c r="V37" s="1352" t="s">
        <v>65</v>
      </c>
      <c r="W37" s="1353" t="e">
        <f t="shared" si="14"/>
        <v>#N/A</v>
      </c>
      <c r="X37" s="2222"/>
      <c r="Y37" s="3775"/>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773"/>
      <c r="Q38" s="2213" t="str">
        <f t="shared" si="11"/>
        <v>写字楼等级</v>
      </c>
      <c r="R38" s="1342" t="s">
        <v>65</v>
      </c>
      <c r="S38" s="1343">
        <f t="shared" si="12"/>
        <v>100</v>
      </c>
      <c r="T38" s="1342" t="s">
        <v>65</v>
      </c>
      <c r="U38" s="1343">
        <f t="shared" si="13"/>
        <v>100</v>
      </c>
      <c r="V38" s="1342" t="s">
        <v>65</v>
      </c>
      <c r="W38" s="1343">
        <f t="shared" si="14"/>
        <v>100</v>
      </c>
      <c r="X38" s="287"/>
      <c r="Y38" s="3775"/>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773" t="s">
        <v>70</v>
      </c>
      <c r="Q39" s="2220" t="str">
        <f t="shared" si="11"/>
        <v>物业管理</v>
      </c>
      <c r="R39" s="1352" t="s">
        <v>65</v>
      </c>
      <c r="S39" s="1353">
        <f t="shared" si="12"/>
        <v>100</v>
      </c>
      <c r="T39" s="1352" t="s">
        <v>65</v>
      </c>
      <c r="U39" s="1353">
        <f t="shared" si="13"/>
        <v>100</v>
      </c>
      <c r="V39" s="1352" t="s">
        <v>65</v>
      </c>
      <c r="W39" s="1353">
        <f t="shared" si="14"/>
        <v>100</v>
      </c>
      <c r="X39" s="2222"/>
      <c r="Y39" s="3775" t="s">
        <v>70</v>
      </c>
      <c r="Z39" s="2221" t="str">
        <f t="shared" si="15"/>
        <v>物业管理</v>
      </c>
      <c r="AA39" s="1355">
        <f t="shared" si="3"/>
        <v>1</v>
      </c>
      <c r="AB39" s="1355">
        <f t="shared" si="4"/>
        <v>1</v>
      </c>
      <c r="AC39" s="2338">
        <f t="shared" si="5"/>
        <v>1</v>
      </c>
    </row>
    <row r="40" spans="1:29" ht="15">
      <c r="A40" s="161"/>
      <c r="B40" s="12" t="s">
        <v>2654</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773"/>
      <c r="Q40" s="2220" t="str">
        <f t="shared" si="11"/>
        <v>市政基础设施</v>
      </c>
      <c r="R40" s="1352" t="s">
        <v>65</v>
      </c>
      <c r="S40" s="1353">
        <f t="shared" si="12"/>
        <v>100</v>
      </c>
      <c r="T40" s="1352" t="s">
        <v>65</v>
      </c>
      <c r="U40" s="1353">
        <f t="shared" si="13"/>
        <v>100</v>
      </c>
      <c r="V40" s="1352" t="s">
        <v>65</v>
      </c>
      <c r="W40" s="1353">
        <f t="shared" si="14"/>
        <v>100</v>
      </c>
      <c r="X40" s="2222"/>
      <c r="Y40" s="3775"/>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773"/>
      <c r="Q41" s="2220" t="str">
        <f t="shared" si="11"/>
        <v>层高</v>
      </c>
      <c r="R41" s="1352" t="s">
        <v>65</v>
      </c>
      <c r="S41" s="1353">
        <f t="shared" si="12"/>
        <v>100</v>
      </c>
      <c r="T41" s="1352" t="s">
        <v>65</v>
      </c>
      <c r="U41" s="1353">
        <f t="shared" si="13"/>
        <v>100</v>
      </c>
      <c r="V41" s="1352" t="s">
        <v>65</v>
      </c>
      <c r="W41" s="1353">
        <f t="shared" si="14"/>
        <v>100</v>
      </c>
      <c r="X41" s="2222"/>
      <c r="Y41" s="3775"/>
      <c r="Z41" s="2221" t="str">
        <f t="shared" si="15"/>
        <v>层高</v>
      </c>
      <c r="AA41" s="1355">
        <f t="shared" si="3"/>
        <v>1</v>
      </c>
      <c r="AB41" s="1355">
        <f t="shared" si="4"/>
        <v>1</v>
      </c>
      <c r="AC41" s="2338">
        <f t="shared" si="5"/>
        <v>1</v>
      </c>
    </row>
    <row r="42" spans="1:29" s="1039" customFormat="1" ht="14.25">
      <c r="A42" s="1043"/>
      <c r="B42" s="191" t="s">
        <v>1088</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773"/>
      <c r="Q42" s="1359" t="str">
        <f t="shared" si="11"/>
        <v>单套建筑面积</v>
      </c>
      <c r="R42" s="1360" t="s">
        <v>65</v>
      </c>
      <c r="S42" s="1361">
        <f t="shared" si="12"/>
        <v>100</v>
      </c>
      <c r="T42" s="1360" t="s">
        <v>65</v>
      </c>
      <c r="U42" s="1361">
        <f t="shared" si="13"/>
        <v>100</v>
      </c>
      <c r="V42" s="1360" t="s">
        <v>65</v>
      </c>
      <c r="W42" s="1361">
        <f t="shared" si="14"/>
        <v>100</v>
      </c>
      <c r="X42" s="1362"/>
      <c r="Y42" s="3775"/>
      <c r="Z42" s="1363" t="str">
        <f t="shared" si="15"/>
        <v>单套建筑面积</v>
      </c>
      <c r="AA42" s="1355">
        <f t="shared" si="3"/>
        <v>1</v>
      </c>
      <c r="AB42" s="1355">
        <f t="shared" si="4"/>
        <v>1</v>
      </c>
      <c r="AC42" s="2338">
        <f t="shared" si="5"/>
        <v>1</v>
      </c>
    </row>
    <row r="43" spans="1:29" ht="15">
      <c r="A43" s="161"/>
      <c r="B43" s="12" t="s">
        <v>1089</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773"/>
      <c r="Q43" s="2220" t="str">
        <f t="shared" si="11"/>
        <v>内部装修</v>
      </c>
      <c r="R43" s="1352" t="s">
        <v>65</v>
      </c>
      <c r="S43" s="1353">
        <f t="shared" si="12"/>
        <v>100</v>
      </c>
      <c r="T43" s="1352" t="s">
        <v>65</v>
      </c>
      <c r="U43" s="1353">
        <f t="shared" si="13"/>
        <v>100</v>
      </c>
      <c r="V43" s="1352" t="s">
        <v>65</v>
      </c>
      <c r="W43" s="1353">
        <f t="shared" si="14"/>
        <v>100</v>
      </c>
      <c r="X43" s="2222"/>
      <c r="Y43" s="3775"/>
      <c r="Z43" s="2221" t="str">
        <f t="shared" si="15"/>
        <v>内部装修</v>
      </c>
      <c r="AA43" s="1355">
        <f t="shared" si="3"/>
        <v>1</v>
      </c>
      <c r="AB43" s="1355">
        <f t="shared" si="4"/>
        <v>1</v>
      </c>
      <c r="AC43" s="2338">
        <f t="shared" si="5"/>
        <v>1</v>
      </c>
    </row>
    <row r="44" spans="1:29" ht="15">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773"/>
      <c r="Q44" s="2220" t="str">
        <f t="shared" si="11"/>
        <v>内部装修维护情况</v>
      </c>
      <c r="R44" s="1352" t="s">
        <v>65</v>
      </c>
      <c r="S44" s="1353">
        <f t="shared" si="12"/>
        <v>100</v>
      </c>
      <c r="T44" s="1352" t="s">
        <v>65</v>
      </c>
      <c r="U44" s="1353">
        <f t="shared" si="13"/>
        <v>100</v>
      </c>
      <c r="V44" s="1352" t="s">
        <v>65</v>
      </c>
      <c r="W44" s="1353">
        <f t="shared" si="14"/>
        <v>100</v>
      </c>
      <c r="X44" s="2222"/>
      <c r="Y44" s="3775"/>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773"/>
      <c r="Q45" s="2213">
        <f t="shared" si="11"/>
        <v>111</v>
      </c>
      <c r="R45" s="1342" t="s">
        <v>65</v>
      </c>
      <c r="S45" s="1343">
        <f t="shared" si="12"/>
        <v>100</v>
      </c>
      <c r="T45" s="1342" t="s">
        <v>65</v>
      </c>
      <c r="U45" s="1343">
        <f t="shared" si="13"/>
        <v>100</v>
      </c>
      <c r="V45" s="1342" t="s">
        <v>65</v>
      </c>
      <c r="W45" s="1343">
        <f t="shared" si="14"/>
        <v>100</v>
      </c>
      <c r="X45" s="287"/>
      <c r="Y45" s="3775"/>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773"/>
      <c r="Q46" s="2220">
        <f t="shared" si="11"/>
        <v>111</v>
      </c>
      <c r="R46" s="1352" t="s">
        <v>65</v>
      </c>
      <c r="S46" s="1353">
        <f t="shared" si="12"/>
        <v>100</v>
      </c>
      <c r="T46" s="1352" t="s">
        <v>65</v>
      </c>
      <c r="U46" s="1353">
        <f t="shared" si="13"/>
        <v>100</v>
      </c>
      <c r="V46" s="1352" t="s">
        <v>65</v>
      </c>
      <c r="W46" s="1353">
        <f t="shared" si="14"/>
        <v>100</v>
      </c>
      <c r="X46" s="2222"/>
      <c r="Y46" s="3775"/>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774"/>
      <c r="Q47" s="2220">
        <f t="shared" si="11"/>
        <v>111</v>
      </c>
      <c r="R47" s="1352" t="s">
        <v>65</v>
      </c>
      <c r="S47" s="1353">
        <f t="shared" si="12"/>
        <v>100</v>
      </c>
      <c r="T47" s="1352" t="s">
        <v>65</v>
      </c>
      <c r="U47" s="1353">
        <f t="shared" si="13"/>
        <v>100</v>
      </c>
      <c r="V47" s="1352" t="s">
        <v>65</v>
      </c>
      <c r="W47" s="1353">
        <f t="shared" si="14"/>
        <v>100</v>
      </c>
      <c r="X47" s="2222"/>
      <c r="Y47" s="3776"/>
      <c r="Z47" s="2221">
        <f t="shared" si="15"/>
        <v>111</v>
      </c>
      <c r="AA47" s="1355">
        <f t="shared" si="3"/>
        <v>1</v>
      </c>
      <c r="AB47" s="1355">
        <f t="shared" si="4"/>
        <v>1</v>
      </c>
      <c r="AC47" s="2338">
        <f t="shared" si="5"/>
        <v>1</v>
      </c>
    </row>
    <row r="48" spans="1:29" ht="15">
      <c r="A48" s="163" t="s">
        <v>1030</v>
      </c>
      <c r="B48" s="164"/>
      <c r="C48" s="2837" t="s">
        <v>23</v>
      </c>
      <c r="D48" s="2838"/>
      <c r="E48" s="2839"/>
      <c r="F48" s="2840"/>
      <c r="G48" s="2841"/>
      <c r="H48" s="2842"/>
      <c r="I48" s="2839"/>
      <c r="J48" s="828"/>
      <c r="K48" s="1393"/>
      <c r="L48" s="2304"/>
      <c r="M48" s="2297"/>
      <c r="N48" s="2297"/>
      <c r="O48" s="2297"/>
      <c r="P48" s="3779" t="str">
        <f>A48</f>
        <v>成交单价（元/平方米）</v>
      </c>
      <c r="Q48" s="3768"/>
      <c r="R48" s="3769">
        <f>E48</f>
        <v>0</v>
      </c>
      <c r="S48" s="3769"/>
      <c r="T48" s="3769">
        <f>G48</f>
        <v>0</v>
      </c>
      <c r="U48" s="3769"/>
      <c r="V48" s="3769">
        <f>I48</f>
        <v>0</v>
      </c>
      <c r="W48" s="3769"/>
      <c r="X48" s="156"/>
      <c r="Y48" s="1366"/>
      <c r="Z48" s="156"/>
      <c r="AA48" s="156"/>
      <c r="AB48" s="156"/>
      <c r="AC48" s="209"/>
    </row>
    <row r="49" spans="1:29" ht="15.75" thickBot="1">
      <c r="A49" s="165" t="s">
        <v>1031</v>
      </c>
      <c r="B49" s="166"/>
      <c r="C49" s="2843" t="e">
        <f>R50</f>
        <v>#DIV/0!</v>
      </c>
      <c r="D49" s="2844"/>
      <c r="E49" s="2845" t="e">
        <f>R49</f>
        <v>#DIV/0!</v>
      </c>
      <c r="F49" s="2845"/>
      <c r="G49" s="2843" t="e">
        <f>T49</f>
        <v>#DIV/0!</v>
      </c>
      <c r="H49" s="2844"/>
      <c r="I49" s="2845" t="e">
        <f>V49</f>
        <v>#DIV/0!</v>
      </c>
      <c r="J49" s="832"/>
      <c r="K49" s="1394"/>
      <c r="L49" s="2304"/>
      <c r="M49" s="2297"/>
      <c r="N49" s="2297"/>
      <c r="O49" s="2297"/>
      <c r="P49" s="3779" t="str">
        <f>A49</f>
        <v>比较价值（元/平方米）</v>
      </c>
      <c r="Q49" s="3768"/>
      <c r="R49" s="3769" t="e">
        <f>IF(F1="售价",ROUND(PRODUCT(R48,AA7:AA47),0),ROUND(PRODUCT(R48,AA7:AA47),1))</f>
        <v>#DIV/0!</v>
      </c>
      <c r="S49" s="3769"/>
      <c r="T49" s="3769" t="e">
        <f>IF(F1="售价",ROUND(PRODUCT(T48,AB7:AB47),0),ROUND(PRODUCT(T48,AB7:AB47),1))</f>
        <v>#DIV/0!</v>
      </c>
      <c r="U49" s="3769"/>
      <c r="V49" s="3769" t="e">
        <f>IF(F1="售价",ROUND(PRODUCT(V48,AC7:AC47),0),ROUND(PRODUCT(V48,AC7:AC47),1))</f>
        <v>#DIV/0!</v>
      </c>
      <c r="W49" s="3769"/>
      <c r="X49" s="156"/>
      <c r="Y49" s="156"/>
      <c r="Z49" s="156"/>
      <c r="AA49" s="156"/>
      <c r="AB49" s="156"/>
      <c r="AC49" s="209"/>
    </row>
    <row r="50" spans="1:29" ht="15.75" thickBot="1">
      <c r="A50" s="115" t="s">
        <v>3018</v>
      </c>
      <c r="B50" s="116"/>
      <c r="C50" s="2847" t="e">
        <f>R50</f>
        <v>#DIV/0!</v>
      </c>
      <c r="D50" s="2847"/>
      <c r="E50" s="2847"/>
      <c r="F50" s="2847"/>
      <c r="G50" s="2847"/>
      <c r="H50" s="2847"/>
      <c r="I50" s="2847"/>
      <c r="J50" s="837"/>
      <c r="K50" s="1395"/>
      <c r="L50" s="2304"/>
      <c r="M50" s="2297"/>
      <c r="N50" s="2297"/>
      <c r="O50" s="2297"/>
      <c r="P50" s="3811" t="str">
        <f>A50</f>
        <v>估价对象XX用房的比较价值（楼面单价，元/平方米）</v>
      </c>
      <c r="Q50" s="3812"/>
      <c r="R50" s="3813" t="e">
        <f>IF(F1="售价",ROUND(AVERAGE(R49:V49),0),ROUND(AVERAGE(R49:V49),1))</f>
        <v>#DIV/0!</v>
      </c>
      <c r="S50" s="3813"/>
      <c r="T50" s="3813"/>
      <c r="U50" s="3813"/>
      <c r="V50" s="3813"/>
      <c r="W50" s="3813"/>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1000</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1001</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1002</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1032</v>
      </c>
      <c r="B58" s="1365"/>
      <c r="C58" s="1373"/>
      <c r="D58" s="1373"/>
      <c r="E58" s="1373"/>
      <c r="F58" s="1374"/>
      <c r="G58" s="1374"/>
      <c r="H58" s="1373"/>
      <c r="I58" s="1373"/>
      <c r="J58" s="1373"/>
      <c r="K58" s="1375"/>
      <c r="L58" s="2312"/>
      <c r="M58" s="2313"/>
      <c r="N58" s="2313"/>
      <c r="O58" s="2313"/>
      <c r="P58" s="2327"/>
      <c r="Q58" s="121"/>
    </row>
    <row r="59" spans="1:29" s="851" customFormat="1" ht="15">
      <c r="A59" s="848" t="s">
        <v>2794</v>
      </c>
      <c r="B59" s="849"/>
      <c r="C59" s="3046" t="str">
        <f>YEAR(C7)&amp;"-"&amp;MONTH(C7)</f>
        <v>2017-7</v>
      </c>
      <c r="D59" s="3047">
        <f>EDATE(C59,-1)</f>
        <v>42887</v>
      </c>
      <c r="E59" s="3047">
        <f>EDATE(D59,-1)</f>
        <v>42856</v>
      </c>
      <c r="F59" s="3047">
        <f t="shared" ref="F59:O59" si="16">EDATE(E59,-1)</f>
        <v>42826</v>
      </c>
      <c r="G59" s="3047">
        <f t="shared" si="16"/>
        <v>42795</v>
      </c>
      <c r="H59" s="3047">
        <f t="shared" si="16"/>
        <v>42767</v>
      </c>
      <c r="I59" s="3047">
        <f t="shared" si="16"/>
        <v>42736</v>
      </c>
      <c r="J59" s="3047">
        <f t="shared" si="16"/>
        <v>42705</v>
      </c>
      <c r="K59" s="3047">
        <f t="shared" si="16"/>
        <v>42675</v>
      </c>
      <c r="L59" s="3047">
        <f t="shared" si="16"/>
        <v>42644</v>
      </c>
      <c r="M59" s="3047">
        <f t="shared" si="16"/>
        <v>42614</v>
      </c>
      <c r="N59" s="3047">
        <f t="shared" si="16"/>
        <v>42583</v>
      </c>
      <c r="O59" s="3047">
        <f t="shared" si="16"/>
        <v>42552</v>
      </c>
      <c r="P59" s="3041"/>
    </row>
    <row r="60" spans="1:29" s="40" customFormat="1" ht="14.25">
      <c r="A60" s="1045"/>
      <c r="B60" s="1046"/>
      <c r="C60" s="3044">
        <v>100</v>
      </c>
      <c r="D60" s="855"/>
      <c r="E60" s="855"/>
      <c r="F60" s="855"/>
      <c r="G60" s="855"/>
      <c r="H60" s="855"/>
      <c r="I60" s="855"/>
      <c r="J60" s="855"/>
      <c r="K60" s="855"/>
      <c r="L60" s="855"/>
      <c r="M60" s="856"/>
      <c r="N60" s="855"/>
      <c r="O60" s="856"/>
      <c r="P60" s="2328"/>
    </row>
    <row r="61" spans="1:29" s="40" customFormat="1" ht="15" thickBot="1">
      <c r="A61" s="1047" t="s">
        <v>1033</v>
      </c>
      <c r="B61" s="1048"/>
      <c r="C61" s="860"/>
      <c r="D61" s="861"/>
      <c r="E61" s="861"/>
      <c r="F61" s="861"/>
      <c r="G61" s="861"/>
      <c r="H61" s="861"/>
      <c r="I61" s="861"/>
      <c r="J61" s="861"/>
      <c r="K61" s="861"/>
      <c r="L61" s="861"/>
      <c r="M61" s="862"/>
      <c r="N61" s="861"/>
      <c r="O61" s="862"/>
      <c r="P61" s="2328"/>
      <c r="Q61" s="121"/>
    </row>
    <row r="62" spans="1:29" s="40" customFormat="1">
      <c r="A62" s="1049" t="s">
        <v>1034</v>
      </c>
      <c r="B62" s="1046"/>
      <c r="C62" s="1050" t="s">
        <v>1035</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1036</v>
      </c>
      <c r="B64" s="286" t="s">
        <v>1037</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1038</v>
      </c>
      <c r="C66" s="882" t="s">
        <v>1003</v>
      </c>
      <c r="D66" s="882" t="s">
        <v>1004</v>
      </c>
      <c r="E66" s="882" t="s">
        <v>1005</v>
      </c>
      <c r="F66" s="882" t="s">
        <v>1006</v>
      </c>
      <c r="G66" s="882" t="s">
        <v>1007</v>
      </c>
      <c r="H66" s="882" t="s">
        <v>1008</v>
      </c>
      <c r="I66" s="882" t="s">
        <v>1009</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1039</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1040</v>
      </c>
      <c r="B77" s="286" t="s">
        <v>1090</v>
      </c>
      <c r="C77" s="916" t="s">
        <v>1010</v>
      </c>
      <c r="D77" s="916" t="s">
        <v>1011</v>
      </c>
      <c r="E77" s="916" t="s">
        <v>1012</v>
      </c>
      <c r="F77" s="916" t="s">
        <v>1013</v>
      </c>
      <c r="G77" s="916" t="s">
        <v>1014</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1047</v>
      </c>
      <c r="C79" s="921" t="s">
        <v>1010</v>
      </c>
      <c r="D79" s="921" t="s">
        <v>1011</v>
      </c>
      <c r="E79" s="921" t="s">
        <v>1012</v>
      </c>
      <c r="F79" s="921" t="s">
        <v>1099</v>
      </c>
      <c r="G79" s="921" t="s">
        <v>1014</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1010</v>
      </c>
      <c r="D81" s="921" t="s">
        <v>1011</v>
      </c>
      <c r="E81" s="921" t="s">
        <v>1012</v>
      </c>
      <c r="F81" s="921" t="s">
        <v>1013</v>
      </c>
      <c r="G81" s="921" t="s">
        <v>1014</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2663</v>
      </c>
      <c r="C83" s="213" t="s">
        <v>2656</v>
      </c>
      <c r="D83" s="213" t="s">
        <v>2657</v>
      </c>
      <c r="E83" s="213" t="s">
        <v>2658</v>
      </c>
      <c r="F83" s="213" t="s">
        <v>2659</v>
      </c>
      <c r="G83" s="213" t="s">
        <v>2660</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1091</v>
      </c>
      <c r="C85" s="921" t="s">
        <v>1010</v>
      </c>
      <c r="D85" s="921" t="s">
        <v>1011</v>
      </c>
      <c r="E85" s="921" t="s">
        <v>1012</v>
      </c>
      <c r="F85" s="921" t="s">
        <v>1013</v>
      </c>
      <c r="G85" s="921" t="s">
        <v>1014</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1092</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1050</v>
      </c>
      <c r="B101" s="286" t="s">
        <v>1093</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1052</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1053</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1054</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1055</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1094</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1095</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2638</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1057</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1058</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1060</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15" thickTop="1">
      <c r="A125" s="175"/>
      <c r="B125" s="1054" t="s">
        <v>1061</v>
      </c>
      <c r="C125" s="921" t="s">
        <v>1010</v>
      </c>
      <c r="D125" s="921" t="s">
        <v>1011</v>
      </c>
      <c r="E125" s="921" t="s">
        <v>1012</v>
      </c>
      <c r="F125" s="921" t="s">
        <v>1013</v>
      </c>
      <c r="G125" s="921" t="s">
        <v>1014</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5" sqref="C5:J6"/>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1100</v>
      </c>
      <c r="B1" s="3123" t="s">
        <v>1101</v>
      </c>
      <c r="C1" s="3117" t="s">
        <v>1102</v>
      </c>
      <c r="D1" s="3108"/>
      <c r="E1" s="3113"/>
      <c r="F1" s="3110"/>
      <c r="G1" s="3112" t="s">
        <v>1103</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1104</v>
      </c>
      <c r="B2" s="2848" t="e">
        <f ca="1">IF(C2="——",ROUND(C43*D3/10000,0),ROUND(C43*D3/10000,0)-D2)</f>
        <v>#DIV/0!</v>
      </c>
      <c r="C2" s="3102"/>
      <c r="D2" s="2343" t="e">
        <f ca="1">SUMIF(INDIRECT("'"&amp;F2&amp;"'"&amp;"!A:A"),"承租人权益价值",INDIRECT("'"&amp;F2&amp;"'"&amp;"!c:c"))</f>
        <v>#REF!</v>
      </c>
      <c r="E2" s="3103" t="s">
        <v>862</v>
      </c>
      <c r="F2" s="3104"/>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1105</v>
      </c>
      <c r="B3" s="952" t="e">
        <f ca="1">IF(C2="——",C43,ROUND(B2*10000/D3,0))</f>
        <v>#DIV/0!</v>
      </c>
      <c r="C3" s="142" t="s">
        <v>1106</v>
      </c>
      <c r="D3" s="742">
        <f>IF(D1="",'数据-汇总表'!E3,SUMIF('数据-汇总表'!$C19:$C33,D1,'数据-汇总表'!$E19:$E33))</f>
        <v>326059.4499999999</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1107</v>
      </c>
      <c r="B4" s="144"/>
      <c r="C4" s="3783" t="s">
        <v>1108</v>
      </c>
      <c r="D4" s="3784"/>
      <c r="E4" s="3785" t="s">
        <v>1109</v>
      </c>
      <c r="F4" s="3786"/>
      <c r="G4" s="3783" t="s">
        <v>1110</v>
      </c>
      <c r="H4" s="3784"/>
      <c r="I4" s="3783" t="s">
        <v>1111</v>
      </c>
      <c r="J4" s="3784"/>
      <c r="K4" s="187" t="s">
        <v>1112</v>
      </c>
      <c r="L4" s="2296"/>
      <c r="M4" s="2297"/>
      <c r="N4" s="2297"/>
      <c r="O4" s="2297"/>
      <c r="P4" s="3787" t="s">
        <v>1107</v>
      </c>
      <c r="Q4" s="3788"/>
      <c r="R4" s="3793" t="s">
        <v>1109</v>
      </c>
      <c r="S4" s="3794"/>
      <c r="T4" s="3793" t="s">
        <v>1110</v>
      </c>
      <c r="U4" s="3794"/>
      <c r="V4" s="3799" t="s">
        <v>1111</v>
      </c>
      <c r="W4" s="3799"/>
      <c r="X4" s="1340"/>
      <c r="Y4" s="3793" t="s">
        <v>1107</v>
      </c>
      <c r="Z4" s="3794"/>
      <c r="AA4" s="3780" t="s">
        <v>1109</v>
      </c>
      <c r="AB4" s="3781" t="s">
        <v>1110</v>
      </c>
      <c r="AC4" s="3780" t="s">
        <v>1111</v>
      </c>
    </row>
    <row r="5" spans="1:29">
      <c r="A5" s="146"/>
      <c r="B5" s="147"/>
      <c r="C5" s="3802" t="s">
        <v>1113</v>
      </c>
      <c r="D5" s="3803"/>
      <c r="E5" s="3809" t="s">
        <v>1114</v>
      </c>
      <c r="F5" s="3810"/>
      <c r="G5" s="3802" t="s">
        <v>1115</v>
      </c>
      <c r="H5" s="3803"/>
      <c r="I5" s="3802" t="s">
        <v>1116</v>
      </c>
      <c r="J5" s="3803"/>
      <c r="K5" s="187"/>
      <c r="L5" s="2296"/>
      <c r="M5" s="2297"/>
      <c r="N5" s="2297"/>
      <c r="O5" s="2297"/>
      <c r="P5" s="3789"/>
      <c r="Q5" s="3790"/>
      <c r="R5" s="3795"/>
      <c r="S5" s="3796"/>
      <c r="T5" s="3795"/>
      <c r="U5" s="3796"/>
      <c r="V5" s="3799"/>
      <c r="W5" s="3799"/>
      <c r="X5" s="1340"/>
      <c r="Y5" s="3795"/>
      <c r="Z5" s="3796"/>
      <c r="AA5" s="3781"/>
      <c r="AB5" s="3781"/>
      <c r="AC5" s="3781"/>
    </row>
    <row r="6" spans="1:29" ht="14.25" thickBot="1">
      <c r="A6" s="148"/>
      <c r="B6" s="149"/>
      <c r="C6" s="3800" t="s">
        <v>1117</v>
      </c>
      <c r="D6" s="3801"/>
      <c r="E6" s="3807" t="s">
        <v>1117</v>
      </c>
      <c r="F6" s="3808"/>
      <c r="G6" s="3800" t="s">
        <v>1117</v>
      </c>
      <c r="H6" s="3801"/>
      <c r="I6" s="3800" t="s">
        <v>1117</v>
      </c>
      <c r="J6" s="3801"/>
      <c r="K6" s="187" t="s">
        <v>1118</v>
      </c>
      <c r="L6" s="2296"/>
      <c r="M6" s="2297"/>
      <c r="N6" s="2297"/>
      <c r="O6" s="2297"/>
      <c r="P6" s="3791"/>
      <c r="Q6" s="3792"/>
      <c r="R6" s="3795"/>
      <c r="S6" s="3796"/>
      <c r="T6" s="3797"/>
      <c r="U6" s="3798"/>
      <c r="V6" s="3799"/>
      <c r="W6" s="3799"/>
      <c r="X6" s="1340"/>
      <c r="Y6" s="3797"/>
      <c r="Z6" s="3798"/>
      <c r="AA6" s="3782"/>
      <c r="AB6" s="3782"/>
      <c r="AC6" s="3782"/>
    </row>
    <row r="7" spans="1:29" s="40" customFormat="1" ht="15" thickBot="1">
      <c r="A7" s="1014" t="s">
        <v>1119</v>
      </c>
      <c r="B7" s="1015"/>
      <c r="C7" s="753">
        <f>'数据-取费表'!B2</f>
        <v>42941</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804" t="s">
        <v>1119</v>
      </c>
      <c r="Q7" s="3806"/>
      <c r="R7" s="1342" t="s">
        <v>65</v>
      </c>
      <c r="S7" s="1343">
        <f t="shared" ref="S7:S15" si="0">F7</f>
        <v>0</v>
      </c>
      <c r="T7" s="1342" t="s">
        <v>65</v>
      </c>
      <c r="U7" s="1343">
        <f t="shared" ref="U7:U15" si="1">H7</f>
        <v>0</v>
      </c>
      <c r="V7" s="1342" t="s">
        <v>65</v>
      </c>
      <c r="W7" s="1343">
        <f t="shared" ref="W7:W15" si="2">J7</f>
        <v>0</v>
      </c>
      <c r="X7" s="287"/>
      <c r="Y7" s="3804" t="s">
        <v>1119</v>
      </c>
      <c r="Z7" s="3805"/>
      <c r="AA7" s="1344" t="e">
        <f>D7/F7</f>
        <v>#DIV/0!</v>
      </c>
      <c r="AB7" s="1344" t="e">
        <f>D7/H7</f>
        <v>#DIV/0!</v>
      </c>
      <c r="AC7" s="1344" t="e">
        <f>D7/J7</f>
        <v>#DIV/0!</v>
      </c>
    </row>
    <row r="8" spans="1:29" s="40" customFormat="1" ht="15" thickBot="1">
      <c r="A8" s="1014" t="s">
        <v>1120</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804" t="s">
        <v>1015</v>
      </c>
      <c r="Q8" s="3805"/>
      <c r="R8" s="1342" t="s">
        <v>65</v>
      </c>
      <c r="S8" s="1343">
        <f t="shared" si="0"/>
        <v>0</v>
      </c>
      <c r="T8" s="1342" t="s">
        <v>65</v>
      </c>
      <c r="U8" s="1343">
        <f t="shared" si="1"/>
        <v>0</v>
      </c>
      <c r="V8" s="1342" t="s">
        <v>65</v>
      </c>
      <c r="W8" s="1343">
        <f t="shared" si="2"/>
        <v>0</v>
      </c>
      <c r="X8" s="287"/>
      <c r="Y8" s="3804" t="s">
        <v>1015</v>
      </c>
      <c r="Z8" s="3805"/>
      <c r="AA8" s="1344" t="e">
        <f t="shared" ref="AA8:AA40" si="3">D8/F8</f>
        <v>#DIV/0!</v>
      </c>
      <c r="AB8" s="1344" t="e">
        <f t="shared" ref="AB8:AB40" si="4">D8/H8</f>
        <v>#DIV/0!</v>
      </c>
      <c r="AC8" s="1344" t="e">
        <f t="shared" ref="AC8:AC40" si="5">D8/J8</f>
        <v>#DIV/0!</v>
      </c>
    </row>
    <row r="9" spans="1:29" s="40" customFormat="1" ht="14.25">
      <c r="A9" s="1021" t="s">
        <v>1016</v>
      </c>
      <c r="B9" s="62" t="s">
        <v>1017</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768" t="s">
        <v>67</v>
      </c>
      <c r="Q9" s="7" t="str">
        <f t="shared" ref="Q9:Q15" si="6">B9</f>
        <v>用途</v>
      </c>
      <c r="R9" s="1342" t="s">
        <v>65</v>
      </c>
      <c r="S9" s="1343">
        <f t="shared" si="0"/>
        <v>100</v>
      </c>
      <c r="T9" s="1342" t="s">
        <v>65</v>
      </c>
      <c r="U9" s="1343">
        <f t="shared" si="1"/>
        <v>100</v>
      </c>
      <c r="V9" s="1342" t="s">
        <v>65</v>
      </c>
      <c r="W9" s="1343">
        <f t="shared" si="2"/>
        <v>100</v>
      </c>
      <c r="X9" s="287"/>
      <c r="Y9" s="3545"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768"/>
      <c r="Q10" s="7" t="str">
        <f t="shared" si="6"/>
        <v>土地使用年限（年）</v>
      </c>
      <c r="R10" s="1342" t="s">
        <v>65</v>
      </c>
      <c r="S10" s="1343">
        <f t="shared" si="0"/>
        <v>100</v>
      </c>
      <c r="T10" s="1342" t="s">
        <v>65</v>
      </c>
      <c r="U10" s="1343">
        <f t="shared" si="1"/>
        <v>100</v>
      </c>
      <c r="V10" s="1342" t="s">
        <v>65</v>
      </c>
      <c r="W10" s="1343">
        <f t="shared" si="2"/>
        <v>100</v>
      </c>
      <c r="X10" s="287"/>
      <c r="Y10" s="3545"/>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768"/>
      <c r="Q11" s="7" t="str">
        <f t="shared" si="6"/>
        <v>容积率</v>
      </c>
      <c r="R11" s="1342" t="s">
        <v>65</v>
      </c>
      <c r="S11" s="1343" t="e">
        <f t="shared" si="0"/>
        <v>#N/A</v>
      </c>
      <c r="T11" s="1342" t="s">
        <v>65</v>
      </c>
      <c r="U11" s="1343" t="e">
        <f t="shared" si="1"/>
        <v>#N/A</v>
      </c>
      <c r="V11" s="1342" t="s">
        <v>65</v>
      </c>
      <c r="W11" s="1343" t="e">
        <f t="shared" si="2"/>
        <v>#N/A</v>
      </c>
      <c r="X11" s="287"/>
      <c r="Y11" s="354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768"/>
      <c r="Q12" s="7">
        <f t="shared" si="6"/>
        <v>111</v>
      </c>
      <c r="R12" s="1342" t="s">
        <v>65</v>
      </c>
      <c r="S12" s="1343">
        <f t="shared" si="0"/>
        <v>100</v>
      </c>
      <c r="T12" s="1342" t="s">
        <v>65</v>
      </c>
      <c r="U12" s="1343">
        <f t="shared" si="1"/>
        <v>100</v>
      </c>
      <c r="V12" s="1342" t="s">
        <v>65</v>
      </c>
      <c r="W12" s="1343">
        <f t="shared" si="2"/>
        <v>100</v>
      </c>
      <c r="X12" s="287"/>
      <c r="Y12" s="3545"/>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768"/>
      <c r="Q13" s="7">
        <f t="shared" si="6"/>
        <v>111</v>
      </c>
      <c r="R13" s="1342" t="s">
        <v>65</v>
      </c>
      <c r="S13" s="1343">
        <f t="shared" si="0"/>
        <v>100</v>
      </c>
      <c r="T13" s="1342" t="s">
        <v>65</v>
      </c>
      <c r="U13" s="1343">
        <f t="shared" si="1"/>
        <v>100</v>
      </c>
      <c r="V13" s="1342" t="s">
        <v>65</v>
      </c>
      <c r="W13" s="1343">
        <f t="shared" si="2"/>
        <v>100</v>
      </c>
      <c r="X13" s="287"/>
      <c r="Y13" s="3545"/>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768"/>
      <c r="Q14" s="7">
        <f t="shared" si="6"/>
        <v>111</v>
      </c>
      <c r="R14" s="1342" t="s">
        <v>65</v>
      </c>
      <c r="S14" s="1343">
        <f t="shared" si="0"/>
        <v>100</v>
      </c>
      <c r="T14" s="1342" t="s">
        <v>65</v>
      </c>
      <c r="U14" s="1343">
        <f t="shared" si="1"/>
        <v>100</v>
      </c>
      <c r="V14" s="1342" t="s">
        <v>65</v>
      </c>
      <c r="W14" s="1343">
        <f t="shared" si="2"/>
        <v>100</v>
      </c>
      <c r="X14" s="287"/>
      <c r="Y14" s="3545"/>
      <c r="Z14" s="288">
        <f t="shared" si="7"/>
        <v>111</v>
      </c>
      <c r="AA14" s="1344">
        <f t="shared" si="3"/>
        <v>1</v>
      </c>
      <c r="AB14" s="1344">
        <f t="shared" si="4"/>
        <v>1</v>
      </c>
      <c r="AC14" s="1344">
        <f t="shared" si="5"/>
        <v>1</v>
      </c>
    </row>
    <row r="15" spans="1:29" ht="54">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770" t="s">
        <v>69</v>
      </c>
      <c r="Q15" s="1351" t="str">
        <f t="shared" si="6"/>
        <v>产业集聚程度</v>
      </c>
      <c r="R15" s="1352" t="s">
        <v>65</v>
      </c>
      <c r="S15" s="1353">
        <f t="shared" si="0"/>
        <v>100</v>
      </c>
      <c r="T15" s="1352" t="s">
        <v>65</v>
      </c>
      <c r="U15" s="1353">
        <f t="shared" si="1"/>
        <v>100</v>
      </c>
      <c r="V15" s="1352" t="s">
        <v>65</v>
      </c>
      <c r="W15" s="1353">
        <f t="shared" si="2"/>
        <v>100</v>
      </c>
      <c r="X15" s="1340"/>
      <c r="Y15" s="3770"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771"/>
      <c r="Q16" s="1351"/>
      <c r="R16" s="1352"/>
      <c r="S16" s="1353"/>
      <c r="T16" s="1352"/>
      <c r="U16" s="1353"/>
      <c r="V16" s="1352"/>
      <c r="W16" s="1353"/>
      <c r="X16" s="1340"/>
      <c r="Y16" s="3771"/>
      <c r="Z16" s="1354"/>
      <c r="AA16" s="1355">
        <v>1</v>
      </c>
      <c r="AB16" s="1355">
        <v>1</v>
      </c>
      <c r="AC16" s="1355">
        <v>1</v>
      </c>
    </row>
    <row r="17" spans="1:29" ht="81">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771"/>
      <c r="Q17" s="1351" t="str">
        <f>B17</f>
        <v>交通便捷度</v>
      </c>
      <c r="R17" s="1352" t="s">
        <v>65</v>
      </c>
      <c r="S17" s="1353">
        <f>F17</f>
        <v>100</v>
      </c>
      <c r="T17" s="1352" t="s">
        <v>65</v>
      </c>
      <c r="U17" s="1353">
        <f>H17</f>
        <v>100</v>
      </c>
      <c r="V17" s="1352" t="s">
        <v>65</v>
      </c>
      <c r="W17" s="1353">
        <f>J17</f>
        <v>100</v>
      </c>
      <c r="X17" s="1340"/>
      <c r="Y17" s="3771"/>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771"/>
      <c r="Q18" s="1351"/>
      <c r="R18" s="1352"/>
      <c r="S18" s="1353"/>
      <c r="T18" s="1352"/>
      <c r="U18" s="1353"/>
      <c r="V18" s="1352"/>
      <c r="W18" s="1353"/>
      <c r="X18" s="1340"/>
      <c r="Y18" s="3771"/>
      <c r="Z18" s="1354"/>
      <c r="AA18" s="1355">
        <v>1</v>
      </c>
      <c r="AB18" s="1355">
        <v>1</v>
      </c>
      <c r="AC18" s="1355">
        <v>1</v>
      </c>
    </row>
    <row r="19" spans="1:29" ht="40.5">
      <c r="A19" s="151"/>
      <c r="B19" s="1356" t="s">
        <v>2661</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771"/>
      <c r="Q19" s="1351" t="str">
        <f>B19</f>
        <v>公共配套设施</v>
      </c>
      <c r="R19" s="1352" t="s">
        <v>65</v>
      </c>
      <c r="S19" s="1353">
        <f>F19</f>
        <v>100</v>
      </c>
      <c r="T19" s="1352" t="s">
        <v>65</v>
      </c>
      <c r="U19" s="1353">
        <f>H19</f>
        <v>100</v>
      </c>
      <c r="V19" s="1352" t="s">
        <v>65</v>
      </c>
      <c r="W19" s="1353">
        <f>J19</f>
        <v>100</v>
      </c>
      <c r="X19" s="1340"/>
      <c r="Y19" s="3771"/>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771"/>
      <c r="Q20" s="1351"/>
      <c r="R20" s="1352"/>
      <c r="S20" s="1353"/>
      <c r="T20" s="1352"/>
      <c r="U20" s="1353"/>
      <c r="V20" s="1352"/>
      <c r="W20" s="1353"/>
      <c r="X20" s="1340"/>
      <c r="Y20" s="3771"/>
      <c r="Z20" s="1354"/>
      <c r="AA20" s="1355">
        <v>1</v>
      </c>
      <c r="AB20" s="1355">
        <v>1</v>
      </c>
      <c r="AC20" s="1355">
        <v>1</v>
      </c>
    </row>
    <row r="21" spans="1:29" ht="27">
      <c r="A21" s="151"/>
      <c r="B21" s="1412" t="s">
        <v>2664</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771"/>
      <c r="Q21" s="2747" t="str">
        <f>B21</f>
        <v>基础设施水平</v>
      </c>
      <c r="R21" s="1352" t="s">
        <v>65</v>
      </c>
      <c r="S21" s="1353">
        <f>F21</f>
        <v>100</v>
      </c>
      <c r="T21" s="1352" t="s">
        <v>65</v>
      </c>
      <c r="U21" s="1353">
        <f>H21</f>
        <v>100</v>
      </c>
      <c r="V21" s="1352" t="s">
        <v>65</v>
      </c>
      <c r="W21" s="1353">
        <f>J21</f>
        <v>100</v>
      </c>
      <c r="X21" s="2749"/>
      <c r="Y21" s="3771"/>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771"/>
      <c r="Q22" s="2747"/>
      <c r="R22" s="1352"/>
      <c r="S22" s="1353"/>
      <c r="T22" s="1352"/>
      <c r="U22" s="1353"/>
      <c r="V22" s="1352"/>
      <c r="W22" s="1353"/>
      <c r="X22" s="2749"/>
      <c r="Y22" s="3771"/>
      <c r="Z22" s="2748"/>
      <c r="AA22" s="1355">
        <v>1</v>
      </c>
      <c r="AB22" s="1355">
        <v>1</v>
      </c>
      <c r="AC22" s="1355">
        <v>1</v>
      </c>
    </row>
    <row r="23" spans="1:29" ht="67.5">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771"/>
      <c r="Q23" s="1351" t="str">
        <f>B23</f>
        <v>环境质量</v>
      </c>
      <c r="R23" s="1352" t="s">
        <v>65</v>
      </c>
      <c r="S23" s="1353">
        <f>F23</f>
        <v>100</v>
      </c>
      <c r="T23" s="1352" t="s">
        <v>65</v>
      </c>
      <c r="U23" s="1353">
        <f>H23</f>
        <v>100</v>
      </c>
      <c r="V23" s="1352" t="s">
        <v>65</v>
      </c>
      <c r="W23" s="1353">
        <f>J23</f>
        <v>100</v>
      </c>
      <c r="X23" s="1340"/>
      <c r="Y23" s="3771"/>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771"/>
      <c r="Q24" s="1351"/>
      <c r="R24" s="1352"/>
      <c r="S24" s="1353"/>
      <c r="T24" s="1352"/>
      <c r="U24" s="1353"/>
      <c r="V24" s="1352"/>
      <c r="W24" s="1353"/>
      <c r="X24" s="1340"/>
      <c r="Y24" s="3771"/>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771"/>
      <c r="Q25" s="1351">
        <f>B25</f>
        <v>111</v>
      </c>
      <c r="R25" s="1352" t="s">
        <v>65</v>
      </c>
      <c r="S25" s="1353">
        <f>F25</f>
        <v>100</v>
      </c>
      <c r="T25" s="1352" t="s">
        <v>65</v>
      </c>
      <c r="U25" s="1353">
        <f>H25</f>
        <v>100</v>
      </c>
      <c r="V25" s="1352" t="s">
        <v>65</v>
      </c>
      <c r="W25" s="1353">
        <f>J25</f>
        <v>100</v>
      </c>
      <c r="X25" s="1340"/>
      <c r="Y25" s="3771"/>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771"/>
      <c r="Q26" s="1351">
        <f t="shared" ref="Q26:Q40" si="11">B26</f>
        <v>111</v>
      </c>
      <c r="R26" s="1352" t="s">
        <v>65</v>
      </c>
      <c r="S26" s="1353">
        <f>F26</f>
        <v>100</v>
      </c>
      <c r="T26" s="1352" t="s">
        <v>65</v>
      </c>
      <c r="U26" s="1353">
        <f>H26</f>
        <v>100</v>
      </c>
      <c r="V26" s="1352" t="s">
        <v>65</v>
      </c>
      <c r="W26" s="1353">
        <f>J26</f>
        <v>100</v>
      </c>
      <c r="X26" s="1340"/>
      <c r="Y26" s="3771"/>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771"/>
      <c r="Q27" s="7">
        <f t="shared" si="11"/>
        <v>111</v>
      </c>
      <c r="R27" s="1342" t="s">
        <v>65</v>
      </c>
      <c r="S27" s="1343">
        <f>F27</f>
        <v>100</v>
      </c>
      <c r="T27" s="1342" t="s">
        <v>65</v>
      </c>
      <c r="U27" s="1343">
        <f>H27</f>
        <v>100</v>
      </c>
      <c r="V27" s="1342" t="s">
        <v>65</v>
      </c>
      <c r="W27" s="1343">
        <f>J27</f>
        <v>100</v>
      </c>
      <c r="X27" s="287"/>
      <c r="Y27" s="3771"/>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771"/>
      <c r="Q28" s="1351">
        <f t="shared" si="11"/>
        <v>111</v>
      </c>
      <c r="R28" s="1352" t="s">
        <v>65</v>
      </c>
      <c r="S28" s="1353">
        <f t="shared" ref="S28:S40" si="12">F28</f>
        <v>100</v>
      </c>
      <c r="T28" s="1352" t="s">
        <v>65</v>
      </c>
      <c r="U28" s="1353">
        <f t="shared" ref="U28:U40" si="13">H28</f>
        <v>100</v>
      </c>
      <c r="V28" s="1352" t="s">
        <v>65</v>
      </c>
      <c r="W28" s="1353">
        <f t="shared" ref="W28:W40" si="14">J28</f>
        <v>100</v>
      </c>
      <c r="X28" s="1340"/>
      <c r="Y28" s="3771"/>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826" t="s">
        <v>1121</v>
      </c>
      <c r="Q29" s="1351" t="str">
        <f t="shared" si="11"/>
        <v>建筑类型</v>
      </c>
      <c r="R29" s="1352" t="s">
        <v>65</v>
      </c>
      <c r="S29" s="1353">
        <f t="shared" si="12"/>
        <v>100</v>
      </c>
      <c r="T29" s="1352" t="s">
        <v>65</v>
      </c>
      <c r="U29" s="1353">
        <f t="shared" si="13"/>
        <v>100</v>
      </c>
      <c r="V29" s="1352" t="s">
        <v>65</v>
      </c>
      <c r="W29" s="1353">
        <f t="shared" si="14"/>
        <v>100</v>
      </c>
      <c r="X29" s="1340"/>
      <c r="Y29" s="3775" t="s">
        <v>1121</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775"/>
      <c r="Q30" s="1359" t="str">
        <f t="shared" si="11"/>
        <v>项目建筑规模</v>
      </c>
      <c r="R30" s="1360" t="s">
        <v>65</v>
      </c>
      <c r="S30" s="1361" t="e">
        <f t="shared" si="12"/>
        <v>#N/A</v>
      </c>
      <c r="T30" s="1360" t="s">
        <v>65</v>
      </c>
      <c r="U30" s="1361" t="e">
        <f t="shared" si="13"/>
        <v>#N/A</v>
      </c>
      <c r="V30" s="1360" t="s">
        <v>65</v>
      </c>
      <c r="W30" s="1361" t="e">
        <f t="shared" si="14"/>
        <v>#N/A</v>
      </c>
      <c r="X30" s="1362"/>
      <c r="Y30" s="3775"/>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775"/>
      <c r="Q31" s="1351" t="str">
        <f t="shared" si="11"/>
        <v>建筑结构</v>
      </c>
      <c r="R31" s="1352" t="s">
        <v>65</v>
      </c>
      <c r="S31" s="1353">
        <f t="shared" si="12"/>
        <v>100</v>
      </c>
      <c r="T31" s="1352" t="s">
        <v>65</v>
      </c>
      <c r="U31" s="1353">
        <f t="shared" si="13"/>
        <v>100</v>
      </c>
      <c r="V31" s="1352" t="s">
        <v>65</v>
      </c>
      <c r="W31" s="1353">
        <f t="shared" si="14"/>
        <v>100</v>
      </c>
      <c r="X31" s="1340"/>
      <c r="Y31" s="3775"/>
      <c r="Z31" s="1354" t="str">
        <f t="shared" si="15"/>
        <v>建筑结构</v>
      </c>
      <c r="AA31" s="1355">
        <f t="shared" si="3"/>
        <v>1</v>
      </c>
      <c r="AB31" s="1355">
        <f t="shared" si="4"/>
        <v>1</v>
      </c>
      <c r="AC31" s="1355">
        <f t="shared" si="5"/>
        <v>1</v>
      </c>
    </row>
    <row r="32" spans="1:29" ht="15">
      <c r="A32" s="161"/>
      <c r="B32" s="12" t="s">
        <v>1023</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775"/>
      <c r="Q32" s="1351" t="str">
        <f t="shared" si="11"/>
        <v>公共部分装修</v>
      </c>
      <c r="R32" s="1352" t="s">
        <v>65</v>
      </c>
      <c r="S32" s="1353">
        <f t="shared" si="12"/>
        <v>100</v>
      </c>
      <c r="T32" s="1352" t="s">
        <v>65</v>
      </c>
      <c r="U32" s="1353">
        <f t="shared" si="13"/>
        <v>100</v>
      </c>
      <c r="V32" s="1352" t="s">
        <v>65</v>
      </c>
      <c r="W32" s="1353">
        <f t="shared" si="14"/>
        <v>100</v>
      </c>
      <c r="X32" s="1340"/>
      <c r="Y32" s="3775"/>
      <c r="Z32" s="1354" t="str">
        <f t="shared" si="15"/>
        <v>公共部分装修</v>
      </c>
      <c r="AA32" s="1355">
        <f t="shared" si="3"/>
        <v>1</v>
      </c>
      <c r="AB32" s="1355">
        <f t="shared" si="4"/>
        <v>1</v>
      </c>
      <c r="AC32" s="1355">
        <f t="shared" si="5"/>
        <v>1</v>
      </c>
    </row>
    <row r="33" spans="1:29" ht="15">
      <c r="A33" s="161"/>
      <c r="B33" s="12" t="s">
        <v>1024</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775"/>
      <c r="Q33" s="1351" t="str">
        <f t="shared" si="11"/>
        <v>成新度</v>
      </c>
      <c r="R33" s="1352" t="s">
        <v>65</v>
      </c>
      <c r="S33" s="1353" t="e">
        <f t="shared" si="12"/>
        <v>#N/A</v>
      </c>
      <c r="T33" s="1352" t="s">
        <v>65</v>
      </c>
      <c r="U33" s="1353" t="e">
        <f t="shared" si="13"/>
        <v>#N/A</v>
      </c>
      <c r="V33" s="1352" t="s">
        <v>65</v>
      </c>
      <c r="W33" s="1353" t="e">
        <f t="shared" si="14"/>
        <v>#N/A</v>
      </c>
      <c r="X33" s="1340"/>
      <c r="Y33" s="3775"/>
      <c r="Z33" s="1354" t="str">
        <f t="shared" si="15"/>
        <v>成新度</v>
      </c>
      <c r="AA33" s="1355" t="e">
        <f t="shared" si="3"/>
        <v>#N/A</v>
      </c>
      <c r="AB33" s="1355" t="e">
        <f t="shared" si="4"/>
        <v>#N/A</v>
      </c>
      <c r="AC33" s="1355" t="e">
        <f t="shared" si="5"/>
        <v>#N/A</v>
      </c>
    </row>
    <row r="34" spans="1:29" s="40" customFormat="1" ht="15">
      <c r="A34" s="1041"/>
      <c r="B34" s="12" t="s">
        <v>1122</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775"/>
      <c r="Q34" s="7" t="str">
        <f t="shared" si="11"/>
        <v>物业管理</v>
      </c>
      <c r="R34" s="1342" t="s">
        <v>65</v>
      </c>
      <c r="S34" s="1343">
        <f t="shared" si="12"/>
        <v>100</v>
      </c>
      <c r="T34" s="1342" t="s">
        <v>65</v>
      </c>
      <c r="U34" s="1343">
        <f t="shared" si="13"/>
        <v>100</v>
      </c>
      <c r="V34" s="1342" t="s">
        <v>65</v>
      </c>
      <c r="W34" s="1343">
        <f t="shared" si="14"/>
        <v>100</v>
      </c>
      <c r="X34" s="287"/>
      <c r="Y34" s="3775"/>
      <c r="Z34" s="288" t="str">
        <f t="shared" si="15"/>
        <v>物业管理</v>
      </c>
      <c r="AA34" s="1344">
        <f t="shared" si="3"/>
        <v>1</v>
      </c>
      <c r="AB34" s="1344">
        <f t="shared" si="4"/>
        <v>1</v>
      </c>
      <c r="AC34" s="1344">
        <f t="shared" si="5"/>
        <v>1</v>
      </c>
    </row>
    <row r="35" spans="1:29" ht="15">
      <c r="A35" s="161"/>
      <c r="B35" s="12" t="s">
        <v>2654</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775" t="s">
        <v>70</v>
      </c>
      <c r="Q35" s="1351" t="str">
        <f t="shared" si="11"/>
        <v>市政基础设施</v>
      </c>
      <c r="R35" s="1352" t="s">
        <v>65</v>
      </c>
      <c r="S35" s="1353">
        <f t="shared" si="12"/>
        <v>100</v>
      </c>
      <c r="T35" s="1352" t="s">
        <v>65</v>
      </c>
      <c r="U35" s="1353">
        <f t="shared" si="13"/>
        <v>100</v>
      </c>
      <c r="V35" s="1352" t="s">
        <v>65</v>
      </c>
      <c r="W35" s="1353">
        <f t="shared" si="14"/>
        <v>100</v>
      </c>
      <c r="X35" s="1340"/>
      <c r="Y35" s="3775"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775"/>
      <c r="Q36" s="1351" t="str">
        <f t="shared" si="11"/>
        <v>内部装修</v>
      </c>
      <c r="R36" s="1352" t="s">
        <v>65</v>
      </c>
      <c r="S36" s="1353">
        <f t="shared" si="12"/>
        <v>100</v>
      </c>
      <c r="T36" s="1352" t="s">
        <v>65</v>
      </c>
      <c r="U36" s="1353">
        <f t="shared" si="13"/>
        <v>100</v>
      </c>
      <c r="V36" s="1352" t="s">
        <v>65</v>
      </c>
      <c r="W36" s="1353">
        <f t="shared" si="14"/>
        <v>100</v>
      </c>
      <c r="X36" s="1340"/>
      <c r="Y36" s="3775"/>
      <c r="Z36" s="1354" t="str">
        <f t="shared" si="15"/>
        <v>内部装修</v>
      </c>
      <c r="AA36" s="1355">
        <f t="shared" si="3"/>
        <v>1</v>
      </c>
      <c r="AB36" s="1355">
        <f t="shared" si="4"/>
        <v>1</v>
      </c>
      <c r="AC36" s="1355">
        <f t="shared" si="5"/>
        <v>1</v>
      </c>
    </row>
    <row r="37" spans="1:29" ht="15">
      <c r="A37" s="161"/>
      <c r="B37" s="12" t="s">
        <v>1123</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775"/>
      <c r="Q37" s="1351" t="str">
        <f t="shared" si="11"/>
        <v>内部装修状况</v>
      </c>
      <c r="R37" s="1352" t="s">
        <v>65</v>
      </c>
      <c r="S37" s="1353">
        <f t="shared" si="12"/>
        <v>100</v>
      </c>
      <c r="T37" s="1352" t="s">
        <v>65</v>
      </c>
      <c r="U37" s="1353">
        <f t="shared" si="13"/>
        <v>100</v>
      </c>
      <c r="V37" s="1352" t="s">
        <v>65</v>
      </c>
      <c r="W37" s="1353">
        <f t="shared" si="14"/>
        <v>100</v>
      </c>
      <c r="X37" s="1340"/>
      <c r="Y37" s="3775"/>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775"/>
      <c r="Q38" s="1359">
        <f t="shared" si="11"/>
        <v>111</v>
      </c>
      <c r="R38" s="1360" t="s">
        <v>65</v>
      </c>
      <c r="S38" s="1361">
        <f t="shared" si="12"/>
        <v>100</v>
      </c>
      <c r="T38" s="1360" t="s">
        <v>65</v>
      </c>
      <c r="U38" s="1361">
        <f t="shared" si="13"/>
        <v>100</v>
      </c>
      <c r="V38" s="1360" t="s">
        <v>65</v>
      </c>
      <c r="W38" s="1361">
        <f t="shared" si="14"/>
        <v>100</v>
      </c>
      <c r="X38" s="1362"/>
      <c r="Y38" s="3775"/>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775"/>
      <c r="Q39" s="1351">
        <f t="shared" si="11"/>
        <v>111</v>
      </c>
      <c r="R39" s="1352" t="s">
        <v>65</v>
      </c>
      <c r="S39" s="1353">
        <f t="shared" si="12"/>
        <v>100</v>
      </c>
      <c r="T39" s="1352" t="s">
        <v>65</v>
      </c>
      <c r="U39" s="1353">
        <f t="shared" si="13"/>
        <v>100</v>
      </c>
      <c r="V39" s="1352" t="s">
        <v>65</v>
      </c>
      <c r="W39" s="1353">
        <f t="shared" si="14"/>
        <v>100</v>
      </c>
      <c r="X39" s="1340"/>
      <c r="Y39" s="3775"/>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776"/>
      <c r="Q40" s="1351">
        <f t="shared" si="11"/>
        <v>111</v>
      </c>
      <c r="R40" s="1352" t="s">
        <v>65</v>
      </c>
      <c r="S40" s="1353">
        <f t="shared" si="12"/>
        <v>100</v>
      </c>
      <c r="T40" s="1352" t="s">
        <v>65</v>
      </c>
      <c r="U40" s="1353">
        <f t="shared" si="13"/>
        <v>100</v>
      </c>
      <c r="V40" s="1352" t="s">
        <v>65</v>
      </c>
      <c r="W40" s="1353">
        <f t="shared" si="14"/>
        <v>100</v>
      </c>
      <c r="X40" s="1340"/>
      <c r="Y40" s="3776"/>
      <c r="Z40" s="1354">
        <f t="shared" si="15"/>
        <v>111</v>
      </c>
      <c r="AA40" s="1355">
        <f t="shared" si="3"/>
        <v>1</v>
      </c>
      <c r="AB40" s="1355">
        <f t="shared" si="4"/>
        <v>1</v>
      </c>
      <c r="AC40" s="1355">
        <f t="shared" si="5"/>
        <v>1</v>
      </c>
    </row>
    <row r="41" spans="1:29" ht="15">
      <c r="A41" s="163" t="s">
        <v>102</v>
      </c>
      <c r="B41" s="164"/>
      <c r="C41" s="2837" t="s">
        <v>23</v>
      </c>
      <c r="D41" s="2838"/>
      <c r="E41" s="2839"/>
      <c r="F41" s="2840"/>
      <c r="G41" s="2841"/>
      <c r="H41" s="2842"/>
      <c r="I41" s="2839"/>
      <c r="J41" s="2842"/>
      <c r="K41" s="1393"/>
      <c r="L41" s="2304"/>
      <c r="M41" s="2305"/>
      <c r="N41" s="2297"/>
      <c r="O41" s="2305"/>
      <c r="P41" s="3768" t="str">
        <f>A41</f>
        <v>成交单价（元/平方米）</v>
      </c>
      <c r="Q41" s="3768"/>
      <c r="R41" s="3769">
        <f>E41</f>
        <v>0</v>
      </c>
      <c r="S41" s="3769"/>
      <c r="T41" s="3769">
        <f>G41</f>
        <v>0</v>
      </c>
      <c r="U41" s="3769"/>
      <c r="V41" s="3769">
        <f>I41</f>
        <v>0</v>
      </c>
      <c r="W41" s="3769"/>
      <c r="X41" s="1365"/>
      <c r="Y41" s="1366"/>
      <c r="Z41" s="1365"/>
      <c r="AA41" s="1365"/>
      <c r="AB41" s="1365"/>
      <c r="AC41" s="1365"/>
    </row>
    <row r="42" spans="1:29" ht="15.75" thickBot="1">
      <c r="A42" s="165" t="s">
        <v>100</v>
      </c>
      <c r="B42" s="166"/>
      <c r="C42" s="2843" t="e">
        <f>R43</f>
        <v>#DIV/0!</v>
      </c>
      <c r="D42" s="2844"/>
      <c r="E42" s="2845" t="e">
        <f>R42</f>
        <v>#DIV/0!</v>
      </c>
      <c r="F42" s="2845"/>
      <c r="G42" s="2843" t="e">
        <f>T42</f>
        <v>#DIV/0!</v>
      </c>
      <c r="H42" s="2844"/>
      <c r="I42" s="2845" t="e">
        <f>V42</f>
        <v>#DIV/0!</v>
      </c>
      <c r="J42" s="2844"/>
      <c r="K42" s="1394"/>
      <c r="L42" s="2304"/>
      <c r="M42" s="2305"/>
      <c r="N42" s="2297"/>
      <c r="O42" s="2305"/>
      <c r="P42" s="3768" t="str">
        <f>A42</f>
        <v>比较价值（元/平方米）</v>
      </c>
      <c r="Q42" s="3768"/>
      <c r="R42" s="3769" t="e">
        <f>IF(F1="售价",ROUND(PRODUCT(R41,AA7:AA40),0),ROUND(PRODUCT(R41,AA7:AA40),1))</f>
        <v>#DIV/0!</v>
      </c>
      <c r="S42" s="3769"/>
      <c r="T42" s="3769" t="e">
        <f>IF(F1="售价",ROUND(PRODUCT(T41,AB7:AB40),0),ROUND(PRODUCT(T41,AB7:AB40),1))</f>
        <v>#DIV/0!</v>
      </c>
      <c r="U42" s="3769"/>
      <c r="V42" s="3769" t="e">
        <f>IF(F1="售价",ROUND(PRODUCT(V41,AC7:AC40),0),ROUND(PRODUCT(V41,AC7:AC40),1))</f>
        <v>#DIV/0!</v>
      </c>
      <c r="W42" s="3769"/>
      <c r="X42" s="1365"/>
      <c r="Y42" s="1365"/>
      <c r="Z42" s="1365"/>
      <c r="AA42" s="1365"/>
      <c r="AB42" s="1365"/>
      <c r="AC42" s="1365"/>
    </row>
    <row r="43" spans="1:29" ht="15.75" thickBot="1">
      <c r="A43" s="115" t="s">
        <v>3018</v>
      </c>
      <c r="B43" s="116"/>
      <c r="C43" s="2847" t="e">
        <f>R43</f>
        <v>#DIV/0!</v>
      </c>
      <c r="D43" s="2847"/>
      <c r="E43" s="2847"/>
      <c r="F43" s="2847"/>
      <c r="G43" s="2847"/>
      <c r="H43" s="2847"/>
      <c r="I43" s="2847"/>
      <c r="J43" s="2847"/>
      <c r="K43" s="1395"/>
      <c r="L43" s="2304"/>
      <c r="M43" s="2305"/>
      <c r="N43" s="2305"/>
      <c r="O43" s="2305"/>
      <c r="P43" s="3765" t="str">
        <f>A43</f>
        <v>估价对象XX用房的比较价值（楼面单价，元/平方米）</v>
      </c>
      <c r="Q43" s="3766"/>
      <c r="R43" s="3767" t="e">
        <f>IF(F1="售价",ROUND(AVERAGE(R42:V42),0),ROUND(AVERAGE(R42:V42),1))</f>
        <v>#DIV/0!</v>
      </c>
      <c r="S43" s="3767"/>
      <c r="T43" s="3767"/>
      <c r="U43" s="3767"/>
      <c r="V43" s="3767"/>
      <c r="W43" s="3767"/>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997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998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999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2794</v>
      </c>
      <c r="B52" s="849"/>
      <c r="C52" s="3046" t="str">
        <f>YEAR(C7)&amp;"-"&amp;MONTH(C7)</f>
        <v>2017-7</v>
      </c>
      <c r="D52" s="3047">
        <f>EDATE(C52,-1)</f>
        <v>42887</v>
      </c>
      <c r="E52" s="3047">
        <f t="shared" ref="E52:O52" si="16">EDATE(D52,-1)</f>
        <v>42856</v>
      </c>
      <c r="F52" s="3047">
        <f t="shared" si="16"/>
        <v>42826</v>
      </c>
      <c r="G52" s="3047">
        <f t="shared" si="16"/>
        <v>42795</v>
      </c>
      <c r="H52" s="3047">
        <f t="shared" si="16"/>
        <v>42767</v>
      </c>
      <c r="I52" s="3047">
        <f t="shared" si="16"/>
        <v>42736</v>
      </c>
      <c r="J52" s="3047">
        <f t="shared" si="16"/>
        <v>42705</v>
      </c>
      <c r="K52" s="3047">
        <f t="shared" si="16"/>
        <v>42675</v>
      </c>
      <c r="L52" s="3047">
        <f t="shared" si="16"/>
        <v>42644</v>
      </c>
      <c r="M52" s="3047">
        <f t="shared" si="16"/>
        <v>42614</v>
      </c>
      <c r="N52" s="3047">
        <f t="shared" si="16"/>
        <v>42583</v>
      </c>
      <c r="O52" s="3047">
        <f t="shared" si="16"/>
        <v>42552</v>
      </c>
      <c r="P52" s="850"/>
    </row>
    <row r="53" spans="1:17" s="40" customFormat="1" ht="14.25">
      <c r="A53" s="1045"/>
      <c r="B53" s="1046"/>
      <c r="C53" s="3044">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1003</v>
      </c>
      <c r="D59" s="882" t="s">
        <v>1004</v>
      </c>
      <c r="E59" s="882" t="s">
        <v>1005</v>
      </c>
      <c r="F59" s="882" t="s">
        <v>1006</v>
      </c>
      <c r="G59" s="882" t="s">
        <v>1007</v>
      </c>
      <c r="H59" s="882" t="s">
        <v>1008</v>
      </c>
      <c r="I59" s="882" t="s">
        <v>1009</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1010</v>
      </c>
      <c r="D70" s="916" t="s">
        <v>1011</v>
      </c>
      <c r="E70" s="916" t="s">
        <v>1012</v>
      </c>
      <c r="F70" s="916" t="s">
        <v>1013</v>
      </c>
      <c r="G70" s="916" t="s">
        <v>1014</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1010</v>
      </c>
      <c r="D72" s="921" t="s">
        <v>1011</v>
      </c>
      <c r="E72" s="921" t="s">
        <v>1012</v>
      </c>
      <c r="F72" s="921" t="s">
        <v>1013</v>
      </c>
      <c r="G72" s="921" t="s">
        <v>1014</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2636</v>
      </c>
      <c r="C74" s="921" t="s">
        <v>1010</v>
      </c>
      <c r="D74" s="921" t="s">
        <v>1011</v>
      </c>
      <c r="E74" s="921" t="s">
        <v>1012</v>
      </c>
      <c r="F74" s="921" t="s">
        <v>1013</v>
      </c>
      <c r="G74" s="921" t="s">
        <v>1014</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2664</v>
      </c>
      <c r="C76" s="213" t="s">
        <v>2656</v>
      </c>
      <c r="D76" s="213" t="s">
        <v>2657</v>
      </c>
      <c r="E76" s="213" t="s">
        <v>2658</v>
      </c>
      <c r="F76" s="213" t="s">
        <v>2659</v>
      </c>
      <c r="G76" s="213" t="s">
        <v>2660</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1010</v>
      </c>
      <c r="D78" s="921" t="s">
        <v>1011</v>
      </c>
      <c r="E78" s="921" t="s">
        <v>1012</v>
      </c>
      <c r="F78" s="921" t="s">
        <v>1013</v>
      </c>
      <c r="G78" s="921" t="s">
        <v>1014</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2638</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15" thickTop="1">
      <c r="A106" s="175"/>
      <c r="B106" s="211" t="s">
        <v>152</v>
      </c>
      <c r="C106" s="921" t="s">
        <v>1010</v>
      </c>
      <c r="D106" s="921" t="s">
        <v>1011</v>
      </c>
      <c r="E106" s="921" t="s">
        <v>1012</v>
      </c>
      <c r="F106" s="921" t="s">
        <v>1013</v>
      </c>
      <c r="G106" s="921" t="s">
        <v>1014</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386</v>
      </c>
      <c r="B1" s="3126"/>
      <c r="C1" s="3127" t="s">
        <v>442</v>
      </c>
      <c r="D1" s="3128"/>
      <c r="E1" s="3129"/>
      <c r="F1" s="3110"/>
      <c r="G1" s="3130" t="s">
        <v>443</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1" customFormat="1" ht="28.5" customHeight="1" thickTop="1">
      <c r="A2" s="3124" t="s">
        <v>444</v>
      </c>
      <c r="B2" s="2848" t="e">
        <f ca="1">IF(C2="——",IF(B37="元/平方米",ROUND(C39*D3/10000,0),ROUND(F3*C39/10000,0)),IF(B37="元/平方米",ROUND(C39*D3/10000,0),ROUND(F3*C39/10000,0))-D2)</f>
        <v>#DIV/0!</v>
      </c>
      <c r="C2" s="3102"/>
      <c r="D2" s="2343" t="e">
        <f ca="1">SUMIF(INDIRECT("'"&amp;F2&amp;"'"&amp;"!A:A"),"承租人权益价值",INDIRECT("'"&amp;F2&amp;"'"&amp;"!c:c"))</f>
        <v>#REF!</v>
      </c>
      <c r="E2" s="3103" t="s">
        <v>862</v>
      </c>
      <c r="F2" s="3104"/>
      <c r="G2" s="2344"/>
      <c r="H2" s="2344"/>
      <c r="I2" s="2344"/>
      <c r="J2" s="2344"/>
      <c r="K2" s="2346"/>
      <c r="L2" s="2347"/>
      <c r="M2" s="2348"/>
      <c r="N2" s="2348"/>
      <c r="O2" s="2348"/>
      <c r="P2" s="2849"/>
      <c r="Q2" s="1316"/>
      <c r="R2" s="1316"/>
      <c r="S2" s="1316"/>
      <c r="T2" s="1316"/>
      <c r="U2" s="1316"/>
      <c r="V2" s="1316"/>
      <c r="W2" s="1316"/>
      <c r="X2" s="1316"/>
      <c r="Y2" s="1316"/>
      <c r="Z2" s="1316"/>
      <c r="AA2" s="1316"/>
      <c r="AB2" s="1316"/>
      <c r="AC2" s="1317"/>
    </row>
    <row r="3" spans="1:29" s="741" customFormat="1" ht="28.5" customHeight="1" thickBot="1">
      <c r="A3" s="579" t="s">
        <v>445</v>
      </c>
      <c r="B3" s="952" t="e">
        <f ca="1">IF(AND(C2="——",B37="元/平方米"),C39,ROUND(B2*10000/D3,0))</f>
        <v>#DIV/0!</v>
      </c>
      <c r="C3" s="743" t="s">
        <v>446</v>
      </c>
      <c r="D3" s="742">
        <f>SUMIF('数据-汇总表'!$C19:$C33,D1,'数据-汇总表'!$E19:$E33)</f>
        <v>0</v>
      </c>
      <c r="E3" s="743" t="s">
        <v>2132</v>
      </c>
      <c r="F3" s="742">
        <f>SUMIF('数据-取费表'!A5:A15,D1,'数据-取费表'!AH5:AH15)</f>
        <v>0</v>
      </c>
      <c r="G3" s="2344"/>
      <c r="H3" s="2344"/>
      <c r="I3" s="2344"/>
      <c r="J3" s="2344"/>
      <c r="K3" s="2346"/>
      <c r="L3" s="2347"/>
      <c r="M3" s="2348"/>
      <c r="N3" s="2348"/>
      <c r="O3" s="2348"/>
      <c r="P3" s="2849"/>
      <c r="Q3" s="1316"/>
      <c r="R3" s="1316"/>
      <c r="S3" s="1316"/>
      <c r="T3" s="1316"/>
      <c r="U3" s="1316"/>
      <c r="V3" s="1316"/>
      <c r="W3" s="1316"/>
      <c r="X3" s="1316"/>
      <c r="Y3" s="1316"/>
      <c r="Z3" s="1316"/>
      <c r="AA3" s="1316"/>
      <c r="AB3" s="1409"/>
      <c r="AC3" s="1399"/>
    </row>
    <row r="4" spans="1:29" ht="15">
      <c r="A4" s="744" t="s">
        <v>447</v>
      </c>
      <c r="B4" s="745"/>
      <c r="C4" s="3839" t="s">
        <v>448</v>
      </c>
      <c r="D4" s="3840"/>
      <c r="E4" s="3841" t="s">
        <v>449</v>
      </c>
      <c r="F4" s="3842"/>
      <c r="G4" s="3839" t="s">
        <v>450</v>
      </c>
      <c r="H4" s="3840"/>
      <c r="I4" s="3839" t="s">
        <v>451</v>
      </c>
      <c r="J4" s="3840"/>
      <c r="K4" s="953" t="s">
        <v>452</v>
      </c>
      <c r="L4" s="2349"/>
      <c r="M4" s="2350"/>
      <c r="N4" s="2350"/>
      <c r="O4" s="2350"/>
      <c r="P4" s="3843" t="s">
        <v>453</v>
      </c>
      <c r="Q4" s="3844"/>
      <c r="R4" s="3849" t="s">
        <v>449</v>
      </c>
      <c r="S4" s="3850"/>
      <c r="T4" s="3849" t="s">
        <v>450</v>
      </c>
      <c r="U4" s="3850"/>
      <c r="V4" s="3855" t="s">
        <v>451</v>
      </c>
      <c r="W4" s="3855"/>
      <c r="X4" s="2834"/>
      <c r="Y4" s="3849" t="s">
        <v>453</v>
      </c>
      <c r="Z4" s="3850"/>
      <c r="AA4" s="3836" t="s">
        <v>449</v>
      </c>
      <c r="AB4" s="3837" t="s">
        <v>450</v>
      </c>
      <c r="AC4" s="3836" t="s">
        <v>451</v>
      </c>
    </row>
    <row r="5" spans="1:29" ht="15">
      <c r="A5" s="747"/>
      <c r="B5" s="748"/>
      <c r="C5" s="3858" t="s">
        <v>3019</v>
      </c>
      <c r="D5" s="3859"/>
      <c r="E5" s="3865" t="s">
        <v>3020</v>
      </c>
      <c r="F5" s="3866"/>
      <c r="G5" s="3858" t="s">
        <v>3021</v>
      </c>
      <c r="H5" s="3859"/>
      <c r="I5" s="3858" t="s">
        <v>3022</v>
      </c>
      <c r="J5" s="3859"/>
      <c r="K5" s="953"/>
      <c r="L5" s="2349"/>
      <c r="M5" s="2350"/>
      <c r="N5" s="2350"/>
      <c r="O5" s="2350"/>
      <c r="P5" s="3845"/>
      <c r="Q5" s="3846"/>
      <c r="R5" s="3851"/>
      <c r="S5" s="3852"/>
      <c r="T5" s="3851"/>
      <c r="U5" s="3852"/>
      <c r="V5" s="3855"/>
      <c r="W5" s="3855"/>
      <c r="X5" s="2834"/>
      <c r="Y5" s="3851"/>
      <c r="Z5" s="3852"/>
      <c r="AA5" s="3837"/>
      <c r="AB5" s="3837"/>
      <c r="AC5" s="3837"/>
    </row>
    <row r="6" spans="1:29" ht="15.75" thickBot="1">
      <c r="A6" s="749"/>
      <c r="B6" s="750"/>
      <c r="C6" s="3856" t="s">
        <v>3023</v>
      </c>
      <c r="D6" s="3857"/>
      <c r="E6" s="3863" t="s">
        <v>3023</v>
      </c>
      <c r="F6" s="3864"/>
      <c r="G6" s="3856" t="s">
        <v>3023</v>
      </c>
      <c r="H6" s="3857"/>
      <c r="I6" s="3856" t="s">
        <v>3023</v>
      </c>
      <c r="J6" s="3857"/>
      <c r="K6" s="953" t="s">
        <v>395</v>
      </c>
      <c r="L6" s="2349"/>
      <c r="M6" s="2350"/>
      <c r="N6" s="2350"/>
      <c r="O6" s="2350"/>
      <c r="P6" s="3847"/>
      <c r="Q6" s="3848"/>
      <c r="R6" s="3851"/>
      <c r="S6" s="3852"/>
      <c r="T6" s="3853"/>
      <c r="U6" s="3854"/>
      <c r="V6" s="3855"/>
      <c r="W6" s="3855"/>
      <c r="X6" s="2834"/>
      <c r="Y6" s="3853"/>
      <c r="Z6" s="3854"/>
      <c r="AA6" s="3838"/>
      <c r="AB6" s="3838"/>
      <c r="AC6" s="3838"/>
    </row>
    <row r="7" spans="1:29" s="407" customFormat="1" ht="15.75" thickBot="1">
      <c r="A7" s="751" t="s">
        <v>396</v>
      </c>
      <c r="B7" s="752"/>
      <c r="C7" s="753">
        <f>'数据-取费表'!B2</f>
        <v>42941</v>
      </c>
      <c r="D7" s="754">
        <v>100</v>
      </c>
      <c r="E7" s="755"/>
      <c r="F7" s="756">
        <f>SUMIF(48:48,YEAR(E7)&amp;"-"&amp;MONTH(E7),49:49)</f>
        <v>0</v>
      </c>
      <c r="G7" s="755"/>
      <c r="H7" s="754">
        <f>SUMIF(48:48,YEAR(G7)&amp;"-"&amp;MONTH(G7),49:49)</f>
        <v>0</v>
      </c>
      <c r="I7" s="755"/>
      <c r="J7" s="754">
        <f>SUMIF(48:48,YEAR(I7)&amp;"-"&amp;MONTH(I7),49:49)</f>
        <v>0</v>
      </c>
      <c r="K7" s="954"/>
      <c r="L7" s="2351"/>
      <c r="M7" s="2352"/>
      <c r="N7" s="2352"/>
      <c r="O7" s="2352"/>
      <c r="P7" s="3860" t="s">
        <v>397</v>
      </c>
      <c r="Q7" s="3862"/>
      <c r="R7" s="1319" t="s">
        <v>65</v>
      </c>
      <c r="S7" s="1320">
        <f t="shared" ref="S7:S14" si="0">F7</f>
        <v>0</v>
      </c>
      <c r="T7" s="1319" t="s">
        <v>65</v>
      </c>
      <c r="U7" s="1320">
        <f t="shared" ref="U7:U14" si="1">H7</f>
        <v>0</v>
      </c>
      <c r="V7" s="1319" t="s">
        <v>65</v>
      </c>
      <c r="W7" s="1320">
        <f t="shared" ref="W7:W14" si="2">J7</f>
        <v>0</v>
      </c>
      <c r="X7" s="1321"/>
      <c r="Y7" s="3860" t="s">
        <v>397</v>
      </c>
      <c r="Z7" s="3861"/>
      <c r="AA7" s="1322" t="e">
        <f>D7/F7</f>
        <v>#DIV/0!</v>
      </c>
      <c r="AB7" s="1322" t="e">
        <f>D7/H7</f>
        <v>#DIV/0!</v>
      </c>
      <c r="AC7" s="1322"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860" t="s">
        <v>433</v>
      </c>
      <c r="Q8" s="3861"/>
      <c r="R8" s="1319" t="s">
        <v>65</v>
      </c>
      <c r="S8" s="1320">
        <f t="shared" si="0"/>
        <v>0</v>
      </c>
      <c r="T8" s="1319" t="s">
        <v>65</v>
      </c>
      <c r="U8" s="1320">
        <f t="shared" si="1"/>
        <v>0</v>
      </c>
      <c r="V8" s="1319" t="s">
        <v>65</v>
      </c>
      <c r="W8" s="1320">
        <f t="shared" si="2"/>
        <v>0</v>
      </c>
      <c r="X8" s="1321"/>
      <c r="Y8" s="3860" t="s">
        <v>433</v>
      </c>
      <c r="Z8" s="3861"/>
      <c r="AA8" s="1322" t="e">
        <f t="shared" ref="AA8:AA36" si="3">D8/F8</f>
        <v>#DIV/0!</v>
      </c>
      <c r="AB8" s="1322" t="e">
        <f t="shared" ref="AB8:AB36" si="4">D8/H8</f>
        <v>#DIV/0!</v>
      </c>
      <c r="AC8" s="1322"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827" t="s">
        <v>400</v>
      </c>
      <c r="Q9" s="2833" t="str">
        <f t="shared" ref="Q9:Q14" si="6">B9</f>
        <v>用途</v>
      </c>
      <c r="R9" s="1319" t="s">
        <v>65</v>
      </c>
      <c r="S9" s="1320">
        <f t="shared" si="0"/>
        <v>100</v>
      </c>
      <c r="T9" s="1319" t="s">
        <v>65</v>
      </c>
      <c r="U9" s="1320">
        <f t="shared" si="1"/>
        <v>100</v>
      </c>
      <c r="V9" s="1319" t="s">
        <v>65</v>
      </c>
      <c r="W9" s="1320">
        <f t="shared" si="2"/>
        <v>100</v>
      </c>
      <c r="X9" s="1321"/>
      <c r="Y9" s="3633" t="s">
        <v>401</v>
      </c>
      <c r="Z9" s="344" t="str">
        <f t="shared" ref="Z9:Z14" si="7">Q9</f>
        <v>用途</v>
      </c>
      <c r="AA9" s="1322">
        <f t="shared" si="3"/>
        <v>1</v>
      </c>
      <c r="AB9" s="1322">
        <f t="shared" si="4"/>
        <v>1</v>
      </c>
      <c r="AC9" s="1322">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827"/>
      <c r="Q10" s="2833" t="str">
        <f t="shared" si="6"/>
        <v>土地使用年限（年）</v>
      </c>
      <c r="R10" s="1319" t="s">
        <v>65</v>
      </c>
      <c r="S10" s="1320">
        <f t="shared" si="0"/>
        <v>100</v>
      </c>
      <c r="T10" s="1319" t="s">
        <v>65</v>
      </c>
      <c r="U10" s="1320">
        <f t="shared" si="1"/>
        <v>100</v>
      </c>
      <c r="V10" s="1319" t="s">
        <v>65</v>
      </c>
      <c r="W10" s="1320">
        <f t="shared" si="2"/>
        <v>100</v>
      </c>
      <c r="X10" s="1321"/>
      <c r="Y10" s="3633"/>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827"/>
      <c r="Q11" s="2833">
        <f t="shared" si="6"/>
        <v>111</v>
      </c>
      <c r="R11" s="1319" t="s">
        <v>65</v>
      </c>
      <c r="S11" s="1320">
        <f t="shared" si="0"/>
        <v>100</v>
      </c>
      <c r="T11" s="1319" t="s">
        <v>65</v>
      </c>
      <c r="U11" s="1320">
        <f t="shared" si="1"/>
        <v>100</v>
      </c>
      <c r="V11" s="1319" t="s">
        <v>65</v>
      </c>
      <c r="W11" s="1320">
        <f t="shared" si="2"/>
        <v>100</v>
      </c>
      <c r="X11" s="1321"/>
      <c r="Y11" s="3633"/>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827"/>
      <c r="Q12" s="2833">
        <f t="shared" si="6"/>
        <v>111</v>
      </c>
      <c r="R12" s="1319" t="s">
        <v>65</v>
      </c>
      <c r="S12" s="1320">
        <f t="shared" si="0"/>
        <v>100</v>
      </c>
      <c r="T12" s="1319" t="s">
        <v>65</v>
      </c>
      <c r="U12" s="1320">
        <f t="shared" si="1"/>
        <v>100</v>
      </c>
      <c r="V12" s="1319" t="s">
        <v>65</v>
      </c>
      <c r="W12" s="1320">
        <f t="shared" si="2"/>
        <v>100</v>
      </c>
      <c r="X12" s="1321"/>
      <c r="Y12" s="3633"/>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827"/>
      <c r="Q13" s="2833">
        <f t="shared" si="6"/>
        <v>111</v>
      </c>
      <c r="R13" s="1319" t="s">
        <v>65</v>
      </c>
      <c r="S13" s="1320">
        <f t="shared" si="0"/>
        <v>100</v>
      </c>
      <c r="T13" s="1319" t="s">
        <v>65</v>
      </c>
      <c r="U13" s="1320">
        <f t="shared" si="1"/>
        <v>100</v>
      </c>
      <c r="V13" s="1319" t="s">
        <v>65</v>
      </c>
      <c r="W13" s="1320">
        <f t="shared" si="2"/>
        <v>100</v>
      </c>
      <c r="X13" s="1321"/>
      <c r="Y13" s="3633"/>
      <c r="Z13" s="344">
        <f t="shared" si="7"/>
        <v>111</v>
      </c>
      <c r="AA13" s="1322">
        <f t="shared" si="3"/>
        <v>1</v>
      </c>
      <c r="AB13" s="1322">
        <f t="shared" si="4"/>
        <v>1</v>
      </c>
      <c r="AC13" s="1322">
        <f t="shared" si="5"/>
        <v>1</v>
      </c>
    </row>
    <row r="14" spans="1:29" ht="81">
      <c r="A14" s="744" t="s">
        <v>404</v>
      </c>
      <c r="B14" s="972" t="s">
        <v>454</v>
      </c>
      <c r="C14" s="212" t="str">
        <f>IF(B1="工业",估价对象房地状况!G4,估价对象房地状况!C6)</f>
        <v>估价对象紧邻大广高速，周边有密37、密50、密51路等公交线路，综合评价交通便捷度较好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832" t="s">
        <v>405</v>
      </c>
      <c r="Q14" s="2835" t="str">
        <f t="shared" si="6"/>
        <v>交通便捷度</v>
      </c>
      <c r="R14" s="1324" t="s">
        <v>65</v>
      </c>
      <c r="S14" s="1325">
        <f t="shared" si="0"/>
        <v>100</v>
      </c>
      <c r="T14" s="1324" t="s">
        <v>65</v>
      </c>
      <c r="U14" s="1325">
        <f t="shared" si="1"/>
        <v>100</v>
      </c>
      <c r="V14" s="1324" t="s">
        <v>65</v>
      </c>
      <c r="W14" s="1325">
        <f t="shared" si="2"/>
        <v>100</v>
      </c>
      <c r="X14" s="2834"/>
      <c r="Y14" s="3832" t="s">
        <v>405</v>
      </c>
      <c r="Z14" s="2836"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833"/>
      <c r="Q15" s="2835"/>
      <c r="R15" s="1324"/>
      <c r="S15" s="1325"/>
      <c r="T15" s="1324"/>
      <c r="U15" s="1325"/>
      <c r="V15" s="1324"/>
      <c r="W15" s="1325"/>
      <c r="X15" s="2834"/>
      <c r="Y15" s="3833"/>
      <c r="Z15" s="2836"/>
      <c r="AA15" s="1327">
        <v>1</v>
      </c>
      <c r="AB15" s="1327">
        <v>1</v>
      </c>
      <c r="AC15" s="1327">
        <v>1</v>
      </c>
    </row>
    <row r="16" spans="1:29" ht="94.5">
      <c r="A16" s="747"/>
      <c r="B16" s="1034" t="s">
        <v>2665</v>
      </c>
      <c r="C16" s="158" t="str">
        <f>IF(B1="工业",估价对象房地状况!G5,估价对象房地状况!C7)</f>
        <v>估价对象所在区域公共配套设施齐备情况；基础设施水平；综合评价公用设施及基础设施水平一般</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833"/>
      <c r="Q16" s="2835" t="str">
        <f>B16</f>
        <v>公共配套设施</v>
      </c>
      <c r="R16" s="1324" t="s">
        <v>65</v>
      </c>
      <c r="S16" s="1325">
        <f>F16</f>
        <v>100</v>
      </c>
      <c r="T16" s="1324" t="s">
        <v>65</v>
      </c>
      <c r="U16" s="1325">
        <f>H16</f>
        <v>100</v>
      </c>
      <c r="V16" s="1324" t="s">
        <v>65</v>
      </c>
      <c r="W16" s="1325">
        <f>J16</f>
        <v>100</v>
      </c>
      <c r="X16" s="2834"/>
      <c r="Y16" s="3833"/>
      <c r="Z16" s="2836"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833"/>
      <c r="Q17" s="2835"/>
      <c r="R17" s="1324"/>
      <c r="S17" s="1325"/>
      <c r="T17" s="1324"/>
      <c r="U17" s="1325"/>
      <c r="V17" s="1324"/>
      <c r="W17" s="1325"/>
      <c r="X17" s="2834"/>
      <c r="Y17" s="3833"/>
      <c r="Z17" s="2836"/>
      <c r="AA17" s="1327">
        <v>1</v>
      </c>
      <c r="AB17" s="1327">
        <v>1</v>
      </c>
      <c r="AC17" s="1327">
        <v>1</v>
      </c>
    </row>
    <row r="18" spans="1:29" ht="94.5">
      <c r="A18" s="747"/>
      <c r="B18" s="1036" t="s">
        <v>2664</v>
      </c>
      <c r="C18" s="158" t="str">
        <f>IF(B1="工业",估价对象房地状况!G6,估价对象房地状况!C8)</f>
        <v>估价对象所在区域公共配套设施齐备情况；基础设施水平；综合评价公用设施及基础设施水平一般</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833"/>
      <c r="Q18" s="2835" t="str">
        <f>B18</f>
        <v>基础设施水平</v>
      </c>
      <c r="R18" s="1324" t="s">
        <v>65</v>
      </c>
      <c r="S18" s="1325">
        <f>F18</f>
        <v>100</v>
      </c>
      <c r="T18" s="1324" t="s">
        <v>65</v>
      </c>
      <c r="U18" s="1325">
        <f>H18</f>
        <v>100</v>
      </c>
      <c r="V18" s="1324" t="s">
        <v>65</v>
      </c>
      <c r="W18" s="1325">
        <f>J18</f>
        <v>100</v>
      </c>
      <c r="X18" s="2834"/>
      <c r="Y18" s="3833"/>
      <c r="Z18" s="2836"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833"/>
      <c r="Q19" s="2835"/>
      <c r="R19" s="1324"/>
      <c r="S19" s="1325"/>
      <c r="T19" s="1324"/>
      <c r="U19" s="1325"/>
      <c r="V19" s="1324"/>
      <c r="W19" s="1325"/>
      <c r="X19" s="2834"/>
      <c r="Y19" s="3833"/>
      <c r="Z19" s="2836"/>
      <c r="AA19" s="1327">
        <v>1</v>
      </c>
      <c r="AB19" s="1327">
        <v>1</v>
      </c>
      <c r="AC19" s="1327">
        <v>1</v>
      </c>
    </row>
    <row r="20" spans="1:29" ht="54">
      <c r="A20" s="747"/>
      <c r="B20" s="974" t="s">
        <v>455</v>
      </c>
      <c r="C20" s="158" t="str">
        <f>IF(B1="工业",估价对象房地状况!G7,估价对象房地状况!C9)</f>
        <v>区域有司马台长城、鸳鸯湖水库；综合评价环境状况好</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833"/>
      <c r="Q20" s="2835" t="str">
        <f>B20</f>
        <v>自然及人文环境</v>
      </c>
      <c r="R20" s="1324" t="s">
        <v>65</v>
      </c>
      <c r="S20" s="1325">
        <f>F20</f>
        <v>100</v>
      </c>
      <c r="T20" s="1324" t="s">
        <v>65</v>
      </c>
      <c r="U20" s="1325">
        <f>H20</f>
        <v>100</v>
      </c>
      <c r="V20" s="1324" t="s">
        <v>65</v>
      </c>
      <c r="W20" s="1325">
        <f>J20</f>
        <v>100</v>
      </c>
      <c r="X20" s="2834"/>
      <c r="Y20" s="3833"/>
      <c r="Z20" s="2836"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833"/>
      <c r="Q21" s="2835"/>
      <c r="R21" s="1324"/>
      <c r="S21" s="1325"/>
      <c r="T21" s="1324"/>
      <c r="U21" s="1325"/>
      <c r="V21" s="1324"/>
      <c r="W21" s="1325"/>
      <c r="X21" s="2834"/>
      <c r="Y21" s="3833"/>
      <c r="Z21" s="2836"/>
      <c r="AA21" s="1327">
        <v>1</v>
      </c>
      <c r="AB21" s="1327">
        <v>1</v>
      </c>
      <c r="AC21" s="1327">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833"/>
      <c r="Q22" s="2835" t="str">
        <f>B22</f>
        <v>楼层</v>
      </c>
      <c r="R22" s="1324" t="s">
        <v>65</v>
      </c>
      <c r="S22" s="1325">
        <f>F22</f>
        <v>100</v>
      </c>
      <c r="T22" s="1324" t="s">
        <v>65</v>
      </c>
      <c r="U22" s="1325">
        <f>H22</f>
        <v>100</v>
      </c>
      <c r="V22" s="1324" t="s">
        <v>65</v>
      </c>
      <c r="W22" s="1325">
        <f>J22</f>
        <v>100</v>
      </c>
      <c r="X22" s="2834"/>
      <c r="Y22" s="3833"/>
      <c r="Z22" s="2836"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833"/>
      <c r="Q23" s="2835">
        <f>B23</f>
        <v>111</v>
      </c>
      <c r="R23" s="1324" t="s">
        <v>65</v>
      </c>
      <c r="S23" s="1325">
        <f>F23</f>
        <v>100</v>
      </c>
      <c r="T23" s="1324" t="s">
        <v>65</v>
      </c>
      <c r="U23" s="1325">
        <f>H23</f>
        <v>100</v>
      </c>
      <c r="V23" s="1324" t="s">
        <v>65</v>
      </c>
      <c r="W23" s="1325">
        <f>J23</f>
        <v>100</v>
      </c>
      <c r="X23" s="2834"/>
      <c r="Y23" s="3833"/>
      <c r="Z23" s="2836">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833"/>
      <c r="Q24" s="2835">
        <f t="shared" ref="Q24:Q36" si="11">B24</f>
        <v>111</v>
      </c>
      <c r="R24" s="1324" t="s">
        <v>65</v>
      </c>
      <c r="S24" s="1325">
        <f>F24</f>
        <v>100</v>
      </c>
      <c r="T24" s="1324" t="s">
        <v>65</v>
      </c>
      <c r="U24" s="1325">
        <f>H24</f>
        <v>100</v>
      </c>
      <c r="V24" s="1324" t="s">
        <v>65</v>
      </c>
      <c r="W24" s="1325">
        <f>J24</f>
        <v>100</v>
      </c>
      <c r="X24" s="2834"/>
      <c r="Y24" s="3833"/>
      <c r="Z24" s="2836">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833"/>
      <c r="Q25" s="2833">
        <f t="shared" si="11"/>
        <v>111</v>
      </c>
      <c r="R25" s="1319" t="s">
        <v>65</v>
      </c>
      <c r="S25" s="1320">
        <f>F25</f>
        <v>100</v>
      </c>
      <c r="T25" s="1319" t="s">
        <v>65</v>
      </c>
      <c r="U25" s="1320">
        <f>H25</f>
        <v>100</v>
      </c>
      <c r="V25" s="1319" t="s">
        <v>65</v>
      </c>
      <c r="W25" s="1320">
        <f>J25</f>
        <v>100</v>
      </c>
      <c r="X25" s="1321"/>
      <c r="Y25" s="3833"/>
      <c r="Z25" s="344">
        <f>Q25</f>
        <v>111</v>
      </c>
      <c r="AA25" s="1327">
        <f>D25/F25</f>
        <v>1</v>
      </c>
      <c r="AB25" s="1327">
        <f>D25/H25</f>
        <v>1</v>
      </c>
      <c r="AC25" s="1327">
        <f>D25/J25</f>
        <v>1</v>
      </c>
    </row>
    <row r="26" spans="1:29" ht="15">
      <c r="A26" s="995" t="s">
        <v>406</v>
      </c>
      <c r="B26" s="360" t="s">
        <v>457</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834" t="s">
        <v>407</v>
      </c>
      <c r="Q26" s="2835" t="str">
        <f t="shared" si="11"/>
        <v>配套类型</v>
      </c>
      <c r="R26" s="1324" t="s">
        <v>65</v>
      </c>
      <c r="S26" s="1325">
        <f t="shared" ref="S26:S36" si="12">F26</f>
        <v>100</v>
      </c>
      <c r="T26" s="1324" t="s">
        <v>65</v>
      </c>
      <c r="U26" s="1325">
        <f t="shared" ref="U26:U36" si="13">H26</f>
        <v>100</v>
      </c>
      <c r="V26" s="1324" t="s">
        <v>65</v>
      </c>
      <c r="W26" s="1325">
        <f t="shared" ref="W26:W36" si="14">J26</f>
        <v>100</v>
      </c>
      <c r="X26" s="2834"/>
      <c r="Y26" s="3835" t="s">
        <v>407</v>
      </c>
      <c r="Z26" s="2836" t="str">
        <f t="shared" ref="Z26:Z36" si="15">Q26</f>
        <v>配套类型</v>
      </c>
      <c r="AA26" s="1327">
        <f t="shared" si="3"/>
        <v>1</v>
      </c>
      <c r="AB26" s="1327">
        <f t="shared" si="4"/>
        <v>1</v>
      </c>
      <c r="AC26" s="1327">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835"/>
      <c r="Q27" s="1328" t="str">
        <f t="shared" si="11"/>
        <v>项目停车位配比</v>
      </c>
      <c r="R27" s="1329" t="s">
        <v>65</v>
      </c>
      <c r="S27" s="1330">
        <f t="shared" si="12"/>
        <v>100</v>
      </c>
      <c r="T27" s="1329" t="s">
        <v>65</v>
      </c>
      <c r="U27" s="1330">
        <f t="shared" si="13"/>
        <v>100</v>
      </c>
      <c r="V27" s="1329" t="s">
        <v>65</v>
      </c>
      <c r="W27" s="1330">
        <f t="shared" si="14"/>
        <v>100</v>
      </c>
      <c r="X27" s="1331"/>
      <c r="Y27" s="3835"/>
      <c r="Z27" s="1332" t="str">
        <f t="shared" si="15"/>
        <v>项目停车位配比</v>
      </c>
      <c r="AA27" s="1327">
        <f t="shared" si="3"/>
        <v>1</v>
      </c>
      <c r="AB27" s="1327">
        <f t="shared" si="4"/>
        <v>1</v>
      </c>
      <c r="AC27" s="1327">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835"/>
      <c r="Q28" s="2835" t="str">
        <f t="shared" si="11"/>
        <v>公共部分装修</v>
      </c>
      <c r="R28" s="1324" t="s">
        <v>65</v>
      </c>
      <c r="S28" s="1325">
        <f t="shared" si="12"/>
        <v>100</v>
      </c>
      <c r="T28" s="1324" t="s">
        <v>65</v>
      </c>
      <c r="U28" s="1325">
        <f t="shared" si="13"/>
        <v>100</v>
      </c>
      <c r="V28" s="1324" t="s">
        <v>65</v>
      </c>
      <c r="W28" s="1325">
        <f t="shared" si="14"/>
        <v>100</v>
      </c>
      <c r="X28" s="2834"/>
      <c r="Y28" s="3835"/>
      <c r="Z28" s="2836" t="str">
        <f t="shared" si="15"/>
        <v>公共部分装修</v>
      </c>
      <c r="AA28" s="1327">
        <f t="shared" si="3"/>
        <v>1</v>
      </c>
      <c r="AB28" s="1327">
        <f t="shared" si="4"/>
        <v>1</v>
      </c>
      <c r="AC28" s="1327">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835"/>
      <c r="Q29" s="2835" t="str">
        <f t="shared" si="11"/>
        <v>成新率</v>
      </c>
      <c r="R29" s="1324" t="s">
        <v>65</v>
      </c>
      <c r="S29" s="1325" t="e">
        <f t="shared" si="12"/>
        <v>#N/A</v>
      </c>
      <c r="T29" s="1324" t="s">
        <v>65</v>
      </c>
      <c r="U29" s="1325" t="e">
        <f t="shared" si="13"/>
        <v>#N/A</v>
      </c>
      <c r="V29" s="1324" t="s">
        <v>65</v>
      </c>
      <c r="W29" s="1325" t="e">
        <f t="shared" si="14"/>
        <v>#N/A</v>
      </c>
      <c r="X29" s="2834"/>
      <c r="Y29" s="3835"/>
      <c r="Z29" s="2836" t="str">
        <f t="shared" si="15"/>
        <v>成新率</v>
      </c>
      <c r="AA29" s="1327" t="e">
        <f t="shared" si="3"/>
        <v>#N/A</v>
      </c>
      <c r="AB29" s="1327" t="e">
        <f t="shared" si="4"/>
        <v>#N/A</v>
      </c>
      <c r="AC29" s="1327"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835"/>
      <c r="Q30" s="2835" t="str">
        <f t="shared" si="11"/>
        <v>物业等级</v>
      </c>
      <c r="R30" s="1324" t="s">
        <v>65</v>
      </c>
      <c r="S30" s="1325">
        <f t="shared" si="12"/>
        <v>100</v>
      </c>
      <c r="T30" s="1324" t="s">
        <v>65</v>
      </c>
      <c r="U30" s="1325">
        <f t="shared" si="13"/>
        <v>100</v>
      </c>
      <c r="V30" s="1324" t="s">
        <v>65</v>
      </c>
      <c r="W30" s="1325">
        <f t="shared" si="14"/>
        <v>100</v>
      </c>
      <c r="X30" s="2834"/>
      <c r="Y30" s="3835"/>
      <c r="Z30" s="2836" t="str">
        <f t="shared" si="15"/>
        <v>物业等级</v>
      </c>
      <c r="AA30" s="1327">
        <f t="shared" si="3"/>
        <v>1</v>
      </c>
      <c r="AB30" s="1327">
        <f t="shared" si="4"/>
        <v>1</v>
      </c>
      <c r="AC30" s="1327">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835"/>
      <c r="Q31" s="2833" t="str">
        <f t="shared" si="11"/>
        <v>停车位面积</v>
      </c>
      <c r="R31" s="1319" t="s">
        <v>65</v>
      </c>
      <c r="S31" s="1320" t="e">
        <f t="shared" si="12"/>
        <v>#N/A</v>
      </c>
      <c r="T31" s="1319" t="s">
        <v>65</v>
      </c>
      <c r="U31" s="1320" t="e">
        <f t="shared" si="13"/>
        <v>#N/A</v>
      </c>
      <c r="V31" s="1319" t="s">
        <v>65</v>
      </c>
      <c r="W31" s="1320" t="e">
        <f t="shared" si="14"/>
        <v>#N/A</v>
      </c>
      <c r="X31" s="1321"/>
      <c r="Y31" s="3835"/>
      <c r="Z31" s="344" t="str">
        <f t="shared" si="15"/>
        <v>停车位面积</v>
      </c>
      <c r="AA31" s="1322" t="e">
        <f t="shared" si="3"/>
        <v>#N/A</v>
      </c>
      <c r="AB31" s="1322" t="e">
        <f t="shared" si="4"/>
        <v>#N/A</v>
      </c>
      <c r="AC31" s="1322"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835" t="s">
        <v>407</v>
      </c>
      <c r="Q32" s="2835" t="str">
        <f t="shared" si="11"/>
        <v>车位类型</v>
      </c>
      <c r="R32" s="1324" t="s">
        <v>65</v>
      </c>
      <c r="S32" s="1325">
        <f t="shared" si="12"/>
        <v>100</v>
      </c>
      <c r="T32" s="1324" t="s">
        <v>65</v>
      </c>
      <c r="U32" s="1325">
        <f t="shared" si="13"/>
        <v>100</v>
      </c>
      <c r="V32" s="1324" t="s">
        <v>65</v>
      </c>
      <c r="W32" s="1325">
        <f t="shared" si="14"/>
        <v>100</v>
      </c>
      <c r="X32" s="2834"/>
      <c r="Y32" s="3835" t="s">
        <v>407</v>
      </c>
      <c r="Z32" s="2836" t="str">
        <f t="shared" si="15"/>
        <v>车位类型</v>
      </c>
      <c r="AA32" s="1327">
        <f t="shared" si="3"/>
        <v>1</v>
      </c>
      <c r="AB32" s="1327">
        <f t="shared" si="4"/>
        <v>1</v>
      </c>
      <c r="AC32" s="1327">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835"/>
      <c r="Q33" s="2835" t="str">
        <f t="shared" si="11"/>
        <v>是否直接入户</v>
      </c>
      <c r="R33" s="1324" t="s">
        <v>65</v>
      </c>
      <c r="S33" s="1325">
        <f t="shared" si="12"/>
        <v>100</v>
      </c>
      <c r="T33" s="1324" t="s">
        <v>65</v>
      </c>
      <c r="U33" s="1325">
        <f t="shared" si="13"/>
        <v>100</v>
      </c>
      <c r="V33" s="1324" t="s">
        <v>65</v>
      </c>
      <c r="W33" s="1325">
        <f t="shared" si="14"/>
        <v>100</v>
      </c>
      <c r="X33" s="2834"/>
      <c r="Y33" s="3835"/>
      <c r="Z33" s="2836"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835"/>
      <c r="Q34" s="2835">
        <f t="shared" si="11"/>
        <v>111</v>
      </c>
      <c r="R34" s="1324" t="s">
        <v>65</v>
      </c>
      <c r="S34" s="1325">
        <f t="shared" si="12"/>
        <v>100</v>
      </c>
      <c r="T34" s="1324" t="s">
        <v>65</v>
      </c>
      <c r="U34" s="1325">
        <f t="shared" si="13"/>
        <v>100</v>
      </c>
      <c r="V34" s="1324" t="s">
        <v>65</v>
      </c>
      <c r="W34" s="1325">
        <f t="shared" si="14"/>
        <v>100</v>
      </c>
      <c r="X34" s="2834"/>
      <c r="Y34" s="3835"/>
      <c r="Z34" s="2836">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835"/>
      <c r="Q35" s="1328">
        <f t="shared" si="11"/>
        <v>111</v>
      </c>
      <c r="R35" s="1329" t="s">
        <v>65</v>
      </c>
      <c r="S35" s="1330">
        <f t="shared" si="12"/>
        <v>100</v>
      </c>
      <c r="T35" s="1329" t="s">
        <v>65</v>
      </c>
      <c r="U35" s="1330">
        <f t="shared" si="13"/>
        <v>100</v>
      </c>
      <c r="V35" s="1329" t="s">
        <v>65</v>
      </c>
      <c r="W35" s="1330">
        <f t="shared" si="14"/>
        <v>100</v>
      </c>
      <c r="X35" s="1331"/>
      <c r="Y35" s="3835"/>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835"/>
      <c r="Q36" s="2835">
        <f t="shared" si="11"/>
        <v>111</v>
      </c>
      <c r="R36" s="1324" t="s">
        <v>65</v>
      </c>
      <c r="S36" s="1325">
        <f t="shared" si="12"/>
        <v>100</v>
      </c>
      <c r="T36" s="1324" t="s">
        <v>65</v>
      </c>
      <c r="U36" s="1325">
        <f t="shared" si="13"/>
        <v>100</v>
      </c>
      <c r="V36" s="1324" t="s">
        <v>65</v>
      </c>
      <c r="W36" s="1325">
        <f t="shared" si="14"/>
        <v>100</v>
      </c>
      <c r="X36" s="2834"/>
      <c r="Y36" s="3835"/>
      <c r="Z36" s="2836">
        <f t="shared" si="15"/>
        <v>111</v>
      </c>
      <c r="AA36" s="1327">
        <f t="shared" si="3"/>
        <v>1</v>
      </c>
      <c r="AB36" s="1327">
        <f t="shared" si="4"/>
        <v>1</v>
      </c>
      <c r="AC36" s="1327">
        <f t="shared" si="5"/>
        <v>1</v>
      </c>
    </row>
    <row r="37" spans="1:29" ht="15">
      <c r="A37" s="163" t="s">
        <v>2133</v>
      </c>
      <c r="B37" s="2100" t="s">
        <v>2134</v>
      </c>
      <c r="C37" s="2837" t="s">
        <v>23</v>
      </c>
      <c r="D37" s="2838"/>
      <c r="E37" s="2839"/>
      <c r="F37" s="2840"/>
      <c r="G37" s="2841"/>
      <c r="H37" s="2842"/>
      <c r="I37" s="2839"/>
      <c r="J37" s="2842"/>
      <c r="K37" s="962"/>
      <c r="L37" s="2362"/>
      <c r="M37" s="2363"/>
      <c r="N37" s="2350"/>
      <c r="O37" s="2363"/>
      <c r="P37" s="3827" t="str">
        <f>A37</f>
        <v>成交单价</v>
      </c>
      <c r="Q37" s="3827"/>
      <c r="R37" s="3828">
        <f>E37</f>
        <v>0</v>
      </c>
      <c r="S37" s="3828"/>
      <c r="T37" s="3828">
        <f>G37</f>
        <v>0</v>
      </c>
      <c r="U37" s="3828"/>
      <c r="V37" s="3828">
        <f>I37</f>
        <v>0</v>
      </c>
      <c r="W37" s="3828"/>
      <c r="X37" s="1307"/>
      <c r="Y37" s="1333"/>
      <c r="Z37" s="1307"/>
      <c r="AA37" s="1307"/>
      <c r="AB37" s="1307"/>
      <c r="AC37" s="1307"/>
    </row>
    <row r="38" spans="1:29" ht="15.75" thickBot="1">
      <c r="A38" s="829" t="s">
        <v>409</v>
      </c>
      <c r="B38" s="166" t="str">
        <f>B37</f>
        <v>元/车位</v>
      </c>
      <c r="C38" s="2843" t="e">
        <f>R39</f>
        <v>#DIV/0!</v>
      </c>
      <c r="D38" s="2844"/>
      <c r="E38" s="2845" t="e">
        <f>R38</f>
        <v>#DIV/0!</v>
      </c>
      <c r="F38" s="2845"/>
      <c r="G38" s="2843" t="e">
        <f>T38</f>
        <v>#DIV/0!</v>
      </c>
      <c r="H38" s="2844"/>
      <c r="I38" s="2845" t="e">
        <f>V38</f>
        <v>#DIV/0!</v>
      </c>
      <c r="J38" s="2844"/>
      <c r="K38" s="963"/>
      <c r="L38" s="2362"/>
      <c r="M38" s="2363"/>
      <c r="N38" s="2363"/>
      <c r="O38" s="2363"/>
      <c r="P38" s="3827" t="str">
        <f>A38</f>
        <v>比较价值（元/平方米）</v>
      </c>
      <c r="Q38" s="3827"/>
      <c r="R38" s="3828" t="e">
        <f>IF(F1="售价",ROUND(PRODUCT(R37,AA7:AA36),0),ROUND(PRODUCT(R37,AA7:AA36),1))</f>
        <v>#DIV/0!</v>
      </c>
      <c r="S38" s="3828"/>
      <c r="T38" s="3828" t="e">
        <f>IF(F1="售价",ROUND(PRODUCT(T37,AB7:AB36),0),ROUND(PRODUCT(T37,AB7:AB36),1))</f>
        <v>#DIV/0!</v>
      </c>
      <c r="U38" s="3828"/>
      <c r="V38" s="3828" t="e">
        <f>IF(F1="售价",ROUND(PRODUCT(V37,AC7:AC36),0),ROUND(PRODUCT(V37,AC7:AC36),1))</f>
        <v>#DIV/0!</v>
      </c>
      <c r="W38" s="3828"/>
      <c r="X38" s="1307"/>
      <c r="Y38" s="1307"/>
      <c r="Z38" s="1307"/>
      <c r="AA38" s="1307"/>
      <c r="AB38" s="1307"/>
      <c r="AC38" s="1307"/>
    </row>
    <row r="39" spans="1:29" ht="15.75" thickBot="1">
      <c r="A39" s="835" t="s">
        <v>3024</v>
      </c>
      <c r="B39" s="836"/>
      <c r="C39" s="2847" t="e">
        <f>R39</f>
        <v>#DIV/0!</v>
      </c>
      <c r="D39" s="2847"/>
      <c r="E39" s="2847"/>
      <c r="F39" s="2847"/>
      <c r="G39" s="2847"/>
      <c r="H39" s="2847"/>
      <c r="I39" s="2847"/>
      <c r="J39" s="2847"/>
      <c r="K39" s="964"/>
      <c r="L39" s="2362"/>
      <c r="M39" s="2363"/>
      <c r="N39" s="2363"/>
      <c r="O39" s="2363"/>
      <c r="P39" s="3829" t="str">
        <f>A39</f>
        <v>估价对象XX用房的比较价值（楼面单价，元/平方米）</v>
      </c>
      <c r="Q39" s="3830"/>
      <c r="R39" s="3831" t="e">
        <f>IF(F1="售价",ROUND(AVERAGE(R38:V38),0),ROUND(AVERAGE(R38:V38),1))</f>
        <v>#DIV/0!</v>
      </c>
      <c r="S39" s="3831"/>
      <c r="T39" s="3831"/>
      <c r="U39" s="3831"/>
      <c r="V39" s="3831"/>
      <c r="W39" s="3831"/>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50"/>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50"/>
      <c r="Q41" s="2363"/>
      <c r="R41" s="2363"/>
      <c r="S41" s="2363"/>
      <c r="T41" s="2363"/>
      <c r="U41" s="2363"/>
      <c r="V41" s="2363"/>
      <c r="W41" s="2363"/>
      <c r="X41" s="2363"/>
      <c r="Y41" s="2363"/>
      <c r="Z41" s="2363"/>
      <c r="AA41" s="2363"/>
      <c r="AB41" s="2363"/>
      <c r="AC41" s="2363"/>
    </row>
    <row r="42" spans="1:29" ht="13.5" customHeight="1">
      <c r="A42" s="2363"/>
      <c r="B42" s="2363"/>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50"/>
      <c r="Q42" s="2363"/>
      <c r="R42" s="2363"/>
      <c r="S42" s="2363"/>
      <c r="T42" s="2363"/>
      <c r="U42" s="2363"/>
      <c r="V42" s="2363"/>
      <c r="W42" s="2363"/>
      <c r="X42" s="2363"/>
      <c r="Y42" s="2363"/>
      <c r="Z42" s="2363"/>
      <c r="AA42" s="2363"/>
      <c r="AB42" s="2363"/>
      <c r="AC42" s="2363"/>
    </row>
    <row r="43" spans="1:29" ht="13.5" customHeight="1">
      <c r="A43" s="2363"/>
      <c r="B43" s="2363"/>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50"/>
      <c r="Q43" s="2363"/>
      <c r="R43" s="2363"/>
      <c r="S43" s="2363"/>
      <c r="T43" s="2363"/>
      <c r="U43" s="2363"/>
      <c r="V43" s="2363"/>
      <c r="W43" s="2363"/>
      <c r="X43" s="2363"/>
      <c r="Y43" s="2363"/>
      <c r="Z43" s="2363"/>
      <c r="AA43" s="2363"/>
      <c r="AB43" s="2363"/>
      <c r="AC43" s="2363"/>
    </row>
    <row r="44" spans="1:29" s="845" customFormat="1" ht="13.5" customHeight="1">
      <c r="A44" s="2364"/>
      <c r="B44" s="2364"/>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51"/>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51"/>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50"/>
      <c r="Q46" s="2363"/>
      <c r="R46" s="2363"/>
      <c r="S46" s="2363"/>
      <c r="T46" s="2363"/>
      <c r="U46" s="2363"/>
      <c r="V46" s="2363"/>
      <c r="W46" s="2363"/>
      <c r="X46" s="2363"/>
      <c r="Y46" s="2363"/>
      <c r="Z46" s="2363"/>
      <c r="AA46" s="2363"/>
      <c r="AB46" s="2363"/>
      <c r="AC46" s="2363"/>
    </row>
    <row r="47" spans="1:29" ht="21.75" thickBot="1">
      <c r="A47" s="2854" t="s">
        <v>413</v>
      </c>
      <c r="B47" s="2363"/>
      <c r="C47" s="2379"/>
      <c r="D47" s="2379"/>
      <c r="E47" s="2379"/>
      <c r="F47" s="2855"/>
      <c r="G47" s="2855"/>
      <c r="H47" s="2379"/>
      <c r="I47" s="2379"/>
      <c r="J47" s="2379"/>
      <c r="K47" s="2380"/>
      <c r="L47" s="2381"/>
      <c r="M47" s="2379"/>
      <c r="N47" s="2379"/>
      <c r="O47" s="2379"/>
      <c r="P47" s="2852"/>
      <c r="Q47" s="2853"/>
      <c r="R47" s="2363"/>
      <c r="S47" s="2363"/>
      <c r="T47" s="2363"/>
      <c r="U47" s="2363"/>
      <c r="V47" s="2363"/>
      <c r="W47" s="2363"/>
      <c r="X47" s="2363"/>
      <c r="Y47" s="2363"/>
      <c r="Z47" s="2363"/>
      <c r="AA47" s="2363"/>
      <c r="AB47" s="2363"/>
      <c r="AC47" s="2363"/>
    </row>
    <row r="48" spans="1:29" s="851" customFormat="1" ht="15">
      <c r="A48" s="848" t="s">
        <v>2794</v>
      </c>
      <c r="B48" s="849"/>
      <c r="C48" s="3046" t="str">
        <f>YEAR(C7)&amp;"-"&amp;MONTH(C7)</f>
        <v>2017-7</v>
      </c>
      <c r="D48" s="3047">
        <f>EDATE(C48,-1)</f>
        <v>42887</v>
      </c>
      <c r="E48" s="3047">
        <f t="shared" ref="E48:O48" si="16">EDATE(D48,-1)</f>
        <v>42856</v>
      </c>
      <c r="F48" s="3047">
        <f t="shared" si="16"/>
        <v>42826</v>
      </c>
      <c r="G48" s="3047">
        <f t="shared" si="16"/>
        <v>42795</v>
      </c>
      <c r="H48" s="3047">
        <f t="shared" si="16"/>
        <v>42767</v>
      </c>
      <c r="I48" s="3047">
        <f t="shared" si="16"/>
        <v>42736</v>
      </c>
      <c r="J48" s="3047">
        <f t="shared" si="16"/>
        <v>42705</v>
      </c>
      <c r="K48" s="3047">
        <f t="shared" si="16"/>
        <v>42675</v>
      </c>
      <c r="L48" s="3047">
        <f t="shared" si="16"/>
        <v>42644</v>
      </c>
      <c r="M48" s="3047">
        <f t="shared" si="16"/>
        <v>42614</v>
      </c>
      <c r="N48" s="3047">
        <f t="shared" si="16"/>
        <v>42583</v>
      </c>
      <c r="O48" s="3047">
        <f t="shared" si="16"/>
        <v>42552</v>
      </c>
      <c r="P48" s="2868"/>
      <c r="Q48" s="2869"/>
      <c r="R48" s="2869"/>
      <c r="S48" s="2869"/>
      <c r="T48" s="2869"/>
      <c r="U48" s="2869"/>
      <c r="V48" s="2869"/>
      <c r="W48" s="2869"/>
      <c r="X48" s="2869"/>
      <c r="Y48" s="2869"/>
      <c r="Z48" s="2869"/>
      <c r="AA48" s="2869"/>
      <c r="AB48" s="2869"/>
      <c r="AC48" s="2869"/>
    </row>
    <row r="49" spans="1:29" s="407" customFormat="1" ht="15">
      <c r="A49" s="852"/>
      <c r="B49" s="853"/>
      <c r="C49" s="3035">
        <v>100</v>
      </c>
      <c r="D49" s="855"/>
      <c r="E49" s="855"/>
      <c r="F49" s="855"/>
      <c r="G49" s="855"/>
      <c r="H49" s="855"/>
      <c r="I49" s="855"/>
      <c r="J49" s="855"/>
      <c r="K49" s="855"/>
      <c r="L49" s="855"/>
      <c r="M49" s="856"/>
      <c r="N49" s="855"/>
      <c r="O49" s="856"/>
      <c r="P49" s="2858"/>
      <c r="Q49" s="2857"/>
      <c r="R49" s="2857"/>
      <c r="S49" s="2857"/>
      <c r="T49" s="2857"/>
      <c r="U49" s="2857"/>
      <c r="V49" s="2857"/>
      <c r="W49" s="2857"/>
      <c r="X49" s="2857"/>
      <c r="Y49" s="2857"/>
      <c r="Z49" s="2857"/>
      <c r="AA49" s="2857"/>
      <c r="AB49" s="2857"/>
      <c r="AC49" s="2857"/>
    </row>
    <row r="50" spans="1:29" s="407" customFormat="1" ht="15.75" thickBot="1">
      <c r="A50" s="858" t="s">
        <v>414</v>
      </c>
      <c r="B50" s="859"/>
      <c r="C50" s="860"/>
      <c r="D50" s="861"/>
      <c r="E50" s="861"/>
      <c r="F50" s="861"/>
      <c r="G50" s="861"/>
      <c r="H50" s="861"/>
      <c r="I50" s="861"/>
      <c r="J50" s="861"/>
      <c r="K50" s="861"/>
      <c r="L50" s="861"/>
      <c r="M50" s="862"/>
      <c r="N50" s="861"/>
      <c r="O50" s="862"/>
      <c r="P50" s="2858"/>
      <c r="Q50" s="2853"/>
      <c r="R50" s="2857"/>
      <c r="S50" s="2857"/>
      <c r="T50" s="2857"/>
      <c r="U50" s="2857"/>
      <c r="V50" s="2857"/>
      <c r="W50" s="2857"/>
      <c r="X50" s="2857"/>
      <c r="Y50" s="2857"/>
      <c r="Z50" s="2857"/>
      <c r="AA50" s="2857"/>
      <c r="AB50" s="2857"/>
      <c r="AC50" s="2857"/>
    </row>
    <row r="51" spans="1:29" s="407" customFormat="1" ht="15">
      <c r="A51" s="864" t="s">
        <v>398</v>
      </c>
      <c r="B51" s="853"/>
      <c r="C51" s="865" t="s">
        <v>415</v>
      </c>
      <c r="D51" s="866"/>
      <c r="E51" s="866"/>
      <c r="F51" s="866"/>
      <c r="G51" s="866"/>
      <c r="H51" s="866"/>
      <c r="I51" s="866"/>
      <c r="J51" s="866"/>
      <c r="K51" s="866"/>
      <c r="L51" s="867"/>
      <c r="M51" s="868"/>
      <c r="N51" s="2370"/>
      <c r="O51" s="2370"/>
      <c r="P51" s="2856"/>
      <c r="Q51" s="2853"/>
      <c r="R51" s="2857"/>
      <c r="S51" s="2857"/>
      <c r="T51" s="2857"/>
      <c r="U51" s="2857"/>
      <c r="V51" s="2857"/>
      <c r="W51" s="2857"/>
      <c r="X51" s="2857"/>
      <c r="Y51" s="2857"/>
      <c r="Z51" s="2857"/>
      <c r="AA51" s="2857"/>
      <c r="AB51" s="2857"/>
      <c r="AC51" s="2857"/>
    </row>
    <row r="52" spans="1:29" s="407" customFormat="1" ht="15.75" thickBot="1">
      <c r="A52" s="864"/>
      <c r="B52" s="853"/>
      <c r="C52" s="982">
        <v>100</v>
      </c>
      <c r="D52" s="855"/>
      <c r="E52" s="855"/>
      <c r="F52" s="855"/>
      <c r="G52" s="855"/>
      <c r="H52" s="855"/>
      <c r="I52" s="855"/>
      <c r="J52" s="855"/>
      <c r="K52" s="855"/>
      <c r="L52" s="855"/>
      <c r="M52" s="857"/>
      <c r="N52" s="2370"/>
      <c r="O52" s="2370"/>
      <c r="P52" s="2858"/>
      <c r="Q52" s="2853"/>
      <c r="R52" s="2857"/>
      <c r="S52" s="2857"/>
      <c r="T52" s="2857"/>
      <c r="U52" s="2857"/>
      <c r="V52" s="2857"/>
      <c r="W52" s="2857"/>
      <c r="X52" s="2857"/>
      <c r="Y52" s="2857"/>
      <c r="Z52" s="2857"/>
      <c r="AA52" s="2857"/>
      <c r="AB52" s="2857"/>
      <c r="AC52" s="2857"/>
    </row>
    <row r="53" spans="1:29">
      <c r="A53" s="870" t="s">
        <v>416</v>
      </c>
      <c r="B53" s="871" t="s">
        <v>417</v>
      </c>
      <c r="C53" s="872">
        <f>C9</f>
        <v>0</v>
      </c>
      <c r="D53" s="873"/>
      <c r="E53" s="873"/>
      <c r="F53" s="873"/>
      <c r="G53" s="873"/>
      <c r="H53" s="873"/>
      <c r="I53" s="873"/>
      <c r="J53" s="873"/>
      <c r="K53" s="874"/>
      <c r="L53" s="875"/>
      <c r="M53" s="876"/>
      <c r="N53" s="2371"/>
      <c r="O53" s="2371"/>
      <c r="P53" s="2859"/>
      <c r="Q53" s="2853"/>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9"/>
      <c r="Q54" s="2853"/>
      <c r="R54" s="2363"/>
      <c r="S54" s="2363"/>
      <c r="T54" s="2363"/>
      <c r="U54" s="2363"/>
      <c r="V54" s="2363"/>
      <c r="W54" s="2363"/>
      <c r="X54" s="2363"/>
      <c r="Y54" s="2363"/>
      <c r="Z54" s="2363"/>
      <c r="AA54" s="2363"/>
      <c r="AB54" s="2363"/>
      <c r="AC54" s="2363"/>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71"/>
      <c r="O55" s="2371"/>
      <c r="P55" s="2859"/>
      <c r="Q55" s="2853"/>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9"/>
      <c r="Q56" s="2853"/>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9"/>
      <c r="Q57" s="2853"/>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9"/>
      <c r="Q58" s="2853"/>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60"/>
      <c r="Q59" s="2861"/>
      <c r="R59" s="2862"/>
      <c r="S59" s="2862"/>
      <c r="T59" s="2862"/>
      <c r="U59" s="2862"/>
      <c r="V59" s="2862"/>
      <c r="W59" s="2862"/>
      <c r="X59" s="2862"/>
      <c r="Y59" s="2862"/>
      <c r="Z59" s="2862"/>
      <c r="AA59" s="2862"/>
      <c r="AB59" s="2862"/>
      <c r="AC59" s="2862"/>
    </row>
    <row r="60" spans="1:29" s="814" customFormat="1" ht="15.75" thickBot="1">
      <c r="A60" s="896"/>
      <c r="B60" s="886"/>
      <c r="C60" s="903"/>
      <c r="D60" s="879"/>
      <c r="E60" s="879"/>
      <c r="F60" s="879"/>
      <c r="G60" s="879"/>
      <c r="H60" s="879"/>
      <c r="I60" s="879"/>
      <c r="J60" s="879"/>
      <c r="K60" s="879"/>
      <c r="L60" s="879"/>
      <c r="M60" s="880"/>
      <c r="N60" s="2372"/>
      <c r="O60" s="2372"/>
      <c r="P60" s="2860"/>
      <c r="Q60" s="2861"/>
      <c r="R60" s="2862"/>
      <c r="S60" s="2862"/>
      <c r="T60" s="2862"/>
      <c r="U60" s="2862"/>
      <c r="V60" s="2862"/>
      <c r="W60" s="2862"/>
      <c r="X60" s="2862"/>
      <c r="Y60" s="2862"/>
      <c r="Z60" s="2862"/>
      <c r="AA60" s="2862"/>
      <c r="AB60" s="2862"/>
      <c r="AC60" s="2862"/>
    </row>
    <row r="61" spans="1:29" s="814" customFormat="1" ht="15.75" thickTop="1">
      <c r="A61" s="896"/>
      <c r="B61" s="881">
        <f>B13</f>
        <v>111</v>
      </c>
      <c r="C61" s="897"/>
      <c r="D61" s="897"/>
      <c r="E61" s="897"/>
      <c r="F61" s="897"/>
      <c r="G61" s="897"/>
      <c r="H61" s="898"/>
      <c r="I61" s="898"/>
      <c r="J61" s="898"/>
      <c r="K61" s="898"/>
      <c r="L61" s="899"/>
      <c r="M61" s="900"/>
      <c r="N61" s="2373"/>
      <c r="O61" s="2373"/>
      <c r="P61" s="2863"/>
      <c r="Q61" s="2864"/>
      <c r="R61" s="2862"/>
      <c r="S61" s="2862"/>
      <c r="T61" s="2862"/>
      <c r="U61" s="2862"/>
      <c r="V61" s="2862"/>
      <c r="W61" s="2862"/>
      <c r="X61" s="2862"/>
      <c r="Y61" s="2862"/>
      <c r="Z61" s="2862"/>
      <c r="AA61" s="2862"/>
      <c r="AB61" s="2862"/>
      <c r="AC61" s="2862"/>
    </row>
    <row r="62" spans="1:29" s="814" customFormat="1" ht="15.75" thickBot="1">
      <c r="A62" s="896"/>
      <c r="B62" s="886"/>
      <c r="C62" s="903"/>
      <c r="D62" s="903"/>
      <c r="E62" s="903"/>
      <c r="F62" s="903"/>
      <c r="G62" s="903"/>
      <c r="H62" s="905"/>
      <c r="I62" s="905"/>
      <c r="J62" s="905"/>
      <c r="K62" s="905"/>
      <c r="L62" s="905"/>
      <c r="M62" s="906"/>
      <c r="N62" s="2373"/>
      <c r="O62" s="2373"/>
      <c r="P62" s="2860"/>
      <c r="Q62" s="2861"/>
      <c r="R62" s="2862"/>
      <c r="S62" s="2862"/>
      <c r="T62" s="2862"/>
      <c r="U62" s="2862"/>
      <c r="V62" s="2862"/>
      <c r="W62" s="2862"/>
      <c r="X62" s="2862"/>
      <c r="Y62" s="2862"/>
      <c r="Z62" s="2862"/>
      <c r="AA62" s="2862"/>
      <c r="AB62" s="2862"/>
      <c r="AC62" s="2862"/>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71"/>
      <c r="O63" s="2371"/>
      <c r="P63" s="2865"/>
      <c r="Q63" s="2853"/>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9"/>
      <c r="Q64" s="2853"/>
      <c r="R64" s="2363"/>
      <c r="S64" s="2363"/>
      <c r="T64" s="2363"/>
      <c r="U64" s="2363"/>
      <c r="V64" s="2363"/>
      <c r="W64" s="2363"/>
      <c r="X64" s="2363"/>
      <c r="Y64" s="2363"/>
      <c r="Z64" s="2363"/>
      <c r="AA64" s="2363"/>
      <c r="AB64" s="2363"/>
      <c r="AC64" s="2363"/>
    </row>
    <row r="65" spans="1:29" ht="15.75" thickTop="1">
      <c r="A65" s="877"/>
      <c r="B65" s="1054" t="s">
        <v>2636</v>
      </c>
      <c r="C65" s="921" t="s">
        <v>423</v>
      </c>
      <c r="D65" s="921" t="s">
        <v>424</v>
      </c>
      <c r="E65" s="921" t="s">
        <v>425</v>
      </c>
      <c r="F65" s="921" t="s">
        <v>426</v>
      </c>
      <c r="G65" s="921" t="s">
        <v>427</v>
      </c>
      <c r="H65" s="882"/>
      <c r="I65" s="882"/>
      <c r="J65" s="882"/>
      <c r="K65" s="883"/>
      <c r="L65" s="884"/>
      <c r="M65" s="885"/>
      <c r="N65" s="2371"/>
      <c r="O65" s="2371"/>
      <c r="P65" s="2859"/>
      <c r="Q65" s="2853"/>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9"/>
      <c r="Q66" s="2853"/>
      <c r="R66" s="2363"/>
      <c r="S66" s="2363"/>
      <c r="T66" s="2363"/>
      <c r="U66" s="2363"/>
      <c r="V66" s="2363"/>
      <c r="W66" s="2363"/>
      <c r="X66" s="2363"/>
      <c r="Y66" s="2363"/>
      <c r="Z66" s="2363"/>
      <c r="AA66" s="2363"/>
      <c r="AB66" s="2363"/>
      <c r="AC66" s="2363"/>
    </row>
    <row r="67" spans="1:29" ht="15.75" thickTop="1">
      <c r="A67" s="877"/>
      <c r="B67" s="1056" t="s">
        <v>2666</v>
      </c>
      <c r="C67" s="213" t="s">
        <v>2656</v>
      </c>
      <c r="D67" s="213" t="s">
        <v>2657</v>
      </c>
      <c r="E67" s="213" t="s">
        <v>2658</v>
      </c>
      <c r="F67" s="213" t="s">
        <v>2659</v>
      </c>
      <c r="G67" s="213" t="s">
        <v>2660</v>
      </c>
      <c r="H67" s="882"/>
      <c r="I67" s="882"/>
      <c r="J67" s="882"/>
      <c r="K67" s="882"/>
      <c r="L67" s="882"/>
      <c r="M67" s="2766"/>
      <c r="N67" s="2372"/>
      <c r="O67" s="2372"/>
      <c r="P67" s="2859"/>
      <c r="Q67" s="2853"/>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9"/>
      <c r="Q68" s="2853"/>
      <c r="R68" s="2363"/>
      <c r="S68" s="2363"/>
      <c r="T68" s="2363"/>
      <c r="U68" s="2363"/>
      <c r="V68" s="2363"/>
      <c r="W68" s="2363"/>
      <c r="X68" s="2363"/>
      <c r="Y68" s="2363"/>
      <c r="Z68" s="2363"/>
      <c r="AA68" s="2363"/>
      <c r="AB68" s="2363"/>
      <c r="AC68" s="2363"/>
    </row>
    <row r="69" spans="1:29" ht="15.75" thickTop="1">
      <c r="A69" s="877"/>
      <c r="B69" s="881" t="s">
        <v>430</v>
      </c>
      <c r="C69" s="921" t="s">
        <v>423</v>
      </c>
      <c r="D69" s="921" t="s">
        <v>424</v>
      </c>
      <c r="E69" s="921" t="s">
        <v>425</v>
      </c>
      <c r="F69" s="921" t="s">
        <v>426</v>
      </c>
      <c r="G69" s="921" t="s">
        <v>427</v>
      </c>
      <c r="H69" s="882"/>
      <c r="I69" s="882"/>
      <c r="J69" s="882"/>
      <c r="K69" s="883"/>
      <c r="L69" s="884"/>
      <c r="M69" s="885"/>
      <c r="N69" s="2371"/>
      <c r="O69" s="2371"/>
      <c r="P69" s="2859"/>
      <c r="Q69" s="2853"/>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9"/>
      <c r="Q70" s="2853"/>
      <c r="R70" s="2363"/>
      <c r="S70" s="2363"/>
      <c r="T70" s="2363"/>
      <c r="U70" s="2363"/>
      <c r="V70" s="2363"/>
      <c r="W70" s="2363"/>
      <c r="X70" s="2363"/>
      <c r="Y70" s="2363"/>
      <c r="Z70" s="2363"/>
      <c r="AA70" s="2363"/>
      <c r="AB70" s="2363"/>
      <c r="AC70" s="2363"/>
    </row>
    <row r="71" spans="1:29" ht="15.75" thickTop="1">
      <c r="A71" s="877"/>
      <c r="B71" s="881" t="s">
        <v>431</v>
      </c>
      <c r="C71" s="897"/>
      <c r="D71" s="897"/>
      <c r="E71" s="897"/>
      <c r="F71" s="897"/>
      <c r="G71" s="897"/>
      <c r="H71" s="926"/>
      <c r="I71" s="926"/>
      <c r="J71" s="926"/>
      <c r="K71" s="927"/>
      <c r="L71" s="928"/>
      <c r="M71" s="929"/>
      <c r="N71" s="2371"/>
      <c r="O71" s="2371"/>
      <c r="P71" s="2859"/>
      <c r="Q71" s="2853"/>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9"/>
      <c r="Q72" s="2853"/>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9"/>
      <c r="Q73" s="2853"/>
      <c r="R73" s="2857"/>
      <c r="S73" s="2857"/>
      <c r="T73" s="2857"/>
      <c r="U73" s="2857"/>
      <c r="V73" s="2857"/>
      <c r="W73" s="2857"/>
      <c r="X73" s="2857"/>
      <c r="Y73" s="2857"/>
      <c r="Z73" s="2857"/>
      <c r="AA73" s="2857"/>
      <c r="AB73" s="2857"/>
      <c r="AC73" s="2857"/>
    </row>
    <row r="74" spans="1:29" s="407" customFormat="1" ht="15.75" thickBot="1">
      <c r="A74" s="922"/>
      <c r="B74" s="886"/>
      <c r="C74" s="903"/>
      <c r="D74" s="879"/>
      <c r="E74" s="879"/>
      <c r="F74" s="879"/>
      <c r="G74" s="879"/>
      <c r="H74" s="879"/>
      <c r="I74" s="879"/>
      <c r="J74" s="879"/>
      <c r="K74" s="879"/>
      <c r="L74" s="879"/>
      <c r="M74" s="880"/>
      <c r="N74" s="2372"/>
      <c r="O74" s="2372"/>
      <c r="P74" s="2859"/>
      <c r="Q74" s="2853"/>
      <c r="R74" s="2857"/>
      <c r="S74" s="2857"/>
      <c r="T74" s="2857"/>
      <c r="U74" s="2857"/>
      <c r="V74" s="2857"/>
      <c r="W74" s="2857"/>
      <c r="X74" s="2857"/>
      <c r="Y74" s="2857"/>
      <c r="Z74" s="2857"/>
      <c r="AA74" s="2857"/>
      <c r="AB74" s="2857"/>
      <c r="AC74" s="2857"/>
    </row>
    <row r="75" spans="1:29" s="407" customFormat="1" ht="15.75" thickTop="1">
      <c r="A75" s="922"/>
      <c r="B75" s="881">
        <f>B24</f>
        <v>111</v>
      </c>
      <c r="C75" s="892"/>
      <c r="D75" s="892"/>
      <c r="E75" s="892"/>
      <c r="F75" s="892"/>
      <c r="G75" s="897"/>
      <c r="H75" s="897"/>
      <c r="I75" s="897"/>
      <c r="J75" s="897"/>
      <c r="K75" s="897"/>
      <c r="L75" s="897"/>
      <c r="M75" s="924"/>
      <c r="N75" s="2370"/>
      <c r="O75" s="2370"/>
      <c r="P75" s="2859"/>
      <c r="Q75" s="2853"/>
      <c r="R75" s="2857"/>
      <c r="S75" s="2857"/>
      <c r="T75" s="2857"/>
      <c r="U75" s="2857"/>
      <c r="V75" s="2857"/>
      <c r="W75" s="2857"/>
      <c r="X75" s="2857"/>
      <c r="Y75" s="2857"/>
      <c r="Z75" s="2857"/>
      <c r="AA75" s="2857"/>
      <c r="AB75" s="2857"/>
      <c r="AC75" s="2857"/>
    </row>
    <row r="76" spans="1:29" s="407" customFormat="1" ht="15.75" thickBot="1">
      <c r="A76" s="922"/>
      <c r="B76" s="886"/>
      <c r="C76" s="903"/>
      <c r="D76" s="879"/>
      <c r="E76" s="879"/>
      <c r="F76" s="879"/>
      <c r="G76" s="879"/>
      <c r="H76" s="879"/>
      <c r="I76" s="879"/>
      <c r="J76" s="879"/>
      <c r="K76" s="879"/>
      <c r="L76" s="879"/>
      <c r="M76" s="880"/>
      <c r="N76" s="2372"/>
      <c r="O76" s="2372"/>
      <c r="P76" s="2859"/>
      <c r="Q76" s="2853"/>
      <c r="R76" s="2857"/>
      <c r="S76" s="2857"/>
      <c r="T76" s="2857"/>
      <c r="U76" s="2857"/>
      <c r="V76" s="2857"/>
      <c r="W76" s="2857"/>
      <c r="X76" s="2857"/>
      <c r="Y76" s="2857"/>
      <c r="Z76" s="2857"/>
      <c r="AA76" s="2857"/>
      <c r="AB76" s="2857"/>
      <c r="AC76" s="2857"/>
    </row>
    <row r="77" spans="1:29" s="814" customFormat="1" ht="15.75" thickTop="1">
      <c r="A77" s="896"/>
      <c r="B77" s="881">
        <f>B25</f>
        <v>111</v>
      </c>
      <c r="C77" s="897"/>
      <c r="D77" s="897"/>
      <c r="E77" s="897"/>
      <c r="F77" s="897"/>
      <c r="G77" s="897"/>
      <c r="H77" s="898"/>
      <c r="I77" s="898"/>
      <c r="J77" s="898"/>
      <c r="K77" s="898"/>
      <c r="L77" s="899"/>
      <c r="M77" s="900"/>
      <c r="N77" s="2373"/>
      <c r="O77" s="2373"/>
      <c r="P77" s="2860"/>
      <c r="Q77" s="2861"/>
      <c r="R77" s="2862"/>
      <c r="S77" s="2862"/>
      <c r="T77" s="2862"/>
      <c r="U77" s="2862"/>
      <c r="V77" s="2862"/>
      <c r="W77" s="2862"/>
      <c r="X77" s="2862"/>
      <c r="Y77" s="2862"/>
      <c r="Z77" s="2862"/>
      <c r="AA77" s="2862"/>
      <c r="AB77" s="2862"/>
      <c r="AC77" s="2862"/>
    </row>
    <row r="78" spans="1:29" s="814" customFormat="1" ht="15.75" thickBot="1">
      <c r="A78" s="896"/>
      <c r="B78" s="886"/>
      <c r="C78" s="903"/>
      <c r="D78" s="903"/>
      <c r="E78" s="903"/>
      <c r="F78" s="903"/>
      <c r="G78" s="879"/>
      <c r="H78" s="879"/>
      <c r="I78" s="879"/>
      <c r="J78" s="879"/>
      <c r="K78" s="879"/>
      <c r="L78" s="879"/>
      <c r="M78" s="880"/>
      <c r="N78" s="2373"/>
      <c r="O78" s="2373"/>
      <c r="P78" s="2860"/>
      <c r="Q78" s="2861"/>
      <c r="R78" s="2862"/>
      <c r="S78" s="2862"/>
      <c r="T78" s="2862"/>
      <c r="U78" s="2862"/>
      <c r="V78" s="2862"/>
      <c r="W78" s="2862"/>
      <c r="X78" s="2862"/>
      <c r="Y78" s="2862"/>
      <c r="Z78" s="2862"/>
      <c r="AA78" s="2862"/>
      <c r="AB78" s="2862"/>
      <c r="AC78" s="2862"/>
    </row>
    <row r="79" spans="1:29" ht="27.75" thickTop="1">
      <c r="A79" s="870" t="s">
        <v>406</v>
      </c>
      <c r="B79" s="871" t="s">
        <v>465</v>
      </c>
      <c r="C79" s="872">
        <f>C26</f>
        <v>0</v>
      </c>
      <c r="D79" s="873"/>
      <c r="E79" s="873"/>
      <c r="F79" s="873"/>
      <c r="G79" s="873"/>
      <c r="H79" s="873"/>
      <c r="I79" s="873"/>
      <c r="J79" s="873"/>
      <c r="K79" s="874"/>
      <c r="L79" s="875"/>
      <c r="M79" s="876"/>
      <c r="N79" s="2371"/>
      <c r="O79" s="2371"/>
      <c r="P79" s="2859"/>
      <c r="Q79" s="2853"/>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9"/>
      <c r="Q80" s="2853"/>
      <c r="R80" s="2363"/>
      <c r="S80" s="2363"/>
      <c r="T80" s="2363"/>
      <c r="U80" s="2363"/>
      <c r="V80" s="2363"/>
      <c r="W80" s="2363"/>
      <c r="X80" s="2363"/>
      <c r="Y80" s="2363"/>
      <c r="Z80" s="2363"/>
      <c r="AA80" s="2363"/>
      <c r="AB80" s="2363"/>
      <c r="AC80" s="2363"/>
    </row>
    <row r="81" spans="1:29" ht="15.75" thickTop="1">
      <c r="A81" s="877"/>
      <c r="B81" s="881" t="s">
        <v>466</v>
      </c>
      <c r="C81" s="1004"/>
      <c r="D81" s="1004"/>
      <c r="E81" s="1004"/>
      <c r="F81" s="1004"/>
      <c r="G81" s="1004"/>
      <c r="H81" s="1004"/>
      <c r="I81" s="1004"/>
      <c r="J81" s="1004"/>
      <c r="K81" s="1005"/>
      <c r="L81" s="1006"/>
      <c r="M81" s="1007"/>
      <c r="N81" s="2370"/>
      <c r="O81" s="2370"/>
      <c r="P81" s="2859"/>
      <c r="Q81" s="2853"/>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60"/>
      <c r="Q82" s="2861"/>
      <c r="R82" s="2862"/>
      <c r="S82" s="2862"/>
      <c r="T82" s="2862"/>
      <c r="U82" s="2862"/>
      <c r="V82" s="2862"/>
      <c r="W82" s="2862"/>
      <c r="X82" s="2862"/>
      <c r="Y82" s="2862"/>
      <c r="Z82" s="2862"/>
      <c r="AA82" s="2862"/>
      <c r="AB82" s="2862"/>
      <c r="AC82" s="2862"/>
    </row>
    <row r="83" spans="1:29" ht="15" thickTop="1">
      <c r="A83" s="942"/>
      <c r="B83" s="881" t="s">
        <v>432</v>
      </c>
      <c r="C83" s="897"/>
      <c r="D83" s="897"/>
      <c r="E83" s="926"/>
      <c r="F83" s="926"/>
      <c r="G83" s="926"/>
      <c r="H83" s="926"/>
      <c r="I83" s="926"/>
      <c r="J83" s="926"/>
      <c r="K83" s="927"/>
      <c r="L83" s="928"/>
      <c r="M83" s="929"/>
      <c r="N83" s="2371"/>
      <c r="O83" s="2371"/>
      <c r="P83" s="2859"/>
      <c r="Q83" s="2853"/>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9"/>
      <c r="Q84" s="2853"/>
      <c r="R84" s="2363"/>
      <c r="S84" s="2363"/>
      <c r="T84" s="2363"/>
      <c r="U84" s="2363"/>
      <c r="V84" s="2363"/>
      <c r="W84" s="2363"/>
      <c r="X84" s="2363"/>
      <c r="Y84" s="2363"/>
      <c r="Z84" s="2363"/>
      <c r="AA84" s="2363"/>
      <c r="AB84" s="2363"/>
      <c r="AC84" s="2363"/>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9"/>
      <c r="Q85" s="2853"/>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9"/>
      <c r="Q86" s="2853"/>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9"/>
      <c r="Q87" s="2853"/>
      <c r="R87" s="2363"/>
      <c r="S87" s="2363"/>
      <c r="T87" s="2363"/>
      <c r="U87" s="2363"/>
      <c r="V87" s="2363"/>
      <c r="W87" s="2363"/>
      <c r="X87" s="2363"/>
      <c r="Y87" s="2363"/>
      <c r="Z87" s="2363"/>
      <c r="AA87" s="2363"/>
      <c r="AB87" s="2363"/>
      <c r="AC87" s="2363"/>
    </row>
    <row r="88" spans="1:29" ht="15" thickTop="1">
      <c r="A88" s="942"/>
      <c r="B88" s="889" t="s">
        <v>468</v>
      </c>
      <c r="C88" s="873"/>
      <c r="D88" s="873"/>
      <c r="E88" s="873"/>
      <c r="F88" s="873"/>
      <c r="G88" s="873"/>
      <c r="H88" s="873"/>
      <c r="I88" s="873"/>
      <c r="J88" s="873"/>
      <c r="K88" s="874"/>
      <c r="L88" s="875"/>
      <c r="M88" s="876"/>
      <c r="N88" s="2371"/>
      <c r="O88" s="2371"/>
      <c r="P88" s="2859"/>
      <c r="Q88" s="2853"/>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9"/>
      <c r="Q89" s="2853"/>
      <c r="R89" s="2363"/>
      <c r="S89" s="2363"/>
      <c r="T89" s="2363"/>
      <c r="U89" s="2363"/>
      <c r="V89" s="2363"/>
      <c r="W89" s="2363"/>
      <c r="X89" s="2363"/>
      <c r="Y89" s="2363"/>
      <c r="Z89" s="2363"/>
      <c r="AA89" s="2363"/>
      <c r="AB89" s="2363"/>
      <c r="AC89" s="2363"/>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60"/>
      <c r="Q90" s="2861"/>
      <c r="R90" s="2862"/>
      <c r="S90" s="2862"/>
      <c r="T90" s="2862"/>
      <c r="U90" s="2862"/>
      <c r="V90" s="2862"/>
      <c r="W90" s="2862"/>
      <c r="X90" s="2862"/>
      <c r="Y90" s="2862"/>
      <c r="Z90" s="2862"/>
      <c r="AA90" s="2862"/>
      <c r="AB90" s="2862"/>
      <c r="AC90" s="2862"/>
    </row>
    <row r="91" spans="1:29" s="814" customFormat="1">
      <c r="A91" s="936"/>
      <c r="B91" s="889"/>
      <c r="C91" s="938"/>
      <c r="D91" s="938"/>
      <c r="E91" s="938"/>
      <c r="F91" s="938"/>
      <c r="G91" s="938"/>
      <c r="H91" s="938"/>
      <c r="I91" s="938"/>
      <c r="J91" s="939"/>
      <c r="K91" s="939"/>
      <c r="L91" s="940"/>
      <c r="M91" s="941"/>
      <c r="N91" s="2373"/>
      <c r="O91" s="2373"/>
      <c r="P91" s="2860"/>
      <c r="Q91" s="2861"/>
      <c r="R91" s="2862"/>
      <c r="S91" s="2862"/>
      <c r="T91" s="2862"/>
      <c r="U91" s="2862"/>
      <c r="V91" s="2862"/>
      <c r="W91" s="2862"/>
      <c r="X91" s="2862"/>
      <c r="Y91" s="2862"/>
      <c r="Z91" s="2862"/>
      <c r="AA91" s="2862"/>
      <c r="AB91" s="2862"/>
      <c r="AC91" s="2862"/>
    </row>
    <row r="92" spans="1:29" s="814" customFormat="1" ht="15.75" thickBot="1">
      <c r="A92" s="896"/>
      <c r="B92" s="886"/>
      <c r="C92" s="903"/>
      <c r="D92" s="879"/>
      <c r="E92" s="879"/>
      <c r="F92" s="879"/>
      <c r="G92" s="879"/>
      <c r="H92" s="879"/>
      <c r="I92" s="879"/>
      <c r="J92" s="879"/>
      <c r="K92" s="879"/>
      <c r="L92" s="879"/>
      <c r="M92" s="880"/>
      <c r="N92" s="2373"/>
      <c r="O92" s="2373"/>
      <c r="P92" s="2860"/>
      <c r="Q92" s="2861"/>
      <c r="R92" s="2862"/>
      <c r="S92" s="2862"/>
      <c r="T92" s="2862"/>
      <c r="U92" s="2862"/>
      <c r="V92" s="2862"/>
      <c r="W92" s="2862"/>
      <c r="X92" s="2862"/>
      <c r="Y92" s="2862"/>
      <c r="Z92" s="2862"/>
      <c r="AA92" s="2862"/>
      <c r="AB92" s="2862"/>
      <c r="AC92" s="2862"/>
    </row>
    <row r="93" spans="1:29" ht="15" thickTop="1">
      <c r="A93" s="942"/>
      <c r="B93" s="881" t="s">
        <v>470</v>
      </c>
      <c r="C93" s="897"/>
      <c r="D93" s="897"/>
      <c r="E93" s="926"/>
      <c r="F93" s="926"/>
      <c r="G93" s="926"/>
      <c r="H93" s="926"/>
      <c r="I93" s="926"/>
      <c r="J93" s="926"/>
      <c r="K93" s="927"/>
      <c r="L93" s="928"/>
      <c r="M93" s="929"/>
      <c r="N93" s="2371"/>
      <c r="O93" s="2371"/>
      <c r="P93" s="2859"/>
      <c r="Q93" s="2853"/>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9"/>
      <c r="Q94" s="2853"/>
      <c r="R94" s="2363"/>
      <c r="S94" s="2363"/>
      <c r="T94" s="2363"/>
      <c r="U94" s="2363"/>
      <c r="V94" s="2363"/>
      <c r="W94" s="2363"/>
      <c r="X94" s="2363"/>
      <c r="Y94" s="2363"/>
      <c r="Z94" s="2363"/>
      <c r="AA94" s="2363"/>
      <c r="AB94" s="2363"/>
      <c r="AC94" s="2363"/>
    </row>
    <row r="95" spans="1:29" ht="15" thickTop="1">
      <c r="A95" s="942"/>
      <c r="B95" s="881" t="s">
        <v>471</v>
      </c>
      <c r="C95" s="873"/>
      <c r="D95" s="873"/>
      <c r="E95" s="873"/>
      <c r="F95" s="873"/>
      <c r="G95" s="873"/>
      <c r="H95" s="873"/>
      <c r="I95" s="873"/>
      <c r="J95" s="873"/>
      <c r="K95" s="874"/>
      <c r="L95" s="875"/>
      <c r="M95" s="876"/>
      <c r="N95" s="2371"/>
      <c r="O95" s="2371"/>
      <c r="P95" s="2859"/>
      <c r="Q95" s="2853"/>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9"/>
      <c r="Q96" s="2853"/>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6"/>
      <c r="Q97" s="2867"/>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9"/>
      <c r="Q98" s="2853"/>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60"/>
      <c r="Q99" s="2861"/>
      <c r="R99" s="2862"/>
      <c r="S99" s="2862"/>
      <c r="T99" s="2862"/>
      <c r="U99" s="2862"/>
      <c r="V99" s="2862"/>
      <c r="W99" s="2862"/>
      <c r="X99" s="2862"/>
      <c r="Y99" s="2862"/>
      <c r="Z99" s="2862"/>
      <c r="AA99" s="2862"/>
      <c r="AB99" s="2862"/>
      <c r="AC99" s="2862"/>
    </row>
    <row r="100" spans="1:29" s="814" customFormat="1" ht="15.75" thickBot="1">
      <c r="A100" s="896"/>
      <c r="B100" s="878"/>
      <c r="C100" s="903"/>
      <c r="D100" s="879"/>
      <c r="E100" s="879"/>
      <c r="F100" s="879"/>
      <c r="G100" s="903"/>
      <c r="H100" s="905"/>
      <c r="I100" s="905"/>
      <c r="J100" s="905"/>
      <c r="K100" s="905"/>
      <c r="L100" s="905"/>
      <c r="M100" s="906"/>
      <c r="N100" s="2373"/>
      <c r="O100" s="2373"/>
      <c r="P100" s="2860"/>
      <c r="Q100" s="2861"/>
      <c r="R100" s="2862"/>
      <c r="S100" s="2862"/>
      <c r="T100" s="2862"/>
      <c r="U100" s="2862"/>
      <c r="V100" s="2862"/>
      <c r="W100" s="2862"/>
      <c r="X100" s="2862"/>
      <c r="Y100" s="2862"/>
      <c r="Z100" s="2862"/>
      <c r="AA100" s="2862"/>
      <c r="AB100" s="2862"/>
      <c r="AC100" s="2862"/>
    </row>
    <row r="101" spans="1:29" ht="15" thickTop="1">
      <c r="A101" s="942"/>
      <c r="B101" s="881">
        <f>B36</f>
        <v>111</v>
      </c>
      <c r="C101" s="897"/>
      <c r="D101" s="897"/>
      <c r="E101" s="897"/>
      <c r="F101" s="897"/>
      <c r="G101" s="897"/>
      <c r="H101" s="898"/>
      <c r="I101" s="898"/>
      <c r="J101" s="898"/>
      <c r="K101" s="898"/>
      <c r="L101" s="899"/>
      <c r="M101" s="900"/>
      <c r="N101" s="2371"/>
      <c r="O101" s="2371"/>
      <c r="P101" s="2859"/>
      <c r="Q101" s="2853"/>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9"/>
      <c r="Q102" s="2853"/>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386</v>
      </c>
      <c r="B1" s="3137"/>
      <c r="C1" s="3127" t="s">
        <v>442</v>
      </c>
      <c r="D1" s="3108"/>
      <c r="E1" s="3138"/>
      <c r="F1" s="3110"/>
      <c r="G1" s="3139" t="s">
        <v>443</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1" customFormat="1" ht="28.5" customHeight="1" thickTop="1">
      <c r="A2" s="3124" t="s">
        <v>444</v>
      </c>
      <c r="B2" s="2848" t="e">
        <f ca="1">IF(C2="——",ROUND(C37*D3/10000,0),ROUND(C37*D3/10000,0)-D2)</f>
        <v>#DIV/0!</v>
      </c>
      <c r="C2" s="3102"/>
      <c r="D2" s="2343" t="e">
        <f ca="1">SUMIF(INDIRECT("'"&amp;F2&amp;"'"&amp;"!A:A"),"承租人权益价值",INDIRECT("'"&amp;F2&amp;"'"&amp;"!c:c"))</f>
        <v>#REF!</v>
      </c>
      <c r="E2" s="3103" t="s">
        <v>862</v>
      </c>
      <c r="F2" s="3104"/>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445</v>
      </c>
      <c r="B3" s="952" t="e">
        <f ca="1">IF(C2="——",C37,ROUND(B2*10000/D3,0))</f>
        <v>#DIV/0!</v>
      </c>
      <c r="C3" s="743" t="s">
        <v>446</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447</v>
      </c>
      <c r="B4" s="745"/>
      <c r="C4" s="3839" t="s">
        <v>448</v>
      </c>
      <c r="D4" s="3840"/>
      <c r="E4" s="3841" t="s">
        <v>449</v>
      </c>
      <c r="F4" s="3842"/>
      <c r="G4" s="3839" t="s">
        <v>450</v>
      </c>
      <c r="H4" s="3840"/>
      <c r="I4" s="3839" t="s">
        <v>451</v>
      </c>
      <c r="J4" s="3840"/>
      <c r="K4" s="953" t="s">
        <v>452</v>
      </c>
      <c r="L4" s="2349"/>
      <c r="M4" s="2350"/>
      <c r="N4" s="2350"/>
      <c r="O4" s="2350"/>
      <c r="P4" s="3843" t="s">
        <v>453</v>
      </c>
      <c r="Q4" s="3844"/>
      <c r="R4" s="3849" t="s">
        <v>449</v>
      </c>
      <c r="S4" s="3850"/>
      <c r="T4" s="3849" t="s">
        <v>450</v>
      </c>
      <c r="U4" s="3850"/>
      <c r="V4" s="3855" t="s">
        <v>451</v>
      </c>
      <c r="W4" s="3855"/>
      <c r="X4" s="1318"/>
      <c r="Y4" s="3849" t="s">
        <v>453</v>
      </c>
      <c r="Z4" s="3850"/>
      <c r="AA4" s="3836" t="s">
        <v>449</v>
      </c>
      <c r="AB4" s="3837" t="s">
        <v>450</v>
      </c>
      <c r="AC4" s="3836" t="s">
        <v>451</v>
      </c>
    </row>
    <row r="5" spans="1:29" ht="15">
      <c r="A5" s="747"/>
      <c r="B5" s="748"/>
      <c r="C5" s="3802" t="s">
        <v>1124</v>
      </c>
      <c r="D5" s="3803"/>
      <c r="E5" s="3809" t="s">
        <v>1125</v>
      </c>
      <c r="F5" s="3810"/>
      <c r="G5" s="3802" t="s">
        <v>61</v>
      </c>
      <c r="H5" s="3803"/>
      <c r="I5" s="3802" t="s">
        <v>1126</v>
      </c>
      <c r="J5" s="3803"/>
      <c r="K5" s="953"/>
      <c r="L5" s="2349"/>
      <c r="M5" s="2350"/>
      <c r="N5" s="2350"/>
      <c r="O5" s="2350"/>
      <c r="P5" s="3845"/>
      <c r="Q5" s="3846"/>
      <c r="R5" s="3851"/>
      <c r="S5" s="3852"/>
      <c r="T5" s="3851"/>
      <c r="U5" s="3852"/>
      <c r="V5" s="3855"/>
      <c r="W5" s="3855"/>
      <c r="X5" s="1318"/>
      <c r="Y5" s="3851"/>
      <c r="Z5" s="3852"/>
      <c r="AA5" s="3837"/>
      <c r="AB5" s="3837"/>
      <c r="AC5" s="3837"/>
    </row>
    <row r="6" spans="1:29" ht="15.75" thickBot="1">
      <c r="A6" s="749"/>
      <c r="B6" s="750"/>
      <c r="C6" s="3800" t="s">
        <v>1127</v>
      </c>
      <c r="D6" s="3801"/>
      <c r="E6" s="3807" t="s">
        <v>1127</v>
      </c>
      <c r="F6" s="3808"/>
      <c r="G6" s="3800" t="s">
        <v>1127</v>
      </c>
      <c r="H6" s="3801"/>
      <c r="I6" s="3800" t="s">
        <v>1127</v>
      </c>
      <c r="J6" s="3801"/>
      <c r="K6" s="953" t="s">
        <v>395</v>
      </c>
      <c r="L6" s="2349"/>
      <c r="M6" s="2350"/>
      <c r="N6" s="2350"/>
      <c r="O6" s="2350"/>
      <c r="P6" s="3847"/>
      <c r="Q6" s="3848"/>
      <c r="R6" s="3851"/>
      <c r="S6" s="3852"/>
      <c r="T6" s="3853"/>
      <c r="U6" s="3854"/>
      <c r="V6" s="3855"/>
      <c r="W6" s="3855"/>
      <c r="X6" s="1318"/>
      <c r="Y6" s="3853"/>
      <c r="Z6" s="3854"/>
      <c r="AA6" s="3838"/>
      <c r="AB6" s="3838"/>
      <c r="AC6" s="3838"/>
    </row>
    <row r="7" spans="1:29" s="407" customFormat="1" ht="15.75" thickBot="1">
      <c r="A7" s="751" t="s">
        <v>396</v>
      </c>
      <c r="B7" s="752"/>
      <c r="C7" s="753">
        <f>'数据-取费表'!B2</f>
        <v>42941</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860" t="s">
        <v>397</v>
      </c>
      <c r="Q7" s="3862"/>
      <c r="R7" s="1319" t="s">
        <v>65</v>
      </c>
      <c r="S7" s="1320">
        <f t="shared" ref="S7:S14" si="0">F7</f>
        <v>0</v>
      </c>
      <c r="T7" s="1319" t="s">
        <v>65</v>
      </c>
      <c r="U7" s="1320">
        <f t="shared" ref="U7:U14" si="1">H7</f>
        <v>0</v>
      </c>
      <c r="V7" s="1319" t="s">
        <v>65</v>
      </c>
      <c r="W7" s="1320">
        <f t="shared" ref="W7:W14" si="2">J7</f>
        <v>0</v>
      </c>
      <c r="X7" s="1321"/>
      <c r="Y7" s="3860" t="s">
        <v>397</v>
      </c>
      <c r="Z7" s="3861"/>
      <c r="AA7" s="1322" t="e">
        <f>D7/F7</f>
        <v>#DIV/0!</v>
      </c>
      <c r="AB7" s="1322" t="e">
        <f>D7/H7</f>
        <v>#DIV/0!</v>
      </c>
      <c r="AC7" s="1322"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860" t="s">
        <v>433</v>
      </c>
      <c r="Q8" s="3861"/>
      <c r="R8" s="1319" t="s">
        <v>65</v>
      </c>
      <c r="S8" s="1320">
        <f t="shared" si="0"/>
        <v>0</v>
      </c>
      <c r="T8" s="1319" t="s">
        <v>65</v>
      </c>
      <c r="U8" s="1320">
        <f t="shared" si="1"/>
        <v>0</v>
      </c>
      <c r="V8" s="1319" t="s">
        <v>65</v>
      </c>
      <c r="W8" s="1320">
        <f t="shared" si="2"/>
        <v>0</v>
      </c>
      <c r="X8" s="1321"/>
      <c r="Y8" s="3860" t="s">
        <v>433</v>
      </c>
      <c r="Z8" s="3861"/>
      <c r="AA8" s="1322" t="e">
        <f t="shared" ref="AA8:AA34" si="3">D8/F8</f>
        <v>#DIV/0!</v>
      </c>
      <c r="AB8" s="1322" t="e">
        <f t="shared" ref="AB8:AB34" si="4">D8/H8</f>
        <v>#DIV/0!</v>
      </c>
      <c r="AC8" s="1322" t="e">
        <f t="shared" ref="AC8:AC34" si="5">D8/J8</f>
        <v>#DIV/0!</v>
      </c>
    </row>
    <row r="9" spans="1:29" s="407" customFormat="1">
      <c r="A9" s="758" t="s">
        <v>399</v>
      </c>
      <c r="B9" s="361" t="s">
        <v>417</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827" t="s">
        <v>400</v>
      </c>
      <c r="Q9" s="296" t="str">
        <f t="shared" ref="Q9:Q14" si="6">B9</f>
        <v>用途</v>
      </c>
      <c r="R9" s="1319" t="s">
        <v>65</v>
      </c>
      <c r="S9" s="1320">
        <f t="shared" si="0"/>
        <v>100</v>
      </c>
      <c r="T9" s="1319" t="s">
        <v>65</v>
      </c>
      <c r="U9" s="1320">
        <f t="shared" si="1"/>
        <v>100</v>
      </c>
      <c r="V9" s="1319" t="s">
        <v>65</v>
      </c>
      <c r="W9" s="1320">
        <f t="shared" si="2"/>
        <v>100</v>
      </c>
      <c r="X9" s="1321"/>
      <c r="Y9" s="3633" t="s">
        <v>401</v>
      </c>
      <c r="Z9" s="344" t="str">
        <f t="shared" ref="Z9:Z14" si="7">Q9</f>
        <v>用途</v>
      </c>
      <c r="AA9" s="1322">
        <f t="shared" si="3"/>
        <v>1</v>
      </c>
      <c r="AB9" s="1322">
        <f t="shared" si="4"/>
        <v>1</v>
      </c>
      <c r="AC9" s="1322">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827"/>
      <c r="Q10" s="296" t="str">
        <f t="shared" si="6"/>
        <v>土地使用年限（年）</v>
      </c>
      <c r="R10" s="1319" t="s">
        <v>65</v>
      </c>
      <c r="S10" s="1320">
        <f t="shared" si="0"/>
        <v>100</v>
      </c>
      <c r="T10" s="1319" t="s">
        <v>65</v>
      </c>
      <c r="U10" s="1320">
        <f t="shared" si="1"/>
        <v>100</v>
      </c>
      <c r="V10" s="1319" t="s">
        <v>65</v>
      </c>
      <c r="W10" s="1320">
        <f t="shared" si="2"/>
        <v>100</v>
      </c>
      <c r="X10" s="1321"/>
      <c r="Y10" s="3633"/>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827"/>
      <c r="Q11" s="296">
        <f t="shared" si="6"/>
        <v>111</v>
      </c>
      <c r="R11" s="1319" t="s">
        <v>65</v>
      </c>
      <c r="S11" s="1320">
        <f t="shared" si="0"/>
        <v>100</v>
      </c>
      <c r="T11" s="1319" t="s">
        <v>65</v>
      </c>
      <c r="U11" s="1320">
        <f t="shared" si="1"/>
        <v>100</v>
      </c>
      <c r="V11" s="1319" t="s">
        <v>65</v>
      </c>
      <c r="W11" s="1320">
        <f t="shared" si="2"/>
        <v>100</v>
      </c>
      <c r="X11" s="1321"/>
      <c r="Y11" s="3633"/>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827"/>
      <c r="Q12" s="296">
        <f t="shared" si="6"/>
        <v>111</v>
      </c>
      <c r="R12" s="1319" t="s">
        <v>65</v>
      </c>
      <c r="S12" s="1320">
        <f t="shared" si="0"/>
        <v>100</v>
      </c>
      <c r="T12" s="1319" t="s">
        <v>65</v>
      </c>
      <c r="U12" s="1320">
        <f t="shared" si="1"/>
        <v>100</v>
      </c>
      <c r="V12" s="1319" t="s">
        <v>65</v>
      </c>
      <c r="W12" s="1320">
        <f t="shared" si="2"/>
        <v>100</v>
      </c>
      <c r="X12" s="1321"/>
      <c r="Y12" s="3633"/>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827"/>
      <c r="Q13" s="296">
        <f t="shared" si="6"/>
        <v>111</v>
      </c>
      <c r="R13" s="1319" t="s">
        <v>65</v>
      </c>
      <c r="S13" s="1320">
        <f t="shared" si="0"/>
        <v>100</v>
      </c>
      <c r="T13" s="1319" t="s">
        <v>65</v>
      </c>
      <c r="U13" s="1320">
        <f t="shared" si="1"/>
        <v>100</v>
      </c>
      <c r="V13" s="1319" t="s">
        <v>65</v>
      </c>
      <c r="W13" s="1320">
        <f t="shared" si="2"/>
        <v>100</v>
      </c>
      <c r="X13" s="1321"/>
      <c r="Y13" s="3633"/>
      <c r="Z13" s="344">
        <f t="shared" si="7"/>
        <v>111</v>
      </c>
      <c r="AA13" s="1322">
        <f t="shared" si="3"/>
        <v>1</v>
      </c>
      <c r="AB13" s="1322">
        <f t="shared" si="4"/>
        <v>1</v>
      </c>
      <c r="AC13" s="1322">
        <f t="shared" si="5"/>
        <v>1</v>
      </c>
    </row>
    <row r="14" spans="1:29" ht="81">
      <c r="A14" s="783" t="s">
        <v>404</v>
      </c>
      <c r="B14" s="359" t="s">
        <v>454</v>
      </c>
      <c r="C14" s="212" t="str">
        <f>IF(B1="工业",估价对象房地状况!G4,估价对象房地状况!C6)</f>
        <v>估价对象紧邻大广高速，周边有密37、密50、密51路等公交线路，综合评价交通便捷度较好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832" t="s">
        <v>405</v>
      </c>
      <c r="Q14" s="1323" t="str">
        <f t="shared" si="6"/>
        <v>交通便捷度</v>
      </c>
      <c r="R14" s="1324" t="s">
        <v>65</v>
      </c>
      <c r="S14" s="1325">
        <f t="shared" si="0"/>
        <v>100</v>
      </c>
      <c r="T14" s="1324" t="s">
        <v>65</v>
      </c>
      <c r="U14" s="1325">
        <f t="shared" si="1"/>
        <v>100</v>
      </c>
      <c r="V14" s="1324" t="s">
        <v>65</v>
      </c>
      <c r="W14" s="1325">
        <f t="shared" si="2"/>
        <v>100</v>
      </c>
      <c r="X14" s="1318"/>
      <c r="Y14" s="3832" t="s">
        <v>405</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833"/>
      <c r="Q15" s="1323"/>
      <c r="R15" s="1324"/>
      <c r="S15" s="1325"/>
      <c r="T15" s="1324"/>
      <c r="U15" s="1325"/>
      <c r="V15" s="1324"/>
      <c r="W15" s="1325"/>
      <c r="X15" s="1318"/>
      <c r="Y15" s="3833"/>
      <c r="Z15" s="1326"/>
      <c r="AA15" s="1327">
        <v>1</v>
      </c>
      <c r="AB15" s="1327">
        <v>1</v>
      </c>
      <c r="AC15" s="1327">
        <v>1</v>
      </c>
    </row>
    <row r="16" spans="1:29" ht="94.5">
      <c r="A16" s="771"/>
      <c r="B16" s="1356" t="s">
        <v>2665</v>
      </c>
      <c r="C16" s="158" t="str">
        <f>IF(B1="工业",估价对象房地状况!G5,估价对象房地状况!C7)</f>
        <v>估价对象所在区域公共配套设施齐备情况；基础设施水平；综合评价公用设施及基础设施水平一般</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833"/>
      <c r="Q16" s="1323" t="str">
        <f>B16</f>
        <v>公共配套设施</v>
      </c>
      <c r="R16" s="1324" t="s">
        <v>65</v>
      </c>
      <c r="S16" s="1325">
        <f>F16</f>
        <v>100</v>
      </c>
      <c r="T16" s="1324" t="s">
        <v>65</v>
      </c>
      <c r="U16" s="1325">
        <f>H16</f>
        <v>100</v>
      </c>
      <c r="V16" s="1324" t="s">
        <v>65</v>
      </c>
      <c r="W16" s="1325">
        <f>J16</f>
        <v>100</v>
      </c>
      <c r="X16" s="1318"/>
      <c r="Y16" s="3833"/>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833"/>
      <c r="Q17" s="1323"/>
      <c r="R17" s="1324"/>
      <c r="S17" s="1325"/>
      <c r="T17" s="1324"/>
      <c r="U17" s="1325"/>
      <c r="V17" s="1324"/>
      <c r="W17" s="1325"/>
      <c r="X17" s="1318"/>
      <c r="Y17" s="3833"/>
      <c r="Z17" s="1326"/>
      <c r="AA17" s="1327">
        <v>1</v>
      </c>
      <c r="AB17" s="1327">
        <v>1</v>
      </c>
      <c r="AC17" s="1327">
        <v>1</v>
      </c>
    </row>
    <row r="18" spans="1:29" ht="94.5">
      <c r="A18" s="771"/>
      <c r="B18" s="1412" t="s">
        <v>2667</v>
      </c>
      <c r="C18" s="158" t="str">
        <f>IF(B1="工业",估价对象房地状况!G6,估价对象房地状况!C8)</f>
        <v>估价对象所在区域公共配套设施齐备情况；基础设施水平；综合评价公用设施及基础设施水平一般</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833"/>
      <c r="Q18" s="2750" t="str">
        <f>B18</f>
        <v>基础设施水平</v>
      </c>
      <c r="R18" s="1324" t="s">
        <v>65</v>
      </c>
      <c r="S18" s="1325">
        <f>F18</f>
        <v>100</v>
      </c>
      <c r="T18" s="1324" t="s">
        <v>65</v>
      </c>
      <c r="U18" s="1325">
        <f>H18</f>
        <v>100</v>
      </c>
      <c r="V18" s="1324" t="s">
        <v>65</v>
      </c>
      <c r="W18" s="1325">
        <f>J18</f>
        <v>100</v>
      </c>
      <c r="X18" s="2752"/>
      <c r="Y18" s="3833"/>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833"/>
      <c r="Q19" s="2750"/>
      <c r="R19" s="1324"/>
      <c r="S19" s="1325"/>
      <c r="T19" s="1324"/>
      <c r="U19" s="1325"/>
      <c r="V19" s="1324"/>
      <c r="W19" s="1325"/>
      <c r="X19" s="2752"/>
      <c r="Y19" s="3833"/>
      <c r="Z19" s="2751"/>
      <c r="AA19" s="1327">
        <v>1</v>
      </c>
      <c r="AB19" s="1327">
        <v>1</v>
      </c>
      <c r="AC19" s="1327">
        <v>1</v>
      </c>
    </row>
    <row r="20" spans="1:29" ht="54">
      <c r="A20" s="771"/>
      <c r="B20" s="794" t="s">
        <v>455</v>
      </c>
      <c r="C20" s="158" t="str">
        <f>IF(B1="工业",估价对象房地状况!G7,估价对象房地状况!C9)</f>
        <v>区域有司马台长城、鸳鸯湖水库；综合评价环境状况好</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833"/>
      <c r="Q20" s="1323" t="str">
        <f>B20</f>
        <v>自然及人文环境</v>
      </c>
      <c r="R20" s="1324" t="s">
        <v>65</v>
      </c>
      <c r="S20" s="1325">
        <f>F20</f>
        <v>100</v>
      </c>
      <c r="T20" s="1324" t="s">
        <v>65</v>
      </c>
      <c r="U20" s="1325">
        <f>H20</f>
        <v>100</v>
      </c>
      <c r="V20" s="1324" t="s">
        <v>65</v>
      </c>
      <c r="W20" s="1325">
        <f>J20</f>
        <v>100</v>
      </c>
      <c r="X20" s="1318"/>
      <c r="Y20" s="3833"/>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833"/>
      <c r="Q21" s="1323"/>
      <c r="R21" s="1324"/>
      <c r="S21" s="1325"/>
      <c r="T21" s="1324"/>
      <c r="U21" s="1325"/>
      <c r="V21" s="1324"/>
      <c r="W21" s="1325"/>
      <c r="X21" s="1318"/>
      <c r="Y21" s="3833"/>
      <c r="Z21" s="1326"/>
      <c r="AA21" s="1327">
        <v>1</v>
      </c>
      <c r="AB21" s="1327">
        <v>1</v>
      </c>
      <c r="AC21" s="1327">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833"/>
      <c r="Q22" s="1323" t="str">
        <f>B22</f>
        <v>楼层</v>
      </c>
      <c r="R22" s="1324" t="s">
        <v>65</v>
      </c>
      <c r="S22" s="1325">
        <f>F22</f>
        <v>100</v>
      </c>
      <c r="T22" s="1324" t="s">
        <v>65</v>
      </c>
      <c r="U22" s="1325">
        <f>H22</f>
        <v>100</v>
      </c>
      <c r="V22" s="1324" t="s">
        <v>65</v>
      </c>
      <c r="W22" s="1325">
        <f>J22</f>
        <v>100</v>
      </c>
      <c r="X22" s="1318"/>
      <c r="Y22" s="3833"/>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833"/>
      <c r="Q23" s="1323">
        <f>B23</f>
        <v>111</v>
      </c>
      <c r="R23" s="1324" t="s">
        <v>65</v>
      </c>
      <c r="S23" s="1325">
        <f>F23</f>
        <v>100</v>
      </c>
      <c r="T23" s="1324" t="s">
        <v>65</v>
      </c>
      <c r="U23" s="1325">
        <f>H23</f>
        <v>100</v>
      </c>
      <c r="V23" s="1324" t="s">
        <v>65</v>
      </c>
      <c r="W23" s="1325">
        <f>J23</f>
        <v>100</v>
      </c>
      <c r="X23" s="1318"/>
      <c r="Y23" s="3833"/>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833"/>
      <c r="Q24" s="1323">
        <f t="shared" ref="Q24:Q34" si="11">B24</f>
        <v>111</v>
      </c>
      <c r="R24" s="1324" t="s">
        <v>65</v>
      </c>
      <c r="S24" s="1325">
        <f>F24</f>
        <v>100</v>
      </c>
      <c r="T24" s="1324" t="s">
        <v>65</v>
      </c>
      <c r="U24" s="1325">
        <f>H24</f>
        <v>100</v>
      </c>
      <c r="V24" s="1324" t="s">
        <v>65</v>
      </c>
      <c r="W24" s="1325">
        <f>J24</f>
        <v>100</v>
      </c>
      <c r="X24" s="1318"/>
      <c r="Y24" s="3833"/>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833"/>
      <c r="Q25" s="296">
        <f t="shared" si="11"/>
        <v>111</v>
      </c>
      <c r="R25" s="1319" t="s">
        <v>65</v>
      </c>
      <c r="S25" s="1320">
        <f>F25</f>
        <v>100</v>
      </c>
      <c r="T25" s="1319" t="s">
        <v>65</v>
      </c>
      <c r="U25" s="1320">
        <f>H25</f>
        <v>100</v>
      </c>
      <c r="V25" s="1319" t="s">
        <v>65</v>
      </c>
      <c r="W25" s="1320">
        <f>J25</f>
        <v>100</v>
      </c>
      <c r="X25" s="1321"/>
      <c r="Y25" s="3833"/>
      <c r="Z25" s="344">
        <f>Q25</f>
        <v>111</v>
      </c>
      <c r="AA25" s="1327">
        <f>D25/F25</f>
        <v>1</v>
      </c>
      <c r="AB25" s="1327">
        <f>D25/H25</f>
        <v>1</v>
      </c>
      <c r="AC25" s="1327">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834" t="s">
        <v>472</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835" t="s">
        <v>472</v>
      </c>
      <c r="Z26" s="1326" t="str">
        <f t="shared" ref="Z26:Z34" si="15">Q26</f>
        <v>公共部分装修</v>
      </c>
      <c r="AA26" s="1327">
        <f t="shared" si="3"/>
        <v>1</v>
      </c>
      <c r="AB26" s="1327">
        <f t="shared" si="4"/>
        <v>1</v>
      </c>
      <c r="AC26" s="1327">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835"/>
      <c r="Q27" s="1328" t="str">
        <f t="shared" si="11"/>
        <v>成新率</v>
      </c>
      <c r="R27" s="1329" t="s">
        <v>65</v>
      </c>
      <c r="S27" s="1330" t="e">
        <f t="shared" si="12"/>
        <v>#N/A</v>
      </c>
      <c r="T27" s="1329" t="s">
        <v>65</v>
      </c>
      <c r="U27" s="1330" t="e">
        <f t="shared" si="13"/>
        <v>#N/A</v>
      </c>
      <c r="V27" s="1329" t="s">
        <v>65</v>
      </c>
      <c r="W27" s="1330" t="e">
        <f t="shared" si="14"/>
        <v>#N/A</v>
      </c>
      <c r="X27" s="1331"/>
      <c r="Y27" s="3835"/>
      <c r="Z27" s="1332" t="str">
        <f t="shared" si="15"/>
        <v>成新率</v>
      </c>
      <c r="AA27" s="1327" t="e">
        <f t="shared" si="3"/>
        <v>#N/A</v>
      </c>
      <c r="AB27" s="1327" t="e">
        <f t="shared" si="4"/>
        <v>#N/A</v>
      </c>
      <c r="AC27" s="1327"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835"/>
      <c r="Q28" s="1323" t="str">
        <f t="shared" si="11"/>
        <v>物业等级</v>
      </c>
      <c r="R28" s="1324" t="s">
        <v>65</v>
      </c>
      <c r="S28" s="1325">
        <f t="shared" si="12"/>
        <v>100</v>
      </c>
      <c r="T28" s="1324" t="s">
        <v>65</v>
      </c>
      <c r="U28" s="1325">
        <f t="shared" si="13"/>
        <v>100</v>
      </c>
      <c r="V28" s="1324" t="s">
        <v>65</v>
      </c>
      <c r="W28" s="1325">
        <f t="shared" si="14"/>
        <v>100</v>
      </c>
      <c r="X28" s="1318"/>
      <c r="Y28" s="3835"/>
      <c r="Z28" s="1326" t="str">
        <f t="shared" si="15"/>
        <v>物业等级</v>
      </c>
      <c r="AA28" s="1327">
        <f t="shared" si="3"/>
        <v>1</v>
      </c>
      <c r="AB28" s="1327">
        <f t="shared" si="4"/>
        <v>1</v>
      </c>
      <c r="AC28" s="1327">
        <f t="shared" si="5"/>
        <v>1</v>
      </c>
    </row>
    <row r="29" spans="1:29" ht="15">
      <c r="A29" s="815"/>
      <c r="B29" s="765" t="s">
        <v>473</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835"/>
      <c r="Q29" s="1323" t="str">
        <f t="shared" si="11"/>
        <v>有无电梯</v>
      </c>
      <c r="R29" s="1324" t="s">
        <v>65</v>
      </c>
      <c r="S29" s="1325">
        <f t="shared" si="12"/>
        <v>100</v>
      </c>
      <c r="T29" s="1324" t="s">
        <v>65</v>
      </c>
      <c r="U29" s="1325">
        <f t="shared" si="13"/>
        <v>100</v>
      </c>
      <c r="V29" s="1324" t="s">
        <v>65</v>
      </c>
      <c r="W29" s="1325">
        <f t="shared" si="14"/>
        <v>100</v>
      </c>
      <c r="X29" s="1318"/>
      <c r="Y29" s="3835"/>
      <c r="Z29" s="1326" t="str">
        <f t="shared" si="15"/>
        <v>有无电梯</v>
      </c>
      <c r="AA29" s="1327">
        <f t="shared" si="3"/>
        <v>1</v>
      </c>
      <c r="AB29" s="1327">
        <f t="shared" si="4"/>
        <v>1</v>
      </c>
      <c r="AC29" s="1327">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835"/>
      <c r="Q30" s="1323" t="str">
        <f t="shared" si="11"/>
        <v>建筑面积</v>
      </c>
      <c r="R30" s="1324" t="s">
        <v>65</v>
      </c>
      <c r="S30" s="1325" t="e">
        <f t="shared" si="12"/>
        <v>#N/A</v>
      </c>
      <c r="T30" s="1324" t="s">
        <v>65</v>
      </c>
      <c r="U30" s="1325" t="e">
        <f t="shared" si="13"/>
        <v>#N/A</v>
      </c>
      <c r="V30" s="1324" t="s">
        <v>65</v>
      </c>
      <c r="W30" s="1325" t="e">
        <f t="shared" si="14"/>
        <v>#N/A</v>
      </c>
      <c r="X30" s="1318"/>
      <c r="Y30" s="3835"/>
      <c r="Z30" s="1326" t="str">
        <f t="shared" si="15"/>
        <v>建筑面积</v>
      </c>
      <c r="AA30" s="1327" t="e">
        <f t="shared" si="3"/>
        <v>#N/A</v>
      </c>
      <c r="AB30" s="1327" t="e">
        <f t="shared" si="4"/>
        <v>#N/A</v>
      </c>
      <c r="AC30" s="1327" t="e">
        <f t="shared" si="5"/>
        <v>#N/A</v>
      </c>
    </row>
    <row r="31" spans="1:29" s="407" customFormat="1" ht="15">
      <c r="A31" s="816"/>
      <c r="B31" s="765" t="s">
        <v>475</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835"/>
      <c r="Q31" s="296" t="str">
        <f t="shared" si="11"/>
        <v>是否封闭</v>
      </c>
      <c r="R31" s="1319" t="s">
        <v>65</v>
      </c>
      <c r="S31" s="1320">
        <f t="shared" si="12"/>
        <v>100</v>
      </c>
      <c r="T31" s="1319" t="s">
        <v>65</v>
      </c>
      <c r="U31" s="1320">
        <f t="shared" si="13"/>
        <v>100</v>
      </c>
      <c r="V31" s="1319" t="s">
        <v>65</v>
      </c>
      <c r="W31" s="1320">
        <f t="shared" si="14"/>
        <v>100</v>
      </c>
      <c r="X31" s="1321"/>
      <c r="Y31" s="3835"/>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835" t="s">
        <v>407</v>
      </c>
      <c r="Q32" s="1323">
        <f t="shared" si="11"/>
        <v>111</v>
      </c>
      <c r="R32" s="1324" t="s">
        <v>65</v>
      </c>
      <c r="S32" s="1325">
        <f t="shared" si="12"/>
        <v>100</v>
      </c>
      <c r="T32" s="1324" t="s">
        <v>65</v>
      </c>
      <c r="U32" s="1325">
        <f t="shared" si="13"/>
        <v>100</v>
      </c>
      <c r="V32" s="1324" t="s">
        <v>65</v>
      </c>
      <c r="W32" s="1325">
        <f t="shared" si="14"/>
        <v>100</v>
      </c>
      <c r="X32" s="1318"/>
      <c r="Y32" s="3835" t="s">
        <v>407</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835"/>
      <c r="Q33" s="1323">
        <f t="shared" si="11"/>
        <v>111</v>
      </c>
      <c r="R33" s="1324" t="s">
        <v>65</v>
      </c>
      <c r="S33" s="1325">
        <f t="shared" si="12"/>
        <v>100</v>
      </c>
      <c r="T33" s="1324" t="s">
        <v>65</v>
      </c>
      <c r="U33" s="1325">
        <f t="shared" si="13"/>
        <v>100</v>
      </c>
      <c r="V33" s="1324" t="s">
        <v>65</v>
      </c>
      <c r="W33" s="1325">
        <f t="shared" si="14"/>
        <v>100</v>
      </c>
      <c r="X33" s="1318"/>
      <c r="Y33" s="3835"/>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835"/>
      <c r="Q34" s="1323">
        <f t="shared" si="11"/>
        <v>111</v>
      </c>
      <c r="R34" s="1324" t="s">
        <v>65</v>
      </c>
      <c r="S34" s="1325">
        <f t="shared" si="12"/>
        <v>100</v>
      </c>
      <c r="T34" s="1324" t="s">
        <v>65</v>
      </c>
      <c r="U34" s="1325">
        <f t="shared" si="13"/>
        <v>100</v>
      </c>
      <c r="V34" s="1324" t="s">
        <v>65</v>
      </c>
      <c r="W34" s="1325">
        <f t="shared" si="14"/>
        <v>100</v>
      </c>
      <c r="X34" s="1318"/>
      <c r="Y34" s="3835"/>
      <c r="Z34" s="1326">
        <f t="shared" si="15"/>
        <v>111</v>
      </c>
      <c r="AA34" s="1327">
        <f t="shared" si="3"/>
        <v>1</v>
      </c>
      <c r="AB34" s="1327">
        <f t="shared" si="4"/>
        <v>1</v>
      </c>
      <c r="AC34" s="1327">
        <f t="shared" si="5"/>
        <v>1</v>
      </c>
    </row>
    <row r="35" spans="1:29" ht="15">
      <c r="A35" s="822" t="s">
        <v>408</v>
      </c>
      <c r="B35" s="823"/>
      <c r="C35" s="2837" t="s">
        <v>23</v>
      </c>
      <c r="D35" s="2838"/>
      <c r="E35" s="2839"/>
      <c r="F35" s="2840"/>
      <c r="G35" s="2841"/>
      <c r="H35" s="2842"/>
      <c r="I35" s="2839"/>
      <c r="J35" s="2842"/>
      <c r="K35" s="1400"/>
      <c r="L35" s="2362"/>
      <c r="M35" s="2363"/>
      <c r="N35" s="2350"/>
      <c r="O35" s="2363"/>
      <c r="P35" s="3827" t="str">
        <f>A35</f>
        <v>成交单价（元/平方米）</v>
      </c>
      <c r="Q35" s="3827"/>
      <c r="R35" s="3828">
        <f>E35</f>
        <v>0</v>
      </c>
      <c r="S35" s="3828"/>
      <c r="T35" s="3828">
        <f>G35</f>
        <v>0</v>
      </c>
      <c r="U35" s="3828"/>
      <c r="V35" s="3828">
        <f>I35</f>
        <v>0</v>
      </c>
      <c r="W35" s="3828"/>
      <c r="X35" s="1307"/>
      <c r="Y35" s="1333"/>
      <c r="Z35" s="1307"/>
      <c r="AA35" s="1307"/>
      <c r="AB35" s="1307"/>
      <c r="AC35" s="1307"/>
    </row>
    <row r="36" spans="1:29" ht="15.75" thickBot="1">
      <c r="A36" s="829" t="s">
        <v>409</v>
      </c>
      <c r="B36" s="830"/>
      <c r="C36" s="2843" t="e">
        <f>R37</f>
        <v>#DIV/0!</v>
      </c>
      <c r="D36" s="2844"/>
      <c r="E36" s="2845" t="e">
        <f>R36</f>
        <v>#DIV/0!</v>
      </c>
      <c r="F36" s="2845"/>
      <c r="G36" s="2843" t="e">
        <f>T36</f>
        <v>#DIV/0!</v>
      </c>
      <c r="H36" s="2844"/>
      <c r="I36" s="2845" t="e">
        <f>V36</f>
        <v>#DIV/0!</v>
      </c>
      <c r="J36" s="2844"/>
      <c r="K36" s="1401"/>
      <c r="L36" s="2362"/>
      <c r="M36" s="2363"/>
      <c r="N36" s="2350"/>
      <c r="O36" s="2363"/>
      <c r="P36" s="3827" t="str">
        <f>A36</f>
        <v>比较价值（元/平方米）</v>
      </c>
      <c r="Q36" s="3827"/>
      <c r="R36" s="3828" t="e">
        <f>IF(F1="售价",ROUND(PRODUCT(R35,AA7:AA34),0),ROUND(PRODUCT(R35,AA7:AA34),1))</f>
        <v>#DIV/0!</v>
      </c>
      <c r="S36" s="3828"/>
      <c r="T36" s="3828" t="e">
        <f>IF(F1="售价",ROUND(PRODUCT(T35,AB7:AB34),0),ROUND(PRODUCT(T35,AB7:AB34),1))</f>
        <v>#DIV/0!</v>
      </c>
      <c r="U36" s="3828"/>
      <c r="V36" s="3828" t="e">
        <f>IF(F1="售价",ROUND(PRODUCT(V35,AC7:AC34),0),ROUND(PRODUCT(V35,AC7:AC34),1))</f>
        <v>#DIV/0!</v>
      </c>
      <c r="W36" s="3828"/>
      <c r="X36" s="1307"/>
      <c r="Y36" s="1307"/>
      <c r="Z36" s="1307"/>
      <c r="AA36" s="1307"/>
      <c r="AB36" s="1307"/>
      <c r="AC36" s="1307"/>
    </row>
    <row r="37" spans="1:29" ht="15.75" thickBot="1">
      <c r="A37" s="115" t="s">
        <v>3018</v>
      </c>
      <c r="B37" s="836"/>
      <c r="C37" s="2847" t="e">
        <f>R37</f>
        <v>#DIV/0!</v>
      </c>
      <c r="D37" s="2847"/>
      <c r="E37" s="2847"/>
      <c r="F37" s="2847"/>
      <c r="G37" s="2847"/>
      <c r="H37" s="2847"/>
      <c r="I37" s="2847"/>
      <c r="J37" s="2847"/>
      <c r="K37" s="1402"/>
      <c r="L37" s="2362"/>
      <c r="M37" s="2363"/>
      <c r="N37" s="2363"/>
      <c r="O37" s="2363"/>
      <c r="P37" s="3829" t="str">
        <f>A37</f>
        <v>估价对象XX用房的比较价值（楼面单价，元/平方米）</v>
      </c>
      <c r="Q37" s="3830"/>
      <c r="R37" s="3831" t="e">
        <f>IF(F1="售价",ROUND(AVERAGE(R36:V36),0),ROUND(AVERAGE(R36:V36),1))</f>
        <v>#DIV/0!</v>
      </c>
      <c r="S37" s="3831"/>
      <c r="T37" s="3831"/>
      <c r="U37" s="3831"/>
      <c r="V37" s="3831"/>
      <c r="W37" s="3831"/>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413</v>
      </c>
      <c r="B45" s="1307"/>
      <c r="C45" s="1312"/>
      <c r="D45" s="1312"/>
      <c r="E45" s="1312"/>
      <c r="F45" s="1313"/>
      <c r="G45" s="1313"/>
      <c r="H45" s="1312"/>
      <c r="I45" s="1312"/>
      <c r="J45" s="1312"/>
      <c r="K45" s="1314"/>
      <c r="L45" s="1315"/>
      <c r="M45" s="1312"/>
      <c r="N45" s="1312"/>
      <c r="O45" s="1312"/>
      <c r="P45" s="846"/>
      <c r="Q45" s="847"/>
    </row>
    <row r="46" spans="1:29" s="851" customFormat="1" ht="15">
      <c r="A46" s="848" t="s">
        <v>396</v>
      </c>
      <c r="B46" s="849"/>
      <c r="C46" s="3046" t="str">
        <f>YEAR(C7)&amp;"-"&amp;MONTH(C7)</f>
        <v>2017-7</v>
      </c>
      <c r="D46" s="3047">
        <f>EDATE(C46,-1)</f>
        <v>42887</v>
      </c>
      <c r="E46" s="3047">
        <f t="shared" ref="E46:O46" si="16">EDATE(D46,-1)</f>
        <v>42856</v>
      </c>
      <c r="F46" s="3047">
        <f t="shared" si="16"/>
        <v>42826</v>
      </c>
      <c r="G46" s="3047">
        <f t="shared" si="16"/>
        <v>42795</v>
      </c>
      <c r="H46" s="3047">
        <f t="shared" si="16"/>
        <v>42767</v>
      </c>
      <c r="I46" s="3047">
        <f t="shared" si="16"/>
        <v>42736</v>
      </c>
      <c r="J46" s="3047">
        <f t="shared" si="16"/>
        <v>42705</v>
      </c>
      <c r="K46" s="3047">
        <f t="shared" si="16"/>
        <v>42675</v>
      </c>
      <c r="L46" s="3047">
        <f t="shared" si="16"/>
        <v>42644</v>
      </c>
      <c r="M46" s="3047">
        <f t="shared" si="16"/>
        <v>42614</v>
      </c>
      <c r="N46" s="3047">
        <f t="shared" si="16"/>
        <v>42583</v>
      </c>
      <c r="O46" s="3047">
        <f t="shared" si="16"/>
        <v>42552</v>
      </c>
      <c r="P46" s="850"/>
    </row>
    <row r="47" spans="1:29" s="407" customFormat="1" ht="15">
      <c r="A47" s="852"/>
      <c r="B47" s="853"/>
      <c r="C47" s="3044">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416</v>
      </c>
      <c r="B51" s="871" t="s">
        <v>417</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2666</v>
      </c>
      <c r="C65" s="213" t="s">
        <v>2656</v>
      </c>
      <c r="D65" s="213" t="s">
        <v>2657</v>
      </c>
      <c r="E65" s="213" t="s">
        <v>2658</v>
      </c>
      <c r="F65" s="213" t="s">
        <v>2659</v>
      </c>
      <c r="G65" s="213" t="s">
        <v>2660</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431</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406</v>
      </c>
      <c r="B77" s="871" t="s">
        <v>432</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468</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476</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478</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343</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344</v>
      </c>
      <c r="B3" s="952" t="e">
        <f>ROUND(IF(D3="",B2*10000/'数据-汇总表'!E3,B2*10000/D3),0)</f>
        <v>#DIV/0!</v>
      </c>
      <c r="C3" s="579" t="s">
        <v>2888</v>
      </c>
      <c r="D3" s="3058"/>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388</v>
      </c>
      <c r="B4" s="745"/>
      <c r="C4" s="3839" t="s">
        <v>389</v>
      </c>
      <c r="D4" s="3840"/>
      <c r="E4" s="3841" t="s">
        <v>390</v>
      </c>
      <c r="F4" s="3842"/>
      <c r="G4" s="3839" t="s">
        <v>391</v>
      </c>
      <c r="H4" s="3840"/>
      <c r="I4" s="3839" t="s">
        <v>392</v>
      </c>
      <c r="J4" s="3840"/>
      <c r="K4" s="953" t="s">
        <v>393</v>
      </c>
      <c r="L4" s="2349"/>
      <c r="M4" s="2350"/>
      <c r="N4" s="2350"/>
      <c r="O4" s="2350"/>
      <c r="P4" s="3843" t="s">
        <v>394</v>
      </c>
      <c r="Q4" s="3844"/>
      <c r="R4" s="3849" t="s">
        <v>390</v>
      </c>
      <c r="S4" s="3850"/>
      <c r="T4" s="3849" t="s">
        <v>391</v>
      </c>
      <c r="U4" s="3850"/>
      <c r="V4" s="3855" t="s">
        <v>392</v>
      </c>
      <c r="W4" s="3855"/>
      <c r="X4" s="1318"/>
      <c r="Y4" s="3849" t="s">
        <v>394</v>
      </c>
      <c r="Z4" s="3850"/>
      <c r="AA4" s="3836" t="s">
        <v>390</v>
      </c>
      <c r="AB4" s="3837" t="s">
        <v>391</v>
      </c>
      <c r="AC4" s="3836" t="s">
        <v>392</v>
      </c>
    </row>
    <row r="5" spans="1:30" ht="15">
      <c r="A5" s="747"/>
      <c r="B5" s="748"/>
      <c r="C5" s="3802" t="s">
        <v>1124</v>
      </c>
      <c r="D5" s="3803"/>
      <c r="E5" s="3809" t="s">
        <v>1125</v>
      </c>
      <c r="F5" s="3810"/>
      <c r="G5" s="3802" t="s">
        <v>1128</v>
      </c>
      <c r="H5" s="3803"/>
      <c r="I5" s="3802" t="s">
        <v>1126</v>
      </c>
      <c r="J5" s="3803"/>
      <c r="K5" s="953"/>
      <c r="L5" s="2349"/>
      <c r="M5" s="2350"/>
      <c r="N5" s="2350"/>
      <c r="O5" s="2350"/>
      <c r="P5" s="3845"/>
      <c r="Q5" s="3846"/>
      <c r="R5" s="3851"/>
      <c r="S5" s="3852"/>
      <c r="T5" s="3851"/>
      <c r="U5" s="3852"/>
      <c r="V5" s="3855"/>
      <c r="W5" s="3855"/>
      <c r="X5" s="1318"/>
      <c r="Y5" s="3851"/>
      <c r="Z5" s="3852"/>
      <c r="AA5" s="3837"/>
      <c r="AB5" s="3837"/>
      <c r="AC5" s="3837"/>
    </row>
    <row r="6" spans="1:30" ht="15.75" thickBot="1">
      <c r="A6" s="749"/>
      <c r="B6" s="750"/>
      <c r="C6" s="3800" t="s">
        <v>1127</v>
      </c>
      <c r="D6" s="3801"/>
      <c r="E6" s="3807" t="s">
        <v>1127</v>
      </c>
      <c r="F6" s="3808"/>
      <c r="G6" s="3800" t="s">
        <v>1127</v>
      </c>
      <c r="H6" s="3801"/>
      <c r="I6" s="3800" t="s">
        <v>1127</v>
      </c>
      <c r="J6" s="3801"/>
      <c r="K6" s="953" t="s">
        <v>395</v>
      </c>
      <c r="L6" s="2349"/>
      <c r="M6" s="2350"/>
      <c r="N6" s="2350"/>
      <c r="O6" s="2350"/>
      <c r="P6" s="3847"/>
      <c r="Q6" s="3848"/>
      <c r="R6" s="3851"/>
      <c r="S6" s="3852"/>
      <c r="T6" s="3853"/>
      <c r="U6" s="3854"/>
      <c r="V6" s="3855"/>
      <c r="W6" s="3855"/>
      <c r="X6" s="1318"/>
      <c r="Y6" s="3853"/>
      <c r="Z6" s="3854"/>
      <c r="AA6" s="3838"/>
      <c r="AB6" s="3838"/>
      <c r="AC6" s="3838"/>
    </row>
    <row r="7" spans="1:30" s="407" customFormat="1" ht="15.75" thickBot="1">
      <c r="A7" s="751" t="s">
        <v>396</v>
      </c>
      <c r="B7" s="752"/>
      <c r="C7" s="753">
        <f>'数据-取费表'!B2</f>
        <v>42941</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860" t="s">
        <v>397</v>
      </c>
      <c r="Q7" s="3862"/>
      <c r="R7" s="1319" t="s">
        <v>65</v>
      </c>
      <c r="S7" s="1320">
        <f t="shared" ref="S7:S15" si="0">F7</f>
        <v>0</v>
      </c>
      <c r="T7" s="1319" t="s">
        <v>65</v>
      </c>
      <c r="U7" s="1320">
        <f t="shared" ref="U7:U15" si="1">H7</f>
        <v>0</v>
      </c>
      <c r="V7" s="1319" t="s">
        <v>65</v>
      </c>
      <c r="W7" s="1320">
        <f t="shared" ref="W7:W15" si="2">J7</f>
        <v>0</v>
      </c>
      <c r="X7" s="1321"/>
      <c r="Y7" s="3860" t="s">
        <v>397</v>
      </c>
      <c r="Z7" s="3861"/>
      <c r="AA7" s="1322" t="e">
        <f>D7/F7</f>
        <v>#DIV/0!</v>
      </c>
      <c r="AB7" s="1322" t="e">
        <f>D7/H7</f>
        <v>#DIV/0!</v>
      </c>
      <c r="AC7" s="1322" t="e">
        <f>D7/J7</f>
        <v>#DIV/0!</v>
      </c>
    </row>
    <row r="8" spans="1:30" s="407" customFormat="1" ht="15.75" thickBot="1">
      <c r="A8" s="751" t="s">
        <v>398</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860" t="s">
        <v>433</v>
      </c>
      <c r="Q8" s="3861"/>
      <c r="R8" s="1319" t="s">
        <v>65</v>
      </c>
      <c r="S8" s="1320">
        <f t="shared" si="0"/>
        <v>0</v>
      </c>
      <c r="T8" s="1319" t="s">
        <v>65</v>
      </c>
      <c r="U8" s="1320">
        <f t="shared" si="1"/>
        <v>0</v>
      </c>
      <c r="V8" s="1319" t="s">
        <v>65</v>
      </c>
      <c r="W8" s="1320">
        <f t="shared" si="2"/>
        <v>0</v>
      </c>
      <c r="X8" s="1321"/>
      <c r="Y8" s="3860" t="s">
        <v>433</v>
      </c>
      <c r="Z8" s="3861"/>
      <c r="AA8" s="1322" t="e">
        <f t="shared" ref="AA8:AA45" si="3">D8/F8</f>
        <v>#DIV/0!</v>
      </c>
      <c r="AB8" s="1322" t="e">
        <f t="shared" ref="AB8:AB45" si="4">D8/H8</f>
        <v>#DIV/0!</v>
      </c>
      <c r="AC8" s="1322"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827" t="s">
        <v>400</v>
      </c>
      <c r="Q9" s="296" t="str">
        <f t="shared" ref="Q9:Q15" si="6">B9</f>
        <v>用途</v>
      </c>
      <c r="R9" s="1319" t="s">
        <v>65</v>
      </c>
      <c r="S9" s="1320">
        <f t="shared" si="0"/>
        <v>100</v>
      </c>
      <c r="T9" s="1319" t="s">
        <v>65</v>
      </c>
      <c r="U9" s="1320">
        <f t="shared" si="1"/>
        <v>100</v>
      </c>
      <c r="V9" s="1319" t="s">
        <v>65</v>
      </c>
      <c r="W9" s="1320">
        <f t="shared" si="2"/>
        <v>100</v>
      </c>
      <c r="X9" s="1321"/>
      <c r="Y9" s="3633" t="s">
        <v>401</v>
      </c>
      <c r="Z9" s="344" t="str">
        <f t="shared" ref="Z9:Z15" si="7">Q9</f>
        <v>用途</v>
      </c>
      <c r="AA9" s="1322">
        <f t="shared" si="3"/>
        <v>1</v>
      </c>
      <c r="AB9" s="1322">
        <f t="shared" si="4"/>
        <v>1</v>
      </c>
      <c r="AC9" s="1322">
        <f t="shared" si="5"/>
        <v>1</v>
      </c>
    </row>
    <row r="10" spans="1:30" s="770" customFormat="1" ht="27">
      <c r="A10" s="764"/>
      <c r="B10" s="765" t="s">
        <v>402</v>
      </c>
      <c r="C10" s="775"/>
      <c r="D10" s="426">
        <v>100</v>
      </c>
      <c r="E10" s="808"/>
      <c r="F10" s="426">
        <f>ROUND(100/'数据-取费表'!G16,0)</f>
        <v>105</v>
      </c>
      <c r="G10" s="806"/>
      <c r="H10" s="426">
        <f>ROUND(100/'数据-取费表'!G16,0)</f>
        <v>105</v>
      </c>
      <c r="I10" s="806"/>
      <c r="J10" s="426">
        <f>ROUND(100/'数据-取费表'!G16,0)</f>
        <v>105</v>
      </c>
      <c r="K10" s="1081"/>
      <c r="L10" s="2354"/>
      <c r="M10" s="2355"/>
      <c r="N10" s="2355"/>
      <c r="O10" s="2356"/>
      <c r="P10" s="3827"/>
      <c r="Q10" s="296" t="str">
        <f t="shared" si="6"/>
        <v>土地使用年限（年）</v>
      </c>
      <c r="R10" s="1319" t="s">
        <v>65</v>
      </c>
      <c r="S10" s="1320">
        <f t="shared" si="0"/>
        <v>105</v>
      </c>
      <c r="T10" s="1319" t="s">
        <v>65</v>
      </c>
      <c r="U10" s="1320">
        <f t="shared" si="1"/>
        <v>105</v>
      </c>
      <c r="V10" s="1319" t="s">
        <v>65</v>
      </c>
      <c r="W10" s="1320">
        <f t="shared" si="2"/>
        <v>105</v>
      </c>
      <c r="X10" s="1321"/>
      <c r="Y10" s="3633"/>
      <c r="Z10" s="344" t="str">
        <f t="shared" si="7"/>
        <v>土地使用年限（年）</v>
      </c>
      <c r="AA10" s="1322">
        <f t="shared" si="3"/>
        <v>0.95238095238095233</v>
      </c>
      <c r="AB10" s="1322">
        <f t="shared" si="4"/>
        <v>0.95238095238095233</v>
      </c>
      <c r="AC10" s="1322">
        <f t="shared" si="5"/>
        <v>0.95238095238095233</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827"/>
      <c r="Q11" s="296" t="str">
        <f t="shared" si="6"/>
        <v>容积率</v>
      </c>
      <c r="R11" s="1319" t="s">
        <v>65</v>
      </c>
      <c r="S11" s="1320" t="e">
        <f t="shared" si="0"/>
        <v>#N/A</v>
      </c>
      <c r="T11" s="1319" t="s">
        <v>65</v>
      </c>
      <c r="U11" s="1320" t="e">
        <f t="shared" si="1"/>
        <v>#N/A</v>
      </c>
      <c r="V11" s="1319" t="s">
        <v>65</v>
      </c>
      <c r="W11" s="1320" t="e">
        <f t="shared" si="2"/>
        <v>#N/A</v>
      </c>
      <c r="X11" s="1321"/>
      <c r="Y11" s="3633"/>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827"/>
      <c r="Q12" s="296" t="str">
        <f t="shared" si="6"/>
        <v>配建</v>
      </c>
      <c r="R12" s="1319" t="s">
        <v>65</v>
      </c>
      <c r="S12" s="1320">
        <f t="shared" si="0"/>
        <v>100</v>
      </c>
      <c r="T12" s="1319" t="s">
        <v>65</v>
      </c>
      <c r="U12" s="1320">
        <f t="shared" si="1"/>
        <v>100</v>
      </c>
      <c r="V12" s="1319" t="s">
        <v>65</v>
      </c>
      <c r="W12" s="1320">
        <f t="shared" si="2"/>
        <v>100</v>
      </c>
      <c r="X12" s="1321"/>
      <c r="Y12" s="3633"/>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827"/>
      <c r="Q13" s="296">
        <f t="shared" si="6"/>
        <v>111</v>
      </c>
      <c r="R13" s="1319" t="s">
        <v>65</v>
      </c>
      <c r="S13" s="1320">
        <f t="shared" si="0"/>
        <v>100</v>
      </c>
      <c r="T13" s="1319" t="s">
        <v>65</v>
      </c>
      <c r="U13" s="1320">
        <f t="shared" si="1"/>
        <v>100</v>
      </c>
      <c r="V13" s="1319" t="s">
        <v>65</v>
      </c>
      <c r="W13" s="1320">
        <f t="shared" si="2"/>
        <v>100</v>
      </c>
      <c r="X13" s="1321"/>
      <c r="Y13" s="3633"/>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827"/>
      <c r="Q14" s="296">
        <f t="shared" si="6"/>
        <v>111</v>
      </c>
      <c r="R14" s="1319" t="s">
        <v>65</v>
      </c>
      <c r="S14" s="1320">
        <f t="shared" si="0"/>
        <v>100</v>
      </c>
      <c r="T14" s="1319" t="s">
        <v>65</v>
      </c>
      <c r="U14" s="1320">
        <f t="shared" si="1"/>
        <v>100</v>
      </c>
      <c r="V14" s="1319" t="s">
        <v>65</v>
      </c>
      <c r="W14" s="1320">
        <f t="shared" si="2"/>
        <v>100</v>
      </c>
      <c r="X14" s="1321"/>
      <c r="Y14" s="3633"/>
      <c r="Z14" s="344">
        <f t="shared" si="7"/>
        <v>111</v>
      </c>
      <c r="AA14" s="1322">
        <f>D14/F14</f>
        <v>1</v>
      </c>
      <c r="AB14" s="1322">
        <f>D14/H14</f>
        <v>1</v>
      </c>
      <c r="AC14" s="1322">
        <f>D14/J14</f>
        <v>1</v>
      </c>
    </row>
    <row r="15" spans="1:30" ht="94.5">
      <c r="A15" s="783" t="s">
        <v>404</v>
      </c>
      <c r="B15" s="359" t="s">
        <v>284</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832" t="s">
        <v>405</v>
      </c>
      <c r="Q15" s="1323" t="str">
        <f t="shared" si="6"/>
        <v>居住社区成熟度</v>
      </c>
      <c r="R15" s="1324" t="s">
        <v>65</v>
      </c>
      <c r="S15" s="1325">
        <f t="shared" si="0"/>
        <v>100</v>
      </c>
      <c r="T15" s="1324" t="s">
        <v>65</v>
      </c>
      <c r="U15" s="1325">
        <f t="shared" si="1"/>
        <v>100</v>
      </c>
      <c r="V15" s="1324" t="s">
        <v>65</v>
      </c>
      <c r="W15" s="1325">
        <f t="shared" si="2"/>
        <v>100</v>
      </c>
      <c r="X15" s="1318"/>
      <c r="Y15" s="3832" t="s">
        <v>405</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833"/>
      <c r="Q16" s="1323"/>
      <c r="R16" s="1324"/>
      <c r="S16" s="1325"/>
      <c r="T16" s="1324"/>
      <c r="U16" s="1325"/>
      <c r="V16" s="1324"/>
      <c r="W16" s="1325"/>
      <c r="X16" s="1318"/>
      <c r="Y16" s="3833"/>
      <c r="Z16" s="1326"/>
      <c r="AA16" s="1327">
        <v>1</v>
      </c>
      <c r="AB16" s="1327">
        <v>1</v>
      </c>
      <c r="AC16" s="1327">
        <v>1</v>
      </c>
    </row>
    <row r="17" spans="1:29" ht="81">
      <c r="A17" s="771"/>
      <c r="B17" s="794" t="s">
        <v>434</v>
      </c>
      <c r="C17" s="190" t="str">
        <f>估价对象房地状况!C16</f>
        <v>估价对象区域内无大型商业项目，零星分布农村商店，人流量较少，区域内商业繁华度一般</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833"/>
      <c r="Q17" s="1323" t="str">
        <f>B17</f>
        <v>商业繁华度</v>
      </c>
      <c r="R17" s="1324" t="s">
        <v>65</v>
      </c>
      <c r="S17" s="1325">
        <f>F17</f>
        <v>100</v>
      </c>
      <c r="T17" s="1324" t="s">
        <v>65</v>
      </c>
      <c r="U17" s="1325">
        <f>H17</f>
        <v>100</v>
      </c>
      <c r="V17" s="1324" t="s">
        <v>65</v>
      </c>
      <c r="W17" s="1325">
        <f>J17</f>
        <v>100</v>
      </c>
      <c r="X17" s="1318"/>
      <c r="Y17" s="3833"/>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833"/>
      <c r="Q18" s="1323"/>
      <c r="R18" s="1324"/>
      <c r="S18" s="1325"/>
      <c r="T18" s="1324"/>
      <c r="U18" s="1325"/>
      <c r="V18" s="1324"/>
      <c r="W18" s="1325"/>
      <c r="X18" s="1318"/>
      <c r="Y18" s="3833"/>
      <c r="Z18" s="1326"/>
      <c r="AA18" s="1327">
        <v>1</v>
      </c>
      <c r="AB18" s="1327">
        <v>1</v>
      </c>
      <c r="AC18" s="1327">
        <v>1</v>
      </c>
    </row>
    <row r="19" spans="1:29" ht="67.5">
      <c r="A19" s="771"/>
      <c r="B19" s="794" t="s">
        <v>439</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833"/>
      <c r="Q19" s="1323" t="str">
        <f>B19</f>
        <v>办公集聚程度</v>
      </c>
      <c r="R19" s="1324" t="s">
        <v>65</v>
      </c>
      <c r="S19" s="1325">
        <f>F19</f>
        <v>100</v>
      </c>
      <c r="T19" s="1324" t="s">
        <v>65</v>
      </c>
      <c r="U19" s="1325">
        <f>H19</f>
        <v>100</v>
      </c>
      <c r="V19" s="1324" t="s">
        <v>65</v>
      </c>
      <c r="W19" s="1325">
        <f>J19</f>
        <v>100</v>
      </c>
      <c r="X19" s="1318"/>
      <c r="Y19" s="3833"/>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833"/>
      <c r="Q20" s="1323"/>
      <c r="R20" s="1324"/>
      <c r="S20" s="1325"/>
      <c r="T20" s="1324"/>
      <c r="U20" s="1325"/>
      <c r="V20" s="1324"/>
      <c r="W20" s="1325"/>
      <c r="X20" s="1318"/>
      <c r="Y20" s="3833"/>
      <c r="Z20" s="1326"/>
      <c r="AA20" s="1327">
        <v>1</v>
      </c>
      <c r="AB20" s="1327">
        <v>1</v>
      </c>
      <c r="AC20" s="1327">
        <v>1</v>
      </c>
    </row>
    <row r="21" spans="1:29" ht="81">
      <c r="A21" s="771"/>
      <c r="B21" s="794" t="s">
        <v>454</v>
      </c>
      <c r="C21" s="158" t="str">
        <f>估价对象房地状况!C18</f>
        <v>估价对象紧邻大广高速，周边有密37、密50、密51路等公交线路，综合评价交通便捷度较好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833"/>
      <c r="Q21" s="1323" t="str">
        <f>B21</f>
        <v>交通便捷度</v>
      </c>
      <c r="R21" s="1324" t="s">
        <v>65</v>
      </c>
      <c r="S21" s="1325">
        <f>F21</f>
        <v>100</v>
      </c>
      <c r="T21" s="1324" t="s">
        <v>65</v>
      </c>
      <c r="U21" s="1325">
        <f>H21</f>
        <v>100</v>
      </c>
      <c r="V21" s="1324" t="s">
        <v>65</v>
      </c>
      <c r="W21" s="1325">
        <f>J21</f>
        <v>100</v>
      </c>
      <c r="X21" s="1318"/>
      <c r="Y21" s="3833"/>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833"/>
      <c r="Q22" s="1323"/>
      <c r="R22" s="1324"/>
      <c r="S22" s="1325"/>
      <c r="T22" s="1324"/>
      <c r="U22" s="1325"/>
      <c r="V22" s="1324"/>
      <c r="W22" s="1325"/>
      <c r="X22" s="1318"/>
      <c r="Y22" s="3833"/>
      <c r="Z22" s="1326"/>
      <c r="AA22" s="1327">
        <v>1</v>
      </c>
      <c r="AB22" s="1327">
        <v>1</v>
      </c>
      <c r="AC22" s="1327">
        <v>1</v>
      </c>
    </row>
    <row r="23" spans="1:29" ht="40.5">
      <c r="A23" s="747"/>
      <c r="B23" s="794" t="s">
        <v>481</v>
      </c>
      <c r="C23" s="2775" t="str">
        <f>估价对象房地状况!C19</f>
        <v>零星有其他用地，基本不影响本宗地</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833"/>
      <c r="Q23" s="1323" t="str">
        <f t="shared" ref="Q23:Q37" si="8">B23</f>
        <v>区域土地利用方向</v>
      </c>
      <c r="R23" s="1324" t="s">
        <v>65</v>
      </c>
      <c r="S23" s="1325">
        <f>F23</f>
        <v>100</v>
      </c>
      <c r="T23" s="1324" t="s">
        <v>65</v>
      </c>
      <c r="U23" s="1325">
        <f>H23</f>
        <v>100</v>
      </c>
      <c r="V23" s="1324" t="s">
        <v>65</v>
      </c>
      <c r="W23" s="1325">
        <f>J23</f>
        <v>100</v>
      </c>
      <c r="X23" s="1318"/>
      <c r="Y23" s="3833"/>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833"/>
      <c r="Q24" s="1470"/>
      <c r="R24" s="1324"/>
      <c r="S24" s="1325"/>
      <c r="T24" s="1324"/>
      <c r="U24" s="1325"/>
      <c r="V24" s="1324"/>
      <c r="W24" s="1325"/>
      <c r="X24" s="1469"/>
      <c r="Y24" s="3833"/>
      <c r="Z24" s="1471"/>
      <c r="AA24" s="1327"/>
      <c r="AB24" s="1327"/>
      <c r="AC24" s="1327"/>
    </row>
    <row r="25" spans="1:29" ht="54">
      <c r="A25" s="747"/>
      <c r="B25" s="2770" t="s">
        <v>482</v>
      </c>
      <c r="C25" s="190" t="str">
        <f>估价对象房地状况!C20</f>
        <v>区域有司马台长城、鸳鸯湖水库；综合评价环境状况好</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833"/>
      <c r="Q25" s="1323" t="str">
        <f t="shared" si="8"/>
        <v>自然及人文环境状况</v>
      </c>
      <c r="R25" s="1324" t="s">
        <v>65</v>
      </c>
      <c r="S25" s="1325">
        <f>F25</f>
        <v>100</v>
      </c>
      <c r="T25" s="1324" t="s">
        <v>65</v>
      </c>
      <c r="U25" s="1325">
        <f>H25</f>
        <v>100</v>
      </c>
      <c r="V25" s="1324" t="s">
        <v>65</v>
      </c>
      <c r="W25" s="1325">
        <f>J25</f>
        <v>100</v>
      </c>
      <c r="X25" s="1318"/>
      <c r="Y25" s="3833"/>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833"/>
      <c r="Q26" s="1323"/>
      <c r="R26" s="1324"/>
      <c r="S26" s="1325"/>
      <c r="T26" s="1324"/>
      <c r="U26" s="1325"/>
      <c r="V26" s="1324"/>
      <c r="W26" s="1325"/>
      <c r="X26" s="1318"/>
      <c r="Y26" s="3833"/>
      <c r="Z26" s="1326"/>
      <c r="AA26" s="1327">
        <v>1</v>
      </c>
      <c r="AB26" s="1327">
        <v>1</v>
      </c>
      <c r="AC26" s="1327">
        <v>1</v>
      </c>
    </row>
    <row r="27" spans="1:29" s="407" customFormat="1" ht="94.5">
      <c r="A27" s="992"/>
      <c r="B27" s="1412" t="s">
        <v>2668</v>
      </c>
      <c r="C27" s="158" t="str">
        <f>估价对象房地状况!C21</f>
        <v>估价对象所在区域公共配套设施齐备情况；基础设施水平；综合评价公用设施及基础设施水平一般</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833"/>
      <c r="Q27" s="296" t="str">
        <f t="shared" si="8"/>
        <v>公共配套设施</v>
      </c>
      <c r="R27" s="1319" t="s">
        <v>65</v>
      </c>
      <c r="S27" s="1320">
        <f>F27</f>
        <v>100</v>
      </c>
      <c r="T27" s="1319" t="s">
        <v>65</v>
      </c>
      <c r="U27" s="1320">
        <f>H27</f>
        <v>100</v>
      </c>
      <c r="V27" s="1319" t="s">
        <v>65</v>
      </c>
      <c r="W27" s="1320">
        <f>J27</f>
        <v>100</v>
      </c>
      <c r="X27" s="1321"/>
      <c r="Y27" s="3833"/>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833"/>
      <c r="Q28" s="296"/>
      <c r="R28" s="1319"/>
      <c r="S28" s="1320"/>
      <c r="T28" s="1319"/>
      <c r="U28" s="1320"/>
      <c r="V28" s="1319"/>
      <c r="W28" s="1320"/>
      <c r="X28" s="1321"/>
      <c r="Y28" s="3833"/>
      <c r="Z28" s="344"/>
      <c r="AA28" s="1327">
        <v>1</v>
      </c>
      <c r="AB28" s="1327">
        <v>1</v>
      </c>
      <c r="AC28" s="1327">
        <v>1</v>
      </c>
    </row>
    <row r="29" spans="1:29" s="407" customFormat="1" ht="94.5">
      <c r="A29" s="992"/>
      <c r="B29" s="1412" t="s">
        <v>2669</v>
      </c>
      <c r="C29" s="158" t="str">
        <f>估价对象房地状况!C22</f>
        <v>估价对象所在区域公共配套设施齐备情况；基础设施水平；综合评价公用设施及基础设施水平一般</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833"/>
      <c r="Q29" s="2745" t="str">
        <f t="shared" ref="Q29" si="9">B29</f>
        <v>基础设施水平</v>
      </c>
      <c r="R29" s="1319" t="s">
        <v>65</v>
      </c>
      <c r="S29" s="1320">
        <f>F29</f>
        <v>100</v>
      </c>
      <c r="T29" s="1319" t="s">
        <v>65</v>
      </c>
      <c r="U29" s="1320">
        <f>H29</f>
        <v>100</v>
      </c>
      <c r="V29" s="1319" t="s">
        <v>65</v>
      </c>
      <c r="W29" s="1320">
        <f>J29</f>
        <v>100</v>
      </c>
      <c r="X29" s="1321"/>
      <c r="Y29" s="3833"/>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833"/>
      <c r="Q30" s="2745"/>
      <c r="R30" s="1319"/>
      <c r="S30" s="1320"/>
      <c r="T30" s="1319"/>
      <c r="U30" s="1320"/>
      <c r="V30" s="1319"/>
      <c r="W30" s="1320"/>
      <c r="X30" s="1321"/>
      <c r="Y30" s="3833"/>
      <c r="Z30" s="344"/>
      <c r="AA30" s="1327">
        <v>1</v>
      </c>
      <c r="AB30" s="1327">
        <v>1</v>
      </c>
      <c r="AC30" s="1327">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833"/>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833"/>
      <c r="Z31" s="1326" t="str">
        <f t="shared" ref="Z31:Z45" si="13">Q31</f>
        <v>临街状况</v>
      </c>
      <c r="AA31" s="1327">
        <f t="shared" si="3"/>
        <v>1</v>
      </c>
      <c r="AB31" s="1327">
        <f t="shared" si="4"/>
        <v>1</v>
      </c>
      <c r="AC31" s="1327">
        <f t="shared" si="5"/>
        <v>1</v>
      </c>
    </row>
    <row r="32" spans="1:29" ht="27">
      <c r="A32" s="771"/>
      <c r="B32" s="2770"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833"/>
      <c r="Q32" s="1323" t="str">
        <f t="shared" si="8"/>
        <v>毗邻道路的类型与等级</v>
      </c>
      <c r="R32" s="1324" t="s">
        <v>65</v>
      </c>
      <c r="S32" s="1325">
        <f t="shared" si="10"/>
        <v>100</v>
      </c>
      <c r="T32" s="1324" t="s">
        <v>65</v>
      </c>
      <c r="U32" s="1325">
        <f t="shared" si="11"/>
        <v>100</v>
      </c>
      <c r="V32" s="1324" t="s">
        <v>65</v>
      </c>
      <c r="W32" s="1325">
        <f t="shared" si="12"/>
        <v>100</v>
      </c>
      <c r="X32" s="1318"/>
      <c r="Y32" s="3833"/>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833"/>
      <c r="Q33" s="1323"/>
      <c r="R33" s="1324"/>
      <c r="S33" s="1325"/>
      <c r="T33" s="1324"/>
      <c r="U33" s="1325"/>
      <c r="V33" s="1324"/>
      <c r="W33" s="1325"/>
      <c r="X33" s="1318"/>
      <c r="Y33" s="3833"/>
      <c r="Z33" s="1326"/>
      <c r="AA33" s="1327">
        <v>1</v>
      </c>
      <c r="AB33" s="1327">
        <v>1</v>
      </c>
      <c r="AC33" s="1327">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833"/>
      <c r="Q34" s="1323" t="str">
        <f t="shared" si="8"/>
        <v>土地级别</v>
      </c>
      <c r="R34" s="1324" t="s">
        <v>65</v>
      </c>
      <c r="S34" s="1325">
        <f t="shared" si="10"/>
        <v>100</v>
      </c>
      <c r="T34" s="1324" t="s">
        <v>65</v>
      </c>
      <c r="U34" s="1325">
        <f t="shared" si="11"/>
        <v>100</v>
      </c>
      <c r="V34" s="1324" t="s">
        <v>65</v>
      </c>
      <c r="W34" s="1325">
        <f t="shared" si="12"/>
        <v>100</v>
      </c>
      <c r="X34" s="1318"/>
      <c r="Y34" s="3833"/>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833"/>
      <c r="Q35" s="1323">
        <f t="shared" si="8"/>
        <v>111</v>
      </c>
      <c r="R35" s="1324" t="s">
        <v>65</v>
      </c>
      <c r="S35" s="1325">
        <f t="shared" si="10"/>
        <v>100</v>
      </c>
      <c r="T35" s="1324" t="s">
        <v>65</v>
      </c>
      <c r="U35" s="1325">
        <f t="shared" si="11"/>
        <v>100</v>
      </c>
      <c r="V35" s="1324" t="s">
        <v>65</v>
      </c>
      <c r="W35" s="1325">
        <f t="shared" si="12"/>
        <v>100</v>
      </c>
      <c r="X35" s="1318"/>
      <c r="Y35" s="3833"/>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834" t="s">
        <v>407</v>
      </c>
      <c r="Q36" s="1323">
        <f t="shared" si="8"/>
        <v>111</v>
      </c>
      <c r="R36" s="1324" t="s">
        <v>65</v>
      </c>
      <c r="S36" s="1325">
        <f t="shared" si="10"/>
        <v>100</v>
      </c>
      <c r="T36" s="1324" t="s">
        <v>65</v>
      </c>
      <c r="U36" s="1325">
        <f t="shared" si="11"/>
        <v>100</v>
      </c>
      <c r="V36" s="1324" t="s">
        <v>65</v>
      </c>
      <c r="W36" s="1325">
        <f t="shared" si="12"/>
        <v>100</v>
      </c>
      <c r="X36" s="1318"/>
      <c r="Y36" s="3835" t="s">
        <v>407</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835"/>
      <c r="Q37" s="1323">
        <f t="shared" si="8"/>
        <v>111</v>
      </c>
      <c r="R37" s="1329" t="s">
        <v>65</v>
      </c>
      <c r="S37" s="1330">
        <f t="shared" si="10"/>
        <v>100</v>
      </c>
      <c r="T37" s="1329" t="s">
        <v>65</v>
      </c>
      <c r="U37" s="1330">
        <f t="shared" si="11"/>
        <v>100</v>
      </c>
      <c r="V37" s="1329" t="s">
        <v>65</v>
      </c>
      <c r="W37" s="1330">
        <f t="shared" si="12"/>
        <v>100</v>
      </c>
      <c r="X37" s="1331"/>
      <c r="Y37" s="3835"/>
      <c r="Z37" s="1332">
        <f t="shared" si="13"/>
        <v>111</v>
      </c>
      <c r="AA37" s="1327">
        <f t="shared" si="3"/>
        <v>1</v>
      </c>
      <c r="AB37" s="1327">
        <f t="shared" si="4"/>
        <v>1</v>
      </c>
      <c r="AC37" s="1327">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835"/>
      <c r="Q38" s="1323" t="str">
        <f>B38</f>
        <v>宗地面积</v>
      </c>
      <c r="R38" s="1324" t="s">
        <v>65</v>
      </c>
      <c r="S38" s="1325" t="e">
        <f t="shared" si="10"/>
        <v>#N/A</v>
      </c>
      <c r="T38" s="1324" t="s">
        <v>65</v>
      </c>
      <c r="U38" s="1325" t="e">
        <f t="shared" si="11"/>
        <v>#N/A</v>
      </c>
      <c r="V38" s="1324" t="s">
        <v>65</v>
      </c>
      <c r="W38" s="1325" t="e">
        <f t="shared" si="12"/>
        <v>#N/A</v>
      </c>
      <c r="X38" s="1318"/>
      <c r="Y38" s="3835"/>
      <c r="Z38" s="1326" t="str">
        <f t="shared" si="13"/>
        <v>宗地面积</v>
      </c>
      <c r="AA38" s="1327" t="e">
        <f t="shared" si="3"/>
        <v>#N/A</v>
      </c>
      <c r="AB38" s="1327" t="e">
        <f t="shared" si="4"/>
        <v>#N/A</v>
      </c>
      <c r="AC38" s="1327"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835"/>
      <c r="Q39" s="1323" t="str">
        <f t="shared" ref="Q39:Q45" si="14">B39</f>
        <v>宗地形状</v>
      </c>
      <c r="R39" s="1324" t="s">
        <v>65</v>
      </c>
      <c r="S39" s="1325">
        <f t="shared" si="10"/>
        <v>100</v>
      </c>
      <c r="T39" s="1324" t="s">
        <v>65</v>
      </c>
      <c r="U39" s="1325">
        <f t="shared" si="11"/>
        <v>100</v>
      </c>
      <c r="V39" s="1324" t="s">
        <v>65</v>
      </c>
      <c r="W39" s="1325">
        <f t="shared" si="12"/>
        <v>100</v>
      </c>
      <c r="X39" s="1318"/>
      <c r="Y39" s="3835"/>
      <c r="Z39" s="1326" t="str">
        <f t="shared" si="13"/>
        <v>宗地形状</v>
      </c>
      <c r="AA39" s="1327">
        <f t="shared" si="3"/>
        <v>1</v>
      </c>
      <c r="AB39" s="1327">
        <f t="shared" si="4"/>
        <v>1</v>
      </c>
      <c r="AC39" s="1327">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835"/>
      <c r="Q40" s="1323" t="str">
        <f t="shared" si="14"/>
        <v>临街宽度及深度</v>
      </c>
      <c r="R40" s="1324" t="s">
        <v>65</v>
      </c>
      <c r="S40" s="1325">
        <f t="shared" si="10"/>
        <v>100</v>
      </c>
      <c r="T40" s="1324" t="s">
        <v>65</v>
      </c>
      <c r="U40" s="1325">
        <f t="shared" si="11"/>
        <v>100</v>
      </c>
      <c r="V40" s="1324" t="s">
        <v>65</v>
      </c>
      <c r="W40" s="1325">
        <f t="shared" si="12"/>
        <v>100</v>
      </c>
      <c r="X40" s="1318"/>
      <c r="Y40" s="3835"/>
      <c r="Z40" s="1326" t="str">
        <f t="shared" si="13"/>
        <v>临街宽度及深度</v>
      </c>
      <c r="AA40" s="1327">
        <f t="shared" si="3"/>
        <v>1</v>
      </c>
      <c r="AB40" s="1327">
        <f t="shared" si="4"/>
        <v>1</v>
      </c>
      <c r="AC40" s="1327">
        <f t="shared" si="5"/>
        <v>1</v>
      </c>
    </row>
    <row r="41" spans="1:29" s="407" customFormat="1" ht="15">
      <c r="A41" s="816"/>
      <c r="B41" s="2611" t="s">
        <v>2500</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835"/>
      <c r="Q41" s="1323" t="str">
        <f t="shared" si="14"/>
        <v>宗地开发程度</v>
      </c>
      <c r="R41" s="1319" t="s">
        <v>65</v>
      </c>
      <c r="S41" s="1320">
        <f t="shared" si="10"/>
        <v>100</v>
      </c>
      <c r="T41" s="1319" t="s">
        <v>65</v>
      </c>
      <c r="U41" s="1320">
        <f t="shared" si="11"/>
        <v>100</v>
      </c>
      <c r="V41" s="1319" t="s">
        <v>65</v>
      </c>
      <c r="W41" s="1320">
        <f t="shared" si="12"/>
        <v>100</v>
      </c>
      <c r="X41" s="1321"/>
      <c r="Y41" s="3835"/>
      <c r="Z41" s="344" t="str">
        <f t="shared" si="13"/>
        <v>宗地开发程度</v>
      </c>
      <c r="AA41" s="1322">
        <f t="shared" si="3"/>
        <v>1</v>
      </c>
      <c r="AB41" s="1322">
        <f t="shared" si="4"/>
        <v>1</v>
      </c>
      <c r="AC41" s="1322">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835" t="s">
        <v>407</v>
      </c>
      <c r="Q42" s="1323" t="str">
        <f t="shared" si="14"/>
        <v>工程地质条件</v>
      </c>
      <c r="R42" s="1324" t="s">
        <v>65</v>
      </c>
      <c r="S42" s="1325">
        <f t="shared" si="10"/>
        <v>100</v>
      </c>
      <c r="T42" s="1324" t="s">
        <v>65</v>
      </c>
      <c r="U42" s="1325">
        <f t="shared" si="11"/>
        <v>100</v>
      </c>
      <c r="V42" s="1324" t="s">
        <v>65</v>
      </c>
      <c r="W42" s="1325">
        <f t="shared" si="12"/>
        <v>100</v>
      </c>
      <c r="X42" s="1318"/>
      <c r="Y42" s="3835" t="s">
        <v>407</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835"/>
      <c r="Q43" s="1323">
        <f t="shared" si="14"/>
        <v>111</v>
      </c>
      <c r="R43" s="1324" t="s">
        <v>65</v>
      </c>
      <c r="S43" s="1325">
        <f t="shared" si="10"/>
        <v>100</v>
      </c>
      <c r="T43" s="1324" t="s">
        <v>65</v>
      </c>
      <c r="U43" s="1325">
        <f t="shared" si="11"/>
        <v>100</v>
      </c>
      <c r="V43" s="1324" t="s">
        <v>65</v>
      </c>
      <c r="W43" s="1325">
        <f t="shared" si="12"/>
        <v>100</v>
      </c>
      <c r="X43" s="1318"/>
      <c r="Y43" s="3835"/>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835"/>
      <c r="Q44" s="1323">
        <f t="shared" si="14"/>
        <v>111</v>
      </c>
      <c r="R44" s="1324" t="s">
        <v>65</v>
      </c>
      <c r="S44" s="1325">
        <f t="shared" si="10"/>
        <v>100</v>
      </c>
      <c r="T44" s="1324" t="s">
        <v>65</v>
      </c>
      <c r="U44" s="1325">
        <f t="shared" si="11"/>
        <v>100</v>
      </c>
      <c r="V44" s="1324" t="s">
        <v>65</v>
      </c>
      <c r="W44" s="1325">
        <f t="shared" si="12"/>
        <v>100</v>
      </c>
      <c r="X44" s="1318"/>
      <c r="Y44" s="3835"/>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835"/>
      <c r="Q45" s="1323">
        <f t="shared" si="14"/>
        <v>111</v>
      </c>
      <c r="R45" s="1329" t="s">
        <v>65</v>
      </c>
      <c r="S45" s="1330">
        <f t="shared" si="10"/>
        <v>100</v>
      </c>
      <c r="T45" s="1329" t="s">
        <v>65</v>
      </c>
      <c r="U45" s="1330">
        <f t="shared" si="11"/>
        <v>100</v>
      </c>
      <c r="V45" s="1329" t="s">
        <v>65</v>
      </c>
      <c r="W45" s="1330">
        <f t="shared" si="12"/>
        <v>100</v>
      </c>
      <c r="X45" s="1331"/>
      <c r="Y45" s="3835"/>
      <c r="Z45" s="1332">
        <f t="shared" si="13"/>
        <v>111</v>
      </c>
      <c r="AA45" s="1327">
        <f t="shared" si="3"/>
        <v>1</v>
      </c>
      <c r="AB45" s="1327">
        <f t="shared" si="4"/>
        <v>1</v>
      </c>
      <c r="AC45" s="1327">
        <f t="shared" si="5"/>
        <v>1</v>
      </c>
    </row>
    <row r="46" spans="1:29" ht="15">
      <c r="A46" s="822" t="s">
        <v>488</v>
      </c>
      <c r="B46" s="207" t="s">
        <v>158</v>
      </c>
      <c r="C46" s="1091" t="s">
        <v>23</v>
      </c>
      <c r="D46" s="824"/>
      <c r="E46" s="825"/>
      <c r="F46" s="826"/>
      <c r="G46" s="827"/>
      <c r="H46" s="828"/>
      <c r="I46" s="825"/>
      <c r="J46" s="828"/>
      <c r="K46" s="1400"/>
      <c r="L46" s="2362"/>
      <c r="M46" s="2363"/>
      <c r="N46" s="2350"/>
      <c r="O46" s="2363"/>
      <c r="P46" s="3827" t="str">
        <f>A46</f>
        <v>成交单价</v>
      </c>
      <c r="Q46" s="3827"/>
      <c r="R46" s="3855">
        <f>E46</f>
        <v>0</v>
      </c>
      <c r="S46" s="3855"/>
      <c r="T46" s="3855">
        <f>G46</f>
        <v>0</v>
      </c>
      <c r="U46" s="3855"/>
      <c r="V46" s="3855">
        <f>I46</f>
        <v>0</v>
      </c>
      <c r="W46" s="3855"/>
      <c r="X46" s="1307"/>
      <c r="Y46" s="1333"/>
      <c r="Z46" s="1307"/>
      <c r="AA46" s="1307"/>
      <c r="AB46" s="1307"/>
      <c r="AC46" s="1307"/>
    </row>
    <row r="47" spans="1:29" ht="15.75" thickBot="1">
      <c r="A47" s="829" t="s">
        <v>409</v>
      </c>
      <c r="B47" s="1092"/>
      <c r="C47" s="833" t="e">
        <f>R48</f>
        <v>#DIV/0!</v>
      </c>
      <c r="D47" s="832"/>
      <c r="E47" s="833" t="e">
        <f>R47</f>
        <v>#DIV/0!</v>
      </c>
      <c r="F47" s="834"/>
      <c r="G47" s="831" t="e">
        <f>T47</f>
        <v>#DIV/0!</v>
      </c>
      <c r="H47" s="832"/>
      <c r="I47" s="833" t="e">
        <f>V47</f>
        <v>#DIV/0!</v>
      </c>
      <c r="J47" s="832"/>
      <c r="K47" s="1401"/>
      <c r="L47" s="2362"/>
      <c r="M47" s="2363"/>
      <c r="N47" s="2363"/>
      <c r="O47" s="2363"/>
      <c r="P47" s="3827" t="str">
        <f>A47</f>
        <v>比较价值（元/平方米）</v>
      </c>
      <c r="Q47" s="3827"/>
      <c r="R47" s="3867" t="e">
        <f>ROUND(PRODUCT(R46,AA7:AA45),0)</f>
        <v>#DIV/0!</v>
      </c>
      <c r="S47" s="3867"/>
      <c r="T47" s="3867" t="e">
        <f>ROUND(PRODUCT(T46,AB7:AB45),0)</f>
        <v>#DIV/0!</v>
      </c>
      <c r="U47" s="3867"/>
      <c r="V47" s="3867" t="e">
        <f>ROUND(PRODUCT(V46,AC7:AC45),0)</f>
        <v>#DIV/0!</v>
      </c>
      <c r="W47" s="3867"/>
      <c r="X47" s="1307"/>
      <c r="Y47" s="1307"/>
      <c r="Z47" s="1307"/>
      <c r="AA47" s="1307"/>
      <c r="AB47" s="1307"/>
      <c r="AC47" s="1307"/>
    </row>
    <row r="48" spans="1:29" ht="15.75" thickBot="1">
      <c r="A48" s="115" t="s">
        <v>514</v>
      </c>
      <c r="B48" s="836"/>
      <c r="C48" s="837" t="e">
        <f>R48</f>
        <v>#DIV/0!</v>
      </c>
      <c r="D48" s="837"/>
      <c r="E48" s="837"/>
      <c r="F48" s="837"/>
      <c r="G48" s="837"/>
      <c r="H48" s="837"/>
      <c r="I48" s="837"/>
      <c r="J48" s="837"/>
      <c r="K48" s="1402"/>
      <c r="L48" s="2362"/>
      <c r="M48" s="2363"/>
      <c r="N48" s="2363"/>
      <c r="O48" s="2363"/>
      <c r="P48" s="3829" t="str">
        <f>A48</f>
        <v>估价对象XX用房的比较价值（楼面单价，元/平方米）</v>
      </c>
      <c r="Q48" s="3830"/>
      <c r="R48" s="3868" t="e">
        <f>ROUND(AVERAGE(R47:V47),0)</f>
        <v>#DIV/0!</v>
      </c>
      <c r="S48" s="3868"/>
      <c r="T48" s="3868"/>
      <c r="U48" s="3868"/>
      <c r="V48" s="3868"/>
      <c r="W48" s="3868"/>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489</v>
      </c>
      <c r="B55" s="1094" t="s">
        <v>490</v>
      </c>
      <c r="C55" s="1778" t="s">
        <v>1885</v>
      </c>
      <c r="D55" s="2394" t="s">
        <v>2325</v>
      </c>
      <c r="E55" s="1095" t="s">
        <v>491</v>
      </c>
      <c r="F55" s="2191" t="s">
        <v>492</v>
      </c>
      <c r="G55" s="3869" t="s">
        <v>2318</v>
      </c>
      <c r="H55" s="3870"/>
      <c r="I55" s="2192" t="s">
        <v>1884</v>
      </c>
      <c r="J55" s="2196">
        <f>项目基本情况!F35</f>
        <v>0</v>
      </c>
      <c r="K55" s="2377" t="s">
        <v>1886</v>
      </c>
      <c r="L55" s="2190"/>
      <c r="M55" s="2363"/>
      <c r="N55" s="2363"/>
      <c r="O55" s="2363"/>
    </row>
    <row r="56" spans="1:15" s="1101" customFormat="1">
      <c r="A56" s="1097" t="s">
        <v>493</v>
      </c>
      <c r="B56" s="1098" t="e">
        <f>C48</f>
        <v>#DIV/0!</v>
      </c>
      <c r="C56" s="1099">
        <v>1</v>
      </c>
      <c r="D56" s="2395">
        <v>1</v>
      </c>
      <c r="E56" s="1099">
        <f>'数据-汇总表'!E8+'数据-汇总表'!E9</f>
        <v>266233.45999999985</v>
      </c>
      <c r="F56" s="2187" t="e">
        <f t="shared" ref="F56:F65" si="15">ROUND(B56*E56/10000,0)</f>
        <v>#DIV/0!</v>
      </c>
      <c r="G56" s="3871"/>
      <c r="H56" s="3872"/>
      <c r="I56" s="2193">
        <v>1</v>
      </c>
      <c r="J56" s="2197">
        <v>1</v>
      </c>
      <c r="K56" s="2364"/>
      <c r="L56" s="1775"/>
      <c r="M56" s="1775"/>
      <c r="N56" s="1775"/>
      <c r="O56" s="1775"/>
    </row>
    <row r="57" spans="1:15" s="1101" customFormat="1">
      <c r="A57" s="1102" t="s">
        <v>494</v>
      </c>
      <c r="B57" s="594" t="e">
        <f>ROUND($C$48*C57*D57,0)</f>
        <v>#DIV/0!</v>
      </c>
      <c r="C57" s="532">
        <f t="shared" ref="C57:C65" si="16">IF($C$55="北京市系数",I57,J57)</f>
        <v>0.6</v>
      </c>
      <c r="D57" s="2396">
        <v>0.25</v>
      </c>
      <c r="E57" s="1103"/>
      <c r="F57" s="2187" t="e">
        <f t="shared" si="15"/>
        <v>#DIV/0!</v>
      </c>
      <c r="G57" s="3873" t="s">
        <v>2319</v>
      </c>
      <c r="H57" s="2188" t="str">
        <f>项目基本情况!B37</f>
        <v>十二级</v>
      </c>
      <c r="I57" s="2193">
        <f>SUMIF(修正!A45:A56,H57,修正!B45:B56)</f>
        <v>0.6</v>
      </c>
      <c r="J57" s="2198"/>
      <c r="K57" s="2363"/>
      <c r="L57" s="1775"/>
      <c r="M57" s="1775"/>
      <c r="N57" s="1775"/>
      <c r="O57" s="1775"/>
    </row>
    <row r="58" spans="1:15" s="1101" customFormat="1">
      <c r="A58" s="1102" t="s">
        <v>495</v>
      </c>
      <c r="B58" s="594" t="e">
        <f t="shared" ref="B58:B65" si="17">ROUND($C$48*C58*D58,0)</f>
        <v>#DIV/0!</v>
      </c>
      <c r="C58" s="532">
        <f t="shared" si="16"/>
        <v>0.3</v>
      </c>
      <c r="D58" s="2396">
        <v>0.25</v>
      </c>
      <c r="E58" s="1103"/>
      <c r="F58" s="2187" t="e">
        <f t="shared" si="15"/>
        <v>#DIV/0!</v>
      </c>
      <c r="G58" s="3873"/>
      <c r="H58" s="2188" t="str">
        <f>项目基本情况!B37</f>
        <v>十二级</v>
      </c>
      <c r="I58" s="2193">
        <f>SUMIF(修正!A45:A56,H58,修正!C45:C56)</f>
        <v>0.3</v>
      </c>
      <c r="J58" s="2198"/>
      <c r="K58" s="2364"/>
      <c r="L58" s="1775"/>
      <c r="M58" s="1775"/>
      <c r="N58" s="1775"/>
      <c r="O58" s="1775"/>
    </row>
    <row r="59" spans="1:15" s="1101" customFormat="1">
      <c r="A59" s="1102" t="s">
        <v>496</v>
      </c>
      <c r="B59" s="594" t="e">
        <f t="shared" si="17"/>
        <v>#DIV/0!</v>
      </c>
      <c r="C59" s="532">
        <f t="shared" si="16"/>
        <v>0.2</v>
      </c>
      <c r="D59" s="2396">
        <v>0.25</v>
      </c>
      <c r="E59" s="1103"/>
      <c r="F59" s="2187" t="e">
        <f t="shared" si="15"/>
        <v>#DIV/0!</v>
      </c>
      <c r="G59" s="3873"/>
      <c r="H59" s="2188" t="str">
        <f>项目基本情况!B37</f>
        <v>十二级</v>
      </c>
      <c r="I59" s="2193">
        <f>SUMIF(修正!A45:A56,H59,修正!D45:D56)</f>
        <v>0.2</v>
      </c>
      <c r="J59" s="2198"/>
      <c r="K59" s="2363"/>
      <c r="L59" s="1775"/>
      <c r="M59" s="1775"/>
      <c r="N59" s="1775"/>
      <c r="O59" s="1775"/>
    </row>
    <row r="60" spans="1:15" s="1101" customFormat="1">
      <c r="A60" s="1102" t="s">
        <v>497</v>
      </c>
      <c r="B60" s="594" t="e">
        <f t="shared" si="17"/>
        <v>#DIV/0!</v>
      </c>
      <c r="C60" s="532">
        <f t="shared" si="16"/>
        <v>0.2</v>
      </c>
      <c r="D60" s="2396">
        <v>0.25</v>
      </c>
      <c r="E60" s="1103"/>
      <c r="F60" s="2187" t="e">
        <f t="shared" si="15"/>
        <v>#DIV/0!</v>
      </c>
      <c r="G60" s="3873"/>
      <c r="H60" s="2188" t="str">
        <f>项目基本情况!B37</f>
        <v>十二级</v>
      </c>
      <c r="I60" s="2193">
        <f>SUMIF(修正!A45:A56,H60,修正!E45:E56)</f>
        <v>0.2</v>
      </c>
      <c r="J60" s="2198"/>
      <c r="K60" s="2364"/>
      <c r="L60" s="1775"/>
      <c r="M60" s="1775"/>
      <c r="N60" s="1775"/>
      <c r="O60" s="1775"/>
    </row>
    <row r="61" spans="1:15" s="1101" customFormat="1">
      <c r="A61" s="2516" t="s">
        <v>2400</v>
      </c>
      <c r="B61" s="594" t="e">
        <f t="shared" si="17"/>
        <v>#DIV/0!</v>
      </c>
      <c r="C61" s="532">
        <f t="shared" si="16"/>
        <v>0.2</v>
      </c>
      <c r="D61" s="2396">
        <v>0.25</v>
      </c>
      <c r="E61" s="593">
        <f>'数据-汇总表'!E11</f>
        <v>0</v>
      </c>
      <c r="F61" s="2187" t="e">
        <f t="shared" si="15"/>
        <v>#DIV/0!</v>
      </c>
      <c r="G61" s="2200" t="s">
        <v>2320</v>
      </c>
      <c r="H61" s="2188" t="str">
        <f>项目基本情况!C37</f>
        <v>十二级</v>
      </c>
      <c r="I61" s="2193">
        <f>SUMIF(修正!A45:A56,H61,修正!F45:F56)</f>
        <v>0.2</v>
      </c>
      <c r="J61" s="2198"/>
      <c r="K61" s="2363"/>
      <c r="L61" s="1775"/>
      <c r="M61" s="1775"/>
      <c r="N61" s="1775"/>
      <c r="O61" s="1775"/>
    </row>
    <row r="62" spans="1:15" s="1101" customFormat="1">
      <c r="A62" s="1102" t="s">
        <v>498</v>
      </c>
      <c r="B62" s="594" t="e">
        <f t="shared" si="17"/>
        <v>#DIV/0!</v>
      </c>
      <c r="C62" s="532">
        <f t="shared" si="16"/>
        <v>0.2</v>
      </c>
      <c r="D62" s="2396">
        <v>0.25</v>
      </c>
      <c r="E62" s="593">
        <f>'数据-汇总表'!E12</f>
        <v>0</v>
      </c>
      <c r="F62" s="2187" t="e">
        <f t="shared" si="15"/>
        <v>#DIV/0!</v>
      </c>
      <c r="G62" s="2194" t="s">
        <v>141</v>
      </c>
      <c r="H62" s="2188" t="str">
        <f>IF(G62="商业",项目基本情况!B37,IF(G62="办公",项目基本情况!C37,IF(G62="住宅",项目基本情况!D37,项目基本情况!E37)))</f>
        <v>十二级</v>
      </c>
      <c r="I62" s="2193">
        <f>SUMIF(修正!A45:A56,H62,修正!G45:G56)</f>
        <v>0.2</v>
      </c>
      <c r="J62" s="2198"/>
      <c r="K62" s="2364"/>
      <c r="L62" s="1775"/>
      <c r="M62" s="1775"/>
      <c r="N62" s="1775"/>
      <c r="O62" s="1775"/>
    </row>
    <row r="63" spans="1:15" s="1101" customFormat="1">
      <c r="A63" s="1102" t="s">
        <v>499</v>
      </c>
      <c r="B63" s="594" t="e">
        <f t="shared" si="17"/>
        <v>#DIV/0!</v>
      </c>
      <c r="C63" s="532">
        <f t="shared" si="16"/>
        <v>0.15</v>
      </c>
      <c r="D63" s="2396">
        <v>0.25</v>
      </c>
      <c r="E63" s="593">
        <f>'数据-汇总表'!E13</f>
        <v>0</v>
      </c>
      <c r="F63" s="2187" t="e">
        <f t="shared" si="15"/>
        <v>#DIV/0!</v>
      </c>
      <c r="G63" s="2194" t="s">
        <v>40</v>
      </c>
      <c r="H63" s="2188" t="str">
        <f>IF(G63="商业",项目基本情况!B37,IF(G63="办公",项目基本情况!C37,IF(G63="住宅",项目基本情况!D37,项目基本情况!E37)))</f>
        <v>十二级</v>
      </c>
      <c r="I63" s="2193">
        <f>SUMIF(修正!A45:A56,H63,修正!H45:H56)</f>
        <v>0.15</v>
      </c>
      <c r="J63" s="2198"/>
      <c r="K63" s="2363"/>
      <c r="L63" s="1775"/>
      <c r="M63" s="1775"/>
      <c r="N63" s="1775"/>
      <c r="O63" s="1775"/>
    </row>
    <row r="64" spans="1:15" s="1101" customFormat="1">
      <c r="A64" s="1102" t="s">
        <v>500</v>
      </c>
      <c r="B64" s="594" t="e">
        <f t="shared" si="17"/>
        <v>#DIV/0!</v>
      </c>
      <c r="C64" s="532">
        <f t="shared" si="16"/>
        <v>0.15</v>
      </c>
      <c r="D64" s="2396">
        <v>0.25</v>
      </c>
      <c r="E64" s="593">
        <f>'数据-汇总表'!E14</f>
        <v>0</v>
      </c>
      <c r="F64" s="2187" t="e">
        <f t="shared" si="15"/>
        <v>#DIV/0!</v>
      </c>
      <c r="G64" s="2200" t="s">
        <v>2321</v>
      </c>
      <c r="H64" s="2188" t="str">
        <f>项目基本情况!B37</f>
        <v>十二级</v>
      </c>
      <c r="I64" s="2193">
        <f>SUMIF(修正!A45:A56,H64,修正!H45:H56)</f>
        <v>0.15</v>
      </c>
      <c r="J64" s="2198"/>
      <c r="K64" s="2364"/>
      <c r="L64" s="1775"/>
      <c r="M64" s="1775"/>
      <c r="N64" s="1775"/>
      <c r="O64" s="1775"/>
    </row>
    <row r="65" spans="1:17" s="1101" customFormat="1" ht="15" thickBot="1">
      <c r="A65" s="1102" t="s">
        <v>501</v>
      </c>
      <c r="B65" s="594" t="e">
        <f t="shared" si="17"/>
        <v>#DIV/0!</v>
      </c>
      <c r="C65" s="532">
        <f t="shared" si="16"/>
        <v>0.15</v>
      </c>
      <c r="D65" s="2396">
        <v>0.25</v>
      </c>
      <c r="E65" s="593">
        <f>'数据-汇总表'!E15</f>
        <v>0</v>
      </c>
      <c r="F65" s="2187" t="e">
        <f t="shared" si="15"/>
        <v>#DIV/0!</v>
      </c>
      <c r="G65" s="2201" t="s">
        <v>2320</v>
      </c>
      <c r="H65" s="2202" t="str">
        <f>项目基本情况!C37</f>
        <v>十二级</v>
      </c>
      <c r="I65" s="2195">
        <f>SUMIF(修正!A45:A56,H65,修正!H45:H56)</f>
        <v>0.15</v>
      </c>
      <c r="J65" s="2199"/>
      <c r="K65" s="2363"/>
      <c r="L65" s="1775"/>
      <c r="M65" s="1775"/>
      <c r="N65" s="1775"/>
      <c r="O65" s="1775"/>
    </row>
    <row r="66" spans="1:17" s="1101" customFormat="1" ht="13.5" thickBot="1">
      <c r="A66" s="1104" t="s">
        <v>502</v>
      </c>
      <c r="B66" s="1105" t="s">
        <v>156</v>
      </c>
      <c r="C66" s="1105" t="s">
        <v>157</v>
      </c>
      <c r="D66" s="1105" t="s">
        <v>2326</v>
      </c>
      <c r="E66" s="1105">
        <f>IF(B46="楼面地价",SUM(E56:E65),'数据-汇总表'!D3)</f>
        <v>266233.45999999985</v>
      </c>
      <c r="F66" s="1106" t="e">
        <f>IF(B46="楼面地价",SUM(F56:F65),ROUND(C48*E66/10000,0))</f>
        <v>#DIV/0!</v>
      </c>
      <c r="G66" s="1415"/>
      <c r="H66" s="1415"/>
      <c r="I66" s="1415"/>
      <c r="J66" s="1415"/>
      <c r="K66" s="2378"/>
      <c r="L66" s="1775"/>
      <c r="M66" s="1775"/>
      <c r="N66" s="1775"/>
      <c r="O66" s="1775"/>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413</v>
      </c>
      <c r="B69" s="1307"/>
      <c r="C69" s="1312"/>
      <c r="D69" s="1312"/>
      <c r="E69" s="1312"/>
      <c r="F69" s="1313"/>
      <c r="G69" s="1313"/>
      <c r="H69" s="1312"/>
      <c r="I69" s="1312"/>
      <c r="J69" s="2379"/>
      <c r="K69" s="2380"/>
      <c r="L69" s="2381"/>
      <c r="M69" s="2379"/>
      <c r="N69" s="2379"/>
      <c r="O69" s="2379"/>
      <c r="P69" s="846"/>
      <c r="Q69" s="847"/>
    </row>
    <row r="70" spans="1:17" s="851" customFormat="1" ht="15">
      <c r="A70" s="2707" t="s">
        <v>2792</v>
      </c>
      <c r="B70" s="2708"/>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50"/>
    </row>
    <row r="71" spans="1:17" s="407" customFormat="1" ht="30" customHeight="1">
      <c r="A71" s="3045"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6"/>
      <c r="N71" s="938"/>
      <c r="O71" s="3037"/>
      <c r="P71" s="847"/>
    </row>
    <row r="72" spans="1:17" s="407" customFormat="1" ht="15.75" thickBot="1">
      <c r="A72" s="858" t="s">
        <v>414</v>
      </c>
      <c r="B72" s="859"/>
      <c r="C72" s="860"/>
      <c r="D72" s="861"/>
      <c r="E72" s="861"/>
      <c r="F72" s="861"/>
      <c r="G72" s="861"/>
      <c r="H72" s="861"/>
      <c r="I72" s="861"/>
      <c r="J72" s="861"/>
      <c r="K72" s="861"/>
      <c r="L72" s="861"/>
      <c r="M72" s="862"/>
      <c r="N72" s="861"/>
      <c r="O72" s="2382"/>
      <c r="P72" s="847"/>
      <c r="Q72" s="847"/>
    </row>
    <row r="73" spans="1:17" s="407" customFormat="1" ht="15">
      <c r="A73" s="864" t="s">
        <v>398</v>
      </c>
      <c r="B73" s="853"/>
      <c r="C73" s="865" t="s">
        <v>415</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416</v>
      </c>
      <c r="B75" s="871" t="s">
        <v>417</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402</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15.75" thickTop="1">
      <c r="A96" s="922"/>
      <c r="B96" s="881" t="s">
        <v>504</v>
      </c>
      <c r="C96" s="921" t="s">
        <v>423</v>
      </c>
      <c r="D96" s="921" t="s">
        <v>424</v>
      </c>
      <c r="E96" s="921" t="s">
        <v>425</v>
      </c>
      <c r="F96" s="921" t="s">
        <v>426</v>
      </c>
      <c r="G96" s="921" t="s">
        <v>427</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2668</v>
      </c>
      <c r="C100" s="916" t="s">
        <v>423</v>
      </c>
      <c r="D100" s="916" t="s">
        <v>424</v>
      </c>
      <c r="E100" s="916" t="s">
        <v>425</v>
      </c>
      <c r="F100" s="916" t="s">
        <v>426</v>
      </c>
      <c r="G100" s="916" t="s">
        <v>427</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2655</v>
      </c>
      <c r="C102" s="213" t="s">
        <v>2656</v>
      </c>
      <c r="D102" s="213" t="s">
        <v>2657</v>
      </c>
      <c r="E102" s="213" t="s">
        <v>2658</v>
      </c>
      <c r="F102" s="213" t="s">
        <v>2659</v>
      </c>
      <c r="G102" s="213" t="s">
        <v>2660</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440</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483</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406</v>
      </c>
      <c r="B116" s="871" t="s">
        <v>510</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511</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512</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2499</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513</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343</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344</v>
      </c>
      <c r="B3" s="952" t="e">
        <f>ROUND(IF(D3="",B2*10000/'数据-汇总表'!E3,B2*10000/D3),0)</f>
        <v>#DIV/0!</v>
      </c>
      <c r="C3" s="579" t="s">
        <v>2888</v>
      </c>
      <c r="D3" s="3058"/>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388</v>
      </c>
      <c r="B4" s="745"/>
      <c r="C4" s="3839" t="s">
        <v>389</v>
      </c>
      <c r="D4" s="3840"/>
      <c r="E4" s="3841" t="s">
        <v>390</v>
      </c>
      <c r="F4" s="3842"/>
      <c r="G4" s="3839" t="s">
        <v>391</v>
      </c>
      <c r="H4" s="3840"/>
      <c r="I4" s="3839" t="s">
        <v>392</v>
      </c>
      <c r="J4" s="3840"/>
      <c r="K4" s="953" t="s">
        <v>393</v>
      </c>
      <c r="L4" s="2349"/>
      <c r="M4" s="2350"/>
      <c r="N4" s="2350"/>
      <c r="O4" s="2350"/>
      <c r="P4" s="3843" t="s">
        <v>394</v>
      </c>
      <c r="Q4" s="3844"/>
      <c r="R4" s="3849" t="s">
        <v>390</v>
      </c>
      <c r="S4" s="3850"/>
      <c r="T4" s="3849" t="s">
        <v>391</v>
      </c>
      <c r="U4" s="3850"/>
      <c r="V4" s="3855" t="s">
        <v>392</v>
      </c>
      <c r="W4" s="3855"/>
      <c r="X4" s="1318"/>
      <c r="Y4" s="3849" t="s">
        <v>394</v>
      </c>
      <c r="Z4" s="3850"/>
      <c r="AA4" s="3836" t="s">
        <v>390</v>
      </c>
      <c r="AB4" s="3837" t="s">
        <v>391</v>
      </c>
      <c r="AC4" s="3836" t="s">
        <v>392</v>
      </c>
    </row>
    <row r="5" spans="1:29" ht="15">
      <c r="A5" s="747"/>
      <c r="B5" s="748"/>
      <c r="C5" s="3802" t="s">
        <v>1124</v>
      </c>
      <c r="D5" s="3803"/>
      <c r="E5" s="3809" t="s">
        <v>1125</v>
      </c>
      <c r="F5" s="3810"/>
      <c r="G5" s="3802" t="s">
        <v>1128</v>
      </c>
      <c r="H5" s="3803"/>
      <c r="I5" s="3802" t="s">
        <v>1126</v>
      </c>
      <c r="J5" s="3803"/>
      <c r="K5" s="953"/>
      <c r="L5" s="2349"/>
      <c r="M5" s="2350"/>
      <c r="N5" s="2350"/>
      <c r="O5" s="2350"/>
      <c r="P5" s="3845"/>
      <c r="Q5" s="3846"/>
      <c r="R5" s="3851"/>
      <c r="S5" s="3852"/>
      <c r="T5" s="3851"/>
      <c r="U5" s="3852"/>
      <c r="V5" s="3855"/>
      <c r="W5" s="3855"/>
      <c r="X5" s="1318"/>
      <c r="Y5" s="3851"/>
      <c r="Z5" s="3852"/>
      <c r="AA5" s="3837"/>
      <c r="AB5" s="3837"/>
      <c r="AC5" s="3837"/>
    </row>
    <row r="6" spans="1:29" ht="15.75" thickBot="1">
      <c r="A6" s="749"/>
      <c r="B6" s="750"/>
      <c r="C6" s="3874" t="s">
        <v>1127</v>
      </c>
      <c r="D6" s="3875"/>
      <c r="E6" s="3876" t="s">
        <v>1127</v>
      </c>
      <c r="F6" s="3877"/>
      <c r="G6" s="3874" t="s">
        <v>1127</v>
      </c>
      <c r="H6" s="3875"/>
      <c r="I6" s="3874" t="s">
        <v>1127</v>
      </c>
      <c r="J6" s="3875"/>
      <c r="K6" s="953" t="s">
        <v>395</v>
      </c>
      <c r="L6" s="2349"/>
      <c r="M6" s="2350"/>
      <c r="N6" s="2350"/>
      <c r="O6" s="2350"/>
      <c r="P6" s="3847"/>
      <c r="Q6" s="3848"/>
      <c r="R6" s="3851"/>
      <c r="S6" s="3852"/>
      <c r="T6" s="3853"/>
      <c r="U6" s="3854"/>
      <c r="V6" s="3855"/>
      <c r="W6" s="3855"/>
      <c r="X6" s="1318"/>
      <c r="Y6" s="3853"/>
      <c r="Z6" s="3854"/>
      <c r="AA6" s="3838"/>
      <c r="AB6" s="3838"/>
      <c r="AC6" s="3838"/>
    </row>
    <row r="7" spans="1:29" s="407" customFormat="1" ht="15.75" thickBot="1">
      <c r="A7" s="751" t="s">
        <v>396</v>
      </c>
      <c r="B7" s="752"/>
      <c r="C7" s="753">
        <f>'数据-取费表'!B2</f>
        <v>42941</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860" t="s">
        <v>397</v>
      </c>
      <c r="Q7" s="3862"/>
      <c r="R7" s="1319" t="s">
        <v>65</v>
      </c>
      <c r="S7" s="1320">
        <f t="shared" ref="S7:S15" si="0">F7</f>
        <v>0</v>
      </c>
      <c r="T7" s="1319" t="s">
        <v>65</v>
      </c>
      <c r="U7" s="1320">
        <f t="shared" ref="U7:U15" si="1">H7</f>
        <v>0</v>
      </c>
      <c r="V7" s="1319" t="s">
        <v>65</v>
      </c>
      <c r="W7" s="1320">
        <f t="shared" ref="W7:W15" si="2">J7</f>
        <v>0</v>
      </c>
      <c r="X7" s="1321"/>
      <c r="Y7" s="3860" t="s">
        <v>397</v>
      </c>
      <c r="Z7" s="3861"/>
      <c r="AA7" s="1322" t="e">
        <f>D7/F7</f>
        <v>#DIV/0!</v>
      </c>
      <c r="AB7" s="1322" t="e">
        <f>D7/H7</f>
        <v>#DIV/0!</v>
      </c>
      <c r="AC7" s="1322" t="e">
        <f>D7/J7</f>
        <v>#DIV/0!</v>
      </c>
    </row>
    <row r="8" spans="1:29" s="407" customFormat="1" ht="15.75" thickBot="1">
      <c r="A8" s="751" t="s">
        <v>398</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860" t="s">
        <v>433</v>
      </c>
      <c r="Q8" s="3861"/>
      <c r="R8" s="1319" t="s">
        <v>65</v>
      </c>
      <c r="S8" s="1320">
        <f t="shared" si="0"/>
        <v>0</v>
      </c>
      <c r="T8" s="1319" t="s">
        <v>65</v>
      </c>
      <c r="U8" s="1320">
        <f t="shared" si="1"/>
        <v>0</v>
      </c>
      <c r="V8" s="1319" t="s">
        <v>65</v>
      </c>
      <c r="W8" s="1320">
        <f t="shared" si="2"/>
        <v>0</v>
      </c>
      <c r="X8" s="1321"/>
      <c r="Y8" s="3860" t="s">
        <v>433</v>
      </c>
      <c r="Z8" s="3861"/>
      <c r="AA8" s="1322" t="e">
        <f t="shared" ref="AA8:AA40" si="3">D8/F8</f>
        <v>#DIV/0!</v>
      </c>
      <c r="AB8" s="1322" t="e">
        <f t="shared" ref="AB8:AB40" si="4">D8/H8</f>
        <v>#DIV/0!</v>
      </c>
      <c r="AC8" s="1322"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827" t="s">
        <v>400</v>
      </c>
      <c r="Q9" s="296" t="str">
        <f t="shared" ref="Q9:Q15" si="6">B9</f>
        <v>用途</v>
      </c>
      <c r="R9" s="1319" t="s">
        <v>65</v>
      </c>
      <c r="S9" s="1320">
        <f t="shared" si="0"/>
        <v>100</v>
      </c>
      <c r="T9" s="1319" t="s">
        <v>65</v>
      </c>
      <c r="U9" s="1320">
        <f t="shared" si="1"/>
        <v>100</v>
      </c>
      <c r="V9" s="1319" t="s">
        <v>65</v>
      </c>
      <c r="W9" s="1320">
        <f t="shared" si="2"/>
        <v>100</v>
      </c>
      <c r="X9" s="1321"/>
      <c r="Y9" s="3633" t="s">
        <v>401</v>
      </c>
      <c r="Z9" s="344" t="str">
        <f t="shared" ref="Z9:Z15" si="7">Q9</f>
        <v>用途</v>
      </c>
      <c r="AA9" s="1322">
        <f t="shared" si="3"/>
        <v>1</v>
      </c>
      <c r="AB9" s="1322">
        <f t="shared" si="4"/>
        <v>1</v>
      </c>
      <c r="AC9" s="1322">
        <f t="shared" si="5"/>
        <v>1</v>
      </c>
    </row>
    <row r="10" spans="1:29" s="770" customFormat="1" ht="27">
      <c r="A10" s="764"/>
      <c r="B10" s="765" t="s">
        <v>402</v>
      </c>
      <c r="C10" s="1024"/>
      <c r="D10" s="426">
        <v>100</v>
      </c>
      <c r="E10" s="1024"/>
      <c r="F10" s="426">
        <f>ROUND(100/'数据-取费表'!G16,0)</f>
        <v>105</v>
      </c>
      <c r="G10" s="1024"/>
      <c r="H10" s="426">
        <f>ROUND(100/'数据-取费表'!G16,0)</f>
        <v>105</v>
      </c>
      <c r="I10" s="1024"/>
      <c r="J10" s="426">
        <f>ROUND(100/'数据-取费表'!G16,0)</f>
        <v>105</v>
      </c>
      <c r="K10" s="1081"/>
      <c r="L10" s="2354"/>
      <c r="M10" s="2355"/>
      <c r="N10" s="2355"/>
      <c r="O10" s="2356"/>
      <c r="P10" s="3827"/>
      <c r="Q10" s="296" t="str">
        <f t="shared" si="6"/>
        <v>土地使用年限（年）</v>
      </c>
      <c r="R10" s="1319" t="s">
        <v>65</v>
      </c>
      <c r="S10" s="1320">
        <f t="shared" si="0"/>
        <v>105</v>
      </c>
      <c r="T10" s="1319" t="s">
        <v>65</v>
      </c>
      <c r="U10" s="1320">
        <f t="shared" si="1"/>
        <v>105</v>
      </c>
      <c r="V10" s="1319" t="s">
        <v>65</v>
      </c>
      <c r="W10" s="1320">
        <f t="shared" si="2"/>
        <v>105</v>
      </c>
      <c r="X10" s="1321"/>
      <c r="Y10" s="3633"/>
      <c r="Z10" s="344" t="str">
        <f t="shared" si="7"/>
        <v>土地使用年限（年）</v>
      </c>
      <c r="AA10" s="1322">
        <f t="shared" si="3"/>
        <v>0.95238095238095233</v>
      </c>
      <c r="AB10" s="1322">
        <f t="shared" si="4"/>
        <v>0.95238095238095233</v>
      </c>
      <c r="AC10" s="1322">
        <f t="shared" si="5"/>
        <v>0.95238095238095233</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827"/>
      <c r="Q11" s="296" t="str">
        <f t="shared" si="6"/>
        <v>容积率</v>
      </c>
      <c r="R11" s="1319" t="s">
        <v>65</v>
      </c>
      <c r="S11" s="1320" t="e">
        <f t="shared" si="0"/>
        <v>#N/A</v>
      </c>
      <c r="T11" s="1319" t="s">
        <v>65</v>
      </c>
      <c r="U11" s="1320" t="e">
        <f t="shared" si="1"/>
        <v>#N/A</v>
      </c>
      <c r="V11" s="1319" t="s">
        <v>65</v>
      </c>
      <c r="W11" s="1320" t="e">
        <f t="shared" si="2"/>
        <v>#N/A</v>
      </c>
      <c r="X11" s="1321"/>
      <c r="Y11" s="3633"/>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827"/>
      <c r="Q12" s="296">
        <f t="shared" si="6"/>
        <v>111</v>
      </c>
      <c r="R12" s="1319" t="s">
        <v>65</v>
      </c>
      <c r="S12" s="1320">
        <f t="shared" si="0"/>
        <v>100</v>
      </c>
      <c r="T12" s="1319" t="s">
        <v>65</v>
      </c>
      <c r="U12" s="1320">
        <f t="shared" si="1"/>
        <v>100</v>
      </c>
      <c r="V12" s="1319" t="s">
        <v>65</v>
      </c>
      <c r="W12" s="1320">
        <f t="shared" si="2"/>
        <v>100</v>
      </c>
      <c r="X12" s="1321"/>
      <c r="Y12" s="3633"/>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827"/>
      <c r="Q13" s="296">
        <f t="shared" si="6"/>
        <v>111</v>
      </c>
      <c r="R13" s="1319" t="s">
        <v>65</v>
      </c>
      <c r="S13" s="1320">
        <f t="shared" si="0"/>
        <v>100</v>
      </c>
      <c r="T13" s="1319" t="s">
        <v>65</v>
      </c>
      <c r="U13" s="1320">
        <f t="shared" si="1"/>
        <v>100</v>
      </c>
      <c r="V13" s="1319" t="s">
        <v>65</v>
      </c>
      <c r="W13" s="1320">
        <f t="shared" si="2"/>
        <v>100</v>
      </c>
      <c r="X13" s="1321"/>
      <c r="Y13" s="3633"/>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827"/>
      <c r="Q14" s="296">
        <f t="shared" si="6"/>
        <v>111</v>
      </c>
      <c r="R14" s="1319" t="s">
        <v>65</v>
      </c>
      <c r="S14" s="1320">
        <f t="shared" si="0"/>
        <v>100</v>
      </c>
      <c r="T14" s="1319" t="s">
        <v>65</v>
      </c>
      <c r="U14" s="1320">
        <f t="shared" si="1"/>
        <v>100</v>
      </c>
      <c r="V14" s="1319" t="s">
        <v>65</v>
      </c>
      <c r="W14" s="1320">
        <f t="shared" si="2"/>
        <v>100</v>
      </c>
      <c r="X14" s="1321"/>
      <c r="Y14" s="3633"/>
      <c r="Z14" s="344">
        <f t="shared" si="7"/>
        <v>111</v>
      </c>
      <c r="AA14" s="1322">
        <f t="shared" si="3"/>
        <v>1</v>
      </c>
      <c r="AB14" s="1322">
        <f t="shared" si="4"/>
        <v>1</v>
      </c>
      <c r="AC14" s="1322">
        <f t="shared" si="5"/>
        <v>1</v>
      </c>
    </row>
    <row r="15" spans="1:29" ht="54">
      <c r="A15" s="783" t="s">
        <v>404</v>
      </c>
      <c r="B15" s="972" t="s">
        <v>516</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832" t="s">
        <v>405</v>
      </c>
      <c r="Q15" s="1323" t="str">
        <f t="shared" si="6"/>
        <v>产业集聚程度</v>
      </c>
      <c r="R15" s="1324" t="s">
        <v>65</v>
      </c>
      <c r="S15" s="1325">
        <f t="shared" si="0"/>
        <v>100</v>
      </c>
      <c r="T15" s="1324" t="s">
        <v>65</v>
      </c>
      <c r="U15" s="1325">
        <f t="shared" si="1"/>
        <v>100</v>
      </c>
      <c r="V15" s="1324" t="s">
        <v>65</v>
      </c>
      <c r="W15" s="1325">
        <f t="shared" si="2"/>
        <v>100</v>
      </c>
      <c r="X15" s="1318"/>
      <c r="Y15" s="3832" t="s">
        <v>405</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833"/>
      <c r="Q16" s="1323"/>
      <c r="R16" s="1324"/>
      <c r="S16" s="1325"/>
      <c r="T16" s="1324"/>
      <c r="U16" s="1325"/>
      <c r="V16" s="1324"/>
      <c r="W16" s="1325"/>
      <c r="X16" s="1318"/>
      <c r="Y16" s="3833"/>
      <c r="Z16" s="1326"/>
      <c r="AA16" s="1327">
        <v>1</v>
      </c>
      <c r="AB16" s="1327">
        <v>1</v>
      </c>
      <c r="AC16" s="1327">
        <v>1</v>
      </c>
    </row>
    <row r="17" spans="1:29" ht="81">
      <c r="A17" s="771"/>
      <c r="B17" s="974" t="s">
        <v>454</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833"/>
      <c r="Q17" s="1323" t="str">
        <f>B17</f>
        <v>交通便捷度</v>
      </c>
      <c r="R17" s="1324" t="s">
        <v>65</v>
      </c>
      <c r="S17" s="1325">
        <f>F17</f>
        <v>100</v>
      </c>
      <c r="T17" s="1324" t="s">
        <v>65</v>
      </c>
      <c r="U17" s="1325">
        <f>H17</f>
        <v>100</v>
      </c>
      <c r="V17" s="1324" t="s">
        <v>65</v>
      </c>
      <c r="W17" s="1325">
        <f>J17</f>
        <v>100</v>
      </c>
      <c r="X17" s="1318"/>
      <c r="Y17" s="3833"/>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833"/>
      <c r="Q18" s="1323"/>
      <c r="R18" s="1324"/>
      <c r="S18" s="1325"/>
      <c r="T18" s="1324"/>
      <c r="U18" s="1325"/>
      <c r="V18" s="1324"/>
      <c r="W18" s="1325"/>
      <c r="X18" s="1318"/>
      <c r="Y18" s="3833"/>
      <c r="Z18" s="1326"/>
      <c r="AA18" s="1327">
        <v>1</v>
      </c>
      <c r="AB18" s="1327">
        <v>1</v>
      </c>
      <c r="AC18" s="1327">
        <v>1</v>
      </c>
    </row>
    <row r="19" spans="1:29" ht="15">
      <c r="A19" s="771"/>
      <c r="B19" s="974" t="s">
        <v>1846</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833"/>
      <c r="Q19" s="1323" t="str">
        <f t="shared" ref="Q19:Q33" si="8">B19</f>
        <v>区域土地利用方向</v>
      </c>
      <c r="R19" s="1324" t="s">
        <v>65</v>
      </c>
      <c r="S19" s="1325">
        <f>F19</f>
        <v>100</v>
      </c>
      <c r="T19" s="1324" t="s">
        <v>65</v>
      </c>
      <c r="U19" s="1325">
        <f>H19</f>
        <v>100</v>
      </c>
      <c r="V19" s="1324" t="s">
        <v>65</v>
      </c>
      <c r="W19" s="1325">
        <f>J19</f>
        <v>100</v>
      </c>
      <c r="X19" s="1318"/>
      <c r="Y19" s="3833"/>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833"/>
      <c r="Q20" s="1470"/>
      <c r="R20" s="1324"/>
      <c r="S20" s="1325"/>
      <c r="T20" s="1324"/>
      <c r="U20" s="1325"/>
      <c r="V20" s="1324"/>
      <c r="W20" s="1325"/>
      <c r="X20" s="1469"/>
      <c r="Y20" s="3833"/>
      <c r="Z20" s="1471"/>
      <c r="AA20" s="1327"/>
      <c r="AB20" s="1327"/>
      <c r="AC20" s="1327"/>
    </row>
    <row r="21" spans="1:29" ht="67.5">
      <c r="A21" s="747"/>
      <c r="B21" s="974" t="s">
        <v>517</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833"/>
      <c r="Q21" s="1323" t="str">
        <f t="shared" si="8"/>
        <v>环境状况</v>
      </c>
      <c r="R21" s="1324" t="s">
        <v>65</v>
      </c>
      <c r="S21" s="1325">
        <f>F21</f>
        <v>100</v>
      </c>
      <c r="T21" s="1324" t="s">
        <v>65</v>
      </c>
      <c r="U21" s="1325">
        <f>H21</f>
        <v>100</v>
      </c>
      <c r="V21" s="1324" t="s">
        <v>65</v>
      </c>
      <c r="W21" s="1325">
        <f>J21</f>
        <v>100</v>
      </c>
      <c r="X21" s="1318"/>
      <c r="Y21" s="3833"/>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833"/>
      <c r="Q22" s="1323"/>
      <c r="R22" s="1324"/>
      <c r="S22" s="1325"/>
      <c r="T22" s="1324"/>
      <c r="U22" s="1325"/>
      <c r="V22" s="1324"/>
      <c r="W22" s="1325"/>
      <c r="X22" s="1318"/>
      <c r="Y22" s="3833"/>
      <c r="Z22" s="1326"/>
      <c r="AA22" s="1327">
        <v>1</v>
      </c>
      <c r="AB22" s="1327">
        <v>1</v>
      </c>
      <c r="AC22" s="1327">
        <v>1</v>
      </c>
    </row>
    <row r="23" spans="1:29" s="407" customFormat="1" ht="40.5">
      <c r="A23" s="992"/>
      <c r="B23" s="1036" t="s">
        <v>2668</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833"/>
      <c r="Q23" s="296" t="str">
        <f t="shared" si="8"/>
        <v>公共配套设施</v>
      </c>
      <c r="R23" s="1319" t="s">
        <v>65</v>
      </c>
      <c r="S23" s="1320">
        <f>F23</f>
        <v>100</v>
      </c>
      <c r="T23" s="1319" t="s">
        <v>65</v>
      </c>
      <c r="U23" s="1320">
        <f>H23</f>
        <v>100</v>
      </c>
      <c r="V23" s="1319" t="s">
        <v>65</v>
      </c>
      <c r="W23" s="1320">
        <f>J23</f>
        <v>100</v>
      </c>
      <c r="X23" s="1321"/>
      <c r="Y23" s="3833"/>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833"/>
      <c r="Q24" s="296"/>
      <c r="R24" s="1319"/>
      <c r="S24" s="1320"/>
      <c r="T24" s="1319"/>
      <c r="U24" s="1320"/>
      <c r="V24" s="1319"/>
      <c r="W24" s="1320"/>
      <c r="X24" s="1321"/>
      <c r="Y24" s="3833"/>
      <c r="Z24" s="344"/>
      <c r="AA24" s="1322">
        <v>1</v>
      </c>
      <c r="AB24" s="1322">
        <v>1</v>
      </c>
      <c r="AC24" s="1322">
        <v>1</v>
      </c>
    </row>
    <row r="25" spans="1:29" s="407" customFormat="1" ht="27">
      <c r="A25" s="992"/>
      <c r="B25" s="1036" t="s">
        <v>2669</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833"/>
      <c r="Q25" s="2745" t="str">
        <f t="shared" ref="Q25" si="9">B25</f>
        <v>基础设施水平</v>
      </c>
      <c r="R25" s="1319" t="s">
        <v>65</v>
      </c>
      <c r="S25" s="1320">
        <f>F25</f>
        <v>100</v>
      </c>
      <c r="T25" s="1319" t="s">
        <v>65</v>
      </c>
      <c r="U25" s="1320">
        <f>H25</f>
        <v>100</v>
      </c>
      <c r="V25" s="1319" t="s">
        <v>65</v>
      </c>
      <c r="W25" s="1320">
        <f>J25</f>
        <v>100</v>
      </c>
      <c r="X25" s="1321"/>
      <c r="Y25" s="3833"/>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833"/>
      <c r="Q26" s="2745"/>
      <c r="R26" s="1319"/>
      <c r="S26" s="1320"/>
      <c r="T26" s="1319"/>
      <c r="U26" s="1320"/>
      <c r="V26" s="1319"/>
      <c r="W26" s="1320"/>
      <c r="X26" s="1321"/>
      <c r="Y26" s="3833"/>
      <c r="Z26" s="344"/>
      <c r="AA26" s="1322">
        <v>1</v>
      </c>
      <c r="AB26" s="1322">
        <v>1</v>
      </c>
      <c r="AC26" s="1322">
        <v>1</v>
      </c>
    </row>
    <row r="27" spans="1:29" ht="15">
      <c r="A27" s="771"/>
      <c r="B27" s="975" t="s">
        <v>435</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833"/>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833"/>
      <c r="Z27" s="1326" t="str">
        <f t="shared" ref="Z27:Z40" si="13">Q27</f>
        <v>临街状况</v>
      </c>
      <c r="AA27" s="1327">
        <f t="shared" si="3"/>
        <v>1</v>
      </c>
      <c r="AB27" s="1327">
        <f t="shared" si="4"/>
        <v>1</v>
      </c>
      <c r="AC27" s="1327">
        <f t="shared" si="5"/>
        <v>1</v>
      </c>
    </row>
    <row r="28" spans="1:29" ht="27">
      <c r="A28" s="771"/>
      <c r="B28" s="976" t="s">
        <v>440</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833"/>
      <c r="Q28" s="1323" t="str">
        <f t="shared" si="8"/>
        <v>毗邻道路的类型与等级</v>
      </c>
      <c r="R28" s="1324" t="s">
        <v>65</v>
      </c>
      <c r="S28" s="1325">
        <f t="shared" si="10"/>
        <v>100</v>
      </c>
      <c r="T28" s="1324" t="s">
        <v>65</v>
      </c>
      <c r="U28" s="1325">
        <f t="shared" si="11"/>
        <v>100</v>
      </c>
      <c r="V28" s="1324" t="s">
        <v>65</v>
      </c>
      <c r="W28" s="1325">
        <f t="shared" si="12"/>
        <v>100</v>
      </c>
      <c r="X28" s="1318"/>
      <c r="Y28" s="3833"/>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833"/>
      <c r="Q29" s="1323"/>
      <c r="R29" s="1324"/>
      <c r="S29" s="1325"/>
      <c r="T29" s="1324"/>
      <c r="U29" s="1325"/>
      <c r="V29" s="1324"/>
      <c r="W29" s="1325"/>
      <c r="X29" s="1318"/>
      <c r="Y29" s="3833"/>
      <c r="Z29" s="1326"/>
      <c r="AA29" s="1327">
        <v>1</v>
      </c>
      <c r="AB29" s="1327">
        <v>1</v>
      </c>
      <c r="AC29" s="1327">
        <v>1</v>
      </c>
    </row>
    <row r="30" spans="1:29" ht="15">
      <c r="A30" s="771"/>
      <c r="B30" s="997" t="s">
        <v>483</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833"/>
      <c r="Q30" s="1323" t="str">
        <f t="shared" si="8"/>
        <v>土地级别</v>
      </c>
      <c r="R30" s="1324" t="s">
        <v>65</v>
      </c>
      <c r="S30" s="1325">
        <f t="shared" si="10"/>
        <v>100</v>
      </c>
      <c r="T30" s="1324" t="s">
        <v>65</v>
      </c>
      <c r="U30" s="1325">
        <f t="shared" si="11"/>
        <v>100</v>
      </c>
      <c r="V30" s="1324" t="s">
        <v>65</v>
      </c>
      <c r="W30" s="1325">
        <f t="shared" si="12"/>
        <v>100</v>
      </c>
      <c r="X30" s="1318"/>
      <c r="Y30" s="3833"/>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833"/>
      <c r="Q31" s="1323">
        <f t="shared" si="8"/>
        <v>111</v>
      </c>
      <c r="R31" s="1324" t="s">
        <v>65</v>
      </c>
      <c r="S31" s="1325">
        <f t="shared" si="10"/>
        <v>100</v>
      </c>
      <c r="T31" s="1324" t="s">
        <v>65</v>
      </c>
      <c r="U31" s="1325">
        <f t="shared" si="11"/>
        <v>100</v>
      </c>
      <c r="V31" s="1324" t="s">
        <v>65</v>
      </c>
      <c r="W31" s="1325">
        <f t="shared" si="12"/>
        <v>100</v>
      </c>
      <c r="X31" s="1318"/>
      <c r="Y31" s="3833"/>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834" t="s">
        <v>407</v>
      </c>
      <c r="Q32" s="1323">
        <f t="shared" si="8"/>
        <v>111</v>
      </c>
      <c r="R32" s="1324" t="s">
        <v>65</v>
      </c>
      <c r="S32" s="1325">
        <f t="shared" si="10"/>
        <v>100</v>
      </c>
      <c r="T32" s="1324" t="s">
        <v>65</v>
      </c>
      <c r="U32" s="1325">
        <f t="shared" si="11"/>
        <v>100</v>
      </c>
      <c r="V32" s="1324" t="s">
        <v>65</v>
      </c>
      <c r="W32" s="1325">
        <f t="shared" si="12"/>
        <v>100</v>
      </c>
      <c r="X32" s="1318"/>
      <c r="Y32" s="3835" t="s">
        <v>407</v>
      </c>
      <c r="Z32" s="1326">
        <f t="shared" si="13"/>
        <v>111</v>
      </c>
      <c r="AA32" s="1327">
        <f t="shared" si="3"/>
        <v>1</v>
      </c>
      <c r="AB32" s="1327">
        <f t="shared" si="4"/>
        <v>1</v>
      </c>
      <c r="AC32" s="1327">
        <f t="shared" si="5"/>
        <v>1</v>
      </c>
    </row>
    <row r="33" spans="1:29" s="814" customFormat="1" ht="15.75" thickBot="1">
      <c r="A33" s="1085"/>
      <c r="B33" s="3301">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835"/>
      <c r="Q33" s="1323">
        <f t="shared" si="8"/>
        <v>111</v>
      </c>
      <c r="R33" s="1329" t="s">
        <v>65</v>
      </c>
      <c r="S33" s="1330">
        <f t="shared" si="10"/>
        <v>100</v>
      </c>
      <c r="T33" s="1329" t="s">
        <v>65</v>
      </c>
      <c r="U33" s="1330">
        <f t="shared" si="11"/>
        <v>100</v>
      </c>
      <c r="V33" s="1329" t="s">
        <v>65</v>
      </c>
      <c r="W33" s="1330">
        <f t="shared" si="12"/>
        <v>100</v>
      </c>
      <c r="X33" s="1331"/>
      <c r="Y33" s="3835"/>
      <c r="Z33" s="1332">
        <f t="shared" si="13"/>
        <v>111</v>
      </c>
      <c r="AA33" s="1327">
        <f t="shared" si="3"/>
        <v>1</v>
      </c>
      <c r="AB33" s="1327">
        <f t="shared" si="4"/>
        <v>1</v>
      </c>
      <c r="AC33" s="1327">
        <f t="shared" si="5"/>
        <v>1</v>
      </c>
    </row>
    <row r="34" spans="1:29" ht="15">
      <c r="A34" s="783" t="s">
        <v>2795</v>
      </c>
      <c r="B34" s="799" t="s">
        <v>484</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835"/>
      <c r="Q34" s="1323" t="str">
        <f>B34</f>
        <v>宗地面积</v>
      </c>
      <c r="R34" s="1324" t="s">
        <v>65</v>
      </c>
      <c r="S34" s="1325" t="e">
        <f t="shared" si="10"/>
        <v>#N/A</v>
      </c>
      <c r="T34" s="1324" t="s">
        <v>65</v>
      </c>
      <c r="U34" s="1325" t="e">
        <f t="shared" si="11"/>
        <v>#N/A</v>
      </c>
      <c r="V34" s="1324" t="s">
        <v>65</v>
      </c>
      <c r="W34" s="1325" t="e">
        <f t="shared" si="12"/>
        <v>#N/A</v>
      </c>
      <c r="X34" s="1318"/>
      <c r="Y34" s="3835"/>
      <c r="Z34" s="1326" t="str">
        <f t="shared" si="13"/>
        <v>宗地面积</v>
      </c>
      <c r="AA34" s="1327" t="e">
        <f t="shared" si="3"/>
        <v>#N/A</v>
      </c>
      <c r="AB34" s="1327" t="e">
        <f t="shared" si="4"/>
        <v>#N/A</v>
      </c>
      <c r="AC34" s="1327" t="e">
        <f t="shared" si="5"/>
        <v>#N/A</v>
      </c>
    </row>
    <row r="35" spans="1:29" ht="15">
      <c r="A35" s="815"/>
      <c r="B35" s="765" t="s">
        <v>485</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835"/>
      <c r="Q35" s="1323" t="str">
        <f t="shared" ref="Q35:Q40" si="14">B35</f>
        <v>宗地形状</v>
      </c>
      <c r="R35" s="1324" t="s">
        <v>65</v>
      </c>
      <c r="S35" s="1325">
        <f t="shared" si="10"/>
        <v>100</v>
      </c>
      <c r="T35" s="1324" t="s">
        <v>65</v>
      </c>
      <c r="U35" s="1325">
        <f t="shared" si="11"/>
        <v>100</v>
      </c>
      <c r="V35" s="1324" t="s">
        <v>65</v>
      </c>
      <c r="W35" s="1325">
        <f t="shared" si="12"/>
        <v>100</v>
      </c>
      <c r="X35" s="1318"/>
      <c r="Y35" s="3835"/>
      <c r="Z35" s="1326" t="str">
        <f t="shared" si="13"/>
        <v>宗地形状</v>
      </c>
      <c r="AA35" s="1327">
        <f t="shared" si="3"/>
        <v>1</v>
      </c>
      <c r="AB35" s="1327">
        <f t="shared" si="4"/>
        <v>1</v>
      </c>
      <c r="AC35" s="1327">
        <f t="shared" si="5"/>
        <v>1</v>
      </c>
    </row>
    <row r="36" spans="1:29" s="407" customFormat="1" ht="15">
      <c r="A36" s="816"/>
      <c r="B36" s="2611" t="s">
        <v>2501</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835"/>
      <c r="Q36" s="1323" t="str">
        <f t="shared" si="14"/>
        <v>宗地开发程度</v>
      </c>
      <c r="R36" s="1319" t="s">
        <v>65</v>
      </c>
      <c r="S36" s="1320">
        <f t="shared" si="10"/>
        <v>100</v>
      </c>
      <c r="T36" s="1319" t="s">
        <v>65</v>
      </c>
      <c r="U36" s="1320">
        <f t="shared" si="11"/>
        <v>100</v>
      </c>
      <c r="V36" s="1319" t="s">
        <v>65</v>
      </c>
      <c r="W36" s="1320">
        <f t="shared" si="12"/>
        <v>100</v>
      </c>
      <c r="X36" s="1321"/>
      <c r="Y36" s="3835"/>
      <c r="Z36" s="344" t="str">
        <f t="shared" si="13"/>
        <v>宗地开发程度</v>
      </c>
      <c r="AA36" s="1322">
        <f t="shared" si="3"/>
        <v>1</v>
      </c>
      <c r="AB36" s="1322">
        <f t="shared" si="4"/>
        <v>1</v>
      </c>
      <c r="AC36" s="1322">
        <f t="shared" si="5"/>
        <v>1</v>
      </c>
    </row>
    <row r="37" spans="1:29" ht="15">
      <c r="A37" s="815"/>
      <c r="B37" s="765" t="s">
        <v>487</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835" t="s">
        <v>518</v>
      </c>
      <c r="Q37" s="1323" t="str">
        <f t="shared" si="14"/>
        <v>工程地质条件</v>
      </c>
      <c r="R37" s="1324" t="s">
        <v>65</v>
      </c>
      <c r="S37" s="1325">
        <f t="shared" si="10"/>
        <v>100</v>
      </c>
      <c r="T37" s="1324" t="s">
        <v>65</v>
      </c>
      <c r="U37" s="1325">
        <f t="shared" si="11"/>
        <v>100</v>
      </c>
      <c r="V37" s="1324" t="s">
        <v>65</v>
      </c>
      <c r="W37" s="1325">
        <f t="shared" si="12"/>
        <v>100</v>
      </c>
      <c r="X37" s="1318"/>
      <c r="Y37" s="3835" t="s">
        <v>518</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835"/>
      <c r="Q38" s="1323">
        <f t="shared" si="14"/>
        <v>111</v>
      </c>
      <c r="R38" s="1324" t="s">
        <v>65</v>
      </c>
      <c r="S38" s="1325">
        <f t="shared" si="10"/>
        <v>100</v>
      </c>
      <c r="T38" s="1324" t="s">
        <v>65</v>
      </c>
      <c r="U38" s="1325">
        <f t="shared" si="11"/>
        <v>100</v>
      </c>
      <c r="V38" s="1324" t="s">
        <v>65</v>
      </c>
      <c r="W38" s="1325">
        <f t="shared" si="12"/>
        <v>100</v>
      </c>
      <c r="X38" s="1318"/>
      <c r="Y38" s="3835"/>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835"/>
      <c r="Q39" s="1323">
        <f t="shared" si="14"/>
        <v>111</v>
      </c>
      <c r="R39" s="1324" t="s">
        <v>65</v>
      </c>
      <c r="S39" s="1325">
        <f t="shared" si="10"/>
        <v>100</v>
      </c>
      <c r="T39" s="1324" t="s">
        <v>65</v>
      </c>
      <c r="U39" s="1325">
        <f t="shared" si="11"/>
        <v>100</v>
      </c>
      <c r="V39" s="1324" t="s">
        <v>65</v>
      </c>
      <c r="W39" s="1325">
        <f t="shared" si="12"/>
        <v>100</v>
      </c>
      <c r="X39" s="1318"/>
      <c r="Y39" s="3835"/>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835"/>
      <c r="Q40" s="1323">
        <f t="shared" si="14"/>
        <v>111</v>
      </c>
      <c r="R40" s="1329" t="s">
        <v>65</v>
      </c>
      <c r="S40" s="1330">
        <f t="shared" si="10"/>
        <v>100</v>
      </c>
      <c r="T40" s="1329" t="s">
        <v>65</v>
      </c>
      <c r="U40" s="1330">
        <f t="shared" si="11"/>
        <v>100</v>
      </c>
      <c r="V40" s="1329" t="s">
        <v>65</v>
      </c>
      <c r="W40" s="1330">
        <f t="shared" si="12"/>
        <v>100</v>
      </c>
      <c r="X40" s="1331"/>
      <c r="Y40" s="3835"/>
      <c r="Z40" s="1332">
        <f t="shared" si="13"/>
        <v>111</v>
      </c>
      <c r="AA40" s="1327">
        <f t="shared" si="3"/>
        <v>1</v>
      </c>
      <c r="AB40" s="1327">
        <f t="shared" si="4"/>
        <v>1</v>
      </c>
      <c r="AC40" s="1327">
        <f t="shared" si="5"/>
        <v>1</v>
      </c>
    </row>
    <row r="41" spans="1:29" ht="15">
      <c r="A41" s="822" t="s">
        <v>488</v>
      </c>
      <c r="B41" s="207" t="s">
        <v>3025</v>
      </c>
      <c r="C41" s="1091" t="s">
        <v>23</v>
      </c>
      <c r="D41" s="824"/>
      <c r="E41" s="825"/>
      <c r="F41" s="826"/>
      <c r="G41" s="827"/>
      <c r="H41" s="828"/>
      <c r="I41" s="825"/>
      <c r="J41" s="828"/>
      <c r="K41" s="1400"/>
      <c r="L41" s="2362"/>
      <c r="M41" s="2350"/>
      <c r="N41" s="2350"/>
      <c r="O41" s="2363"/>
      <c r="P41" s="3827" t="str">
        <f>A41</f>
        <v>成交单价</v>
      </c>
      <c r="Q41" s="3827"/>
      <c r="R41" s="3855">
        <f>E41</f>
        <v>0</v>
      </c>
      <c r="S41" s="3855"/>
      <c r="T41" s="3855">
        <f>G41</f>
        <v>0</v>
      </c>
      <c r="U41" s="3855"/>
      <c r="V41" s="3855">
        <f>I41</f>
        <v>0</v>
      </c>
      <c r="W41" s="3855"/>
      <c r="X41" s="1307"/>
      <c r="Y41" s="1333"/>
      <c r="Z41" s="1307"/>
      <c r="AA41" s="1307"/>
      <c r="AB41" s="1307"/>
      <c r="AC41" s="1307"/>
    </row>
    <row r="42" spans="1:29" ht="15.75" thickBot="1">
      <c r="A42" s="829" t="s">
        <v>409</v>
      </c>
      <c r="B42" s="1092"/>
      <c r="C42" s="833" t="e">
        <f>R43</f>
        <v>#DIV/0!</v>
      </c>
      <c r="D42" s="832"/>
      <c r="E42" s="833" t="e">
        <f>R42</f>
        <v>#DIV/0!</v>
      </c>
      <c r="F42" s="834"/>
      <c r="G42" s="831" t="e">
        <f>T42</f>
        <v>#DIV/0!</v>
      </c>
      <c r="H42" s="832"/>
      <c r="I42" s="833" t="e">
        <f>V42</f>
        <v>#DIV/0!</v>
      </c>
      <c r="J42" s="832"/>
      <c r="K42" s="1401"/>
      <c r="L42" s="2362"/>
      <c r="M42" s="2350"/>
      <c r="N42" s="2350"/>
      <c r="O42" s="2363"/>
      <c r="P42" s="3827" t="str">
        <f>A42</f>
        <v>比较价值（元/平方米）</v>
      </c>
      <c r="Q42" s="3827"/>
      <c r="R42" s="3867" t="e">
        <f>ROUND(PRODUCT(R41,AA7:AA40),0)</f>
        <v>#DIV/0!</v>
      </c>
      <c r="S42" s="3867"/>
      <c r="T42" s="3867" t="e">
        <f>ROUND(PRODUCT(T41,AB7:AB40),0)</f>
        <v>#DIV/0!</v>
      </c>
      <c r="U42" s="3867"/>
      <c r="V42" s="3867" t="e">
        <f>ROUND(PRODUCT(V41,AC7:AC40),0)</f>
        <v>#DIV/0!</v>
      </c>
      <c r="W42" s="3867"/>
      <c r="X42" s="1307"/>
      <c r="Y42" s="1307"/>
      <c r="Z42" s="1307"/>
      <c r="AA42" s="1307"/>
      <c r="AB42" s="1307"/>
      <c r="AC42" s="1307"/>
    </row>
    <row r="43" spans="1:29" ht="15.75" thickBot="1">
      <c r="A43" s="115" t="s">
        <v>3018</v>
      </c>
      <c r="B43" s="836"/>
      <c r="C43" s="837" t="e">
        <f>R43</f>
        <v>#DIV/0!</v>
      </c>
      <c r="D43" s="837"/>
      <c r="E43" s="837"/>
      <c r="F43" s="837"/>
      <c r="G43" s="837"/>
      <c r="H43" s="837"/>
      <c r="I43" s="837"/>
      <c r="J43" s="837"/>
      <c r="K43" s="1402"/>
      <c r="L43" s="2362"/>
      <c r="M43" s="2350"/>
      <c r="N43" s="2350"/>
      <c r="O43" s="2363"/>
      <c r="P43" s="3829" t="str">
        <f>A43</f>
        <v>估价对象XX用房的比较价值（楼面单价，元/平方米）</v>
      </c>
      <c r="Q43" s="3830"/>
      <c r="R43" s="3868" t="e">
        <f>ROUND(AVERAGE(R42:V42),0)</f>
        <v>#DIV/0!</v>
      </c>
      <c r="S43" s="3868"/>
      <c r="T43" s="3868"/>
      <c r="U43" s="3868"/>
      <c r="V43" s="3868"/>
      <c r="W43" s="3868"/>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489</v>
      </c>
      <c r="B50" s="1094" t="s">
        <v>490</v>
      </c>
      <c r="C50" s="1778" t="s">
        <v>1885</v>
      </c>
      <c r="D50" s="2394" t="s">
        <v>2325</v>
      </c>
      <c r="E50" s="1095" t="s">
        <v>491</v>
      </c>
      <c r="F50" s="1096" t="s">
        <v>492</v>
      </c>
      <c r="G50" s="3869" t="s">
        <v>2318</v>
      </c>
      <c r="H50" s="3870"/>
      <c r="I50" s="2184" t="s">
        <v>1884</v>
      </c>
      <c r="J50" s="1768">
        <f>项目基本情况!F35</f>
        <v>0</v>
      </c>
      <c r="K50" s="2377" t="s">
        <v>1886</v>
      </c>
      <c r="L50" s="2190"/>
      <c r="M50" s="2363"/>
      <c r="N50" s="2363"/>
      <c r="O50" s="2363"/>
    </row>
    <row r="51" spans="1:17" s="1101" customFormat="1">
      <c r="A51" s="1097" t="s">
        <v>493</v>
      </c>
      <c r="B51" s="1098" t="e">
        <f>C43</f>
        <v>#DIV/0!</v>
      </c>
      <c r="C51" s="1099">
        <v>1</v>
      </c>
      <c r="D51" s="2395">
        <v>1</v>
      </c>
      <c r="E51" s="1099">
        <f>'数据-汇总表'!E8+'数据-汇总表'!E9</f>
        <v>266233.45999999985</v>
      </c>
      <c r="F51" s="1100" t="e">
        <f t="shared" ref="F51:F60" si="15">ROUND(B51*E51/10000,0)</f>
        <v>#DIV/0!</v>
      </c>
      <c r="G51" s="3871"/>
      <c r="H51" s="3872"/>
      <c r="I51" s="1776">
        <v>1</v>
      </c>
      <c r="J51" s="1776">
        <v>1</v>
      </c>
      <c r="K51" s="2364"/>
      <c r="L51" s="1775"/>
      <c r="M51" s="1775"/>
      <c r="N51" s="1775"/>
      <c r="O51" s="1775"/>
    </row>
    <row r="52" spans="1:17" s="1101" customFormat="1">
      <c r="A52" s="1102" t="s">
        <v>494</v>
      </c>
      <c r="B52" s="594" t="e">
        <f>ROUND($C$43*C52*D52,0)</f>
        <v>#DIV/0!</v>
      </c>
      <c r="C52" s="532">
        <f t="shared" ref="C52:C60" si="16">IF($C$50="北京市系数",I52,J52)</f>
        <v>0.6</v>
      </c>
      <c r="D52" s="2396">
        <v>0.25</v>
      </c>
      <c r="E52" s="1103"/>
      <c r="F52" s="1100" t="e">
        <f t="shared" si="15"/>
        <v>#DIV/0!</v>
      </c>
      <c r="G52" s="3873" t="s">
        <v>2319</v>
      </c>
      <c r="H52" s="2188" t="str">
        <f>项目基本情况!B37</f>
        <v>十二级</v>
      </c>
      <c r="I52" s="1776">
        <f>SUMIF(修正!A45:A56,H52,修正!B45:B56)</f>
        <v>0.6</v>
      </c>
      <c r="J52" s="1777"/>
      <c r="K52" s="2363"/>
      <c r="L52" s="1775"/>
      <c r="M52" s="1775"/>
      <c r="N52" s="1775"/>
      <c r="O52" s="1775"/>
    </row>
    <row r="53" spans="1:17" s="1101" customFormat="1">
      <c r="A53" s="1102" t="s">
        <v>495</v>
      </c>
      <c r="B53" s="594" t="e">
        <f t="shared" ref="B53:B60" si="17">ROUND($C$43*C53*D53,0)</f>
        <v>#DIV/0!</v>
      </c>
      <c r="C53" s="532">
        <f t="shared" si="16"/>
        <v>0.3</v>
      </c>
      <c r="D53" s="2396">
        <v>0.25</v>
      </c>
      <c r="E53" s="1103"/>
      <c r="F53" s="1100" t="e">
        <f t="shared" si="15"/>
        <v>#DIV/0!</v>
      </c>
      <c r="G53" s="3873"/>
      <c r="H53" s="2188" t="str">
        <f>项目基本情况!B37</f>
        <v>十二级</v>
      </c>
      <c r="I53" s="1776">
        <f>SUMIF(修正!A45:A56,H53,修正!C45:C56)</f>
        <v>0.3</v>
      </c>
      <c r="J53" s="1777"/>
      <c r="K53" s="2364"/>
      <c r="L53" s="1775"/>
      <c r="M53" s="1775"/>
      <c r="N53" s="1775"/>
      <c r="O53" s="1775"/>
    </row>
    <row r="54" spans="1:17" s="1101" customFormat="1">
      <c r="A54" s="1102" t="s">
        <v>496</v>
      </c>
      <c r="B54" s="594" t="e">
        <f t="shared" si="17"/>
        <v>#DIV/0!</v>
      </c>
      <c r="C54" s="532">
        <f t="shared" si="16"/>
        <v>0.2</v>
      </c>
      <c r="D54" s="2396">
        <v>0.25</v>
      </c>
      <c r="E54" s="1103"/>
      <c r="F54" s="1100" t="e">
        <f t="shared" si="15"/>
        <v>#DIV/0!</v>
      </c>
      <c r="G54" s="3873"/>
      <c r="H54" s="2188" t="str">
        <f>项目基本情况!B37</f>
        <v>十二级</v>
      </c>
      <c r="I54" s="1776">
        <f>SUMIF(修正!A45:A56,H54,修正!D45:D56)</f>
        <v>0.2</v>
      </c>
      <c r="J54" s="1777"/>
      <c r="K54" s="2363"/>
      <c r="L54" s="1775"/>
      <c r="M54" s="1775"/>
      <c r="N54" s="1775"/>
      <c r="O54" s="1775"/>
    </row>
    <row r="55" spans="1:17" s="1101" customFormat="1">
      <c r="A55" s="1102" t="s">
        <v>497</v>
      </c>
      <c r="B55" s="594" t="e">
        <f t="shared" si="17"/>
        <v>#DIV/0!</v>
      </c>
      <c r="C55" s="532">
        <f t="shared" si="16"/>
        <v>0.2</v>
      </c>
      <c r="D55" s="2396">
        <v>0.25</v>
      </c>
      <c r="E55" s="1103"/>
      <c r="F55" s="1100" t="e">
        <f t="shared" si="15"/>
        <v>#DIV/0!</v>
      </c>
      <c r="G55" s="3873"/>
      <c r="H55" s="2188" t="str">
        <f>项目基本情况!B37</f>
        <v>十二级</v>
      </c>
      <c r="I55" s="1776">
        <f>SUMIF(修正!A45:A56,H55,修正!E45:E56)</f>
        <v>0.2</v>
      </c>
      <c r="J55" s="1777"/>
      <c r="K55" s="2364"/>
      <c r="L55" s="1775"/>
      <c r="M55" s="1775"/>
      <c r="N55" s="1775"/>
      <c r="O55" s="1775"/>
    </row>
    <row r="56" spans="1:17" s="1101" customFormat="1">
      <c r="A56" s="2516" t="s">
        <v>2401</v>
      </c>
      <c r="B56" s="594" t="e">
        <f t="shared" si="17"/>
        <v>#DIV/0!</v>
      </c>
      <c r="C56" s="532">
        <f t="shared" si="16"/>
        <v>0.2</v>
      </c>
      <c r="D56" s="2396">
        <v>0.25</v>
      </c>
      <c r="E56" s="593">
        <f>'数据-汇总表'!E11</f>
        <v>0</v>
      </c>
      <c r="F56" s="1100" t="e">
        <f t="shared" si="15"/>
        <v>#DIV/0!</v>
      </c>
      <c r="G56" s="2200" t="s">
        <v>2320</v>
      </c>
      <c r="H56" s="2188" t="str">
        <f>项目基本情况!C37</f>
        <v>十二级</v>
      </c>
      <c r="I56" s="1776">
        <f>SUMIF(修正!A45:A56,H56,修正!F45:F56)</f>
        <v>0.2</v>
      </c>
      <c r="J56" s="1777"/>
      <c r="K56" s="2363"/>
      <c r="L56" s="1775"/>
      <c r="M56" s="1775"/>
      <c r="N56" s="1775"/>
      <c r="O56" s="1775"/>
    </row>
    <row r="57" spans="1:17" s="1101" customFormat="1">
      <c r="A57" s="1102" t="s">
        <v>498</v>
      </c>
      <c r="B57" s="594" t="e">
        <f t="shared" si="17"/>
        <v>#DIV/0!</v>
      </c>
      <c r="C57" s="532">
        <f t="shared" si="16"/>
        <v>0.2</v>
      </c>
      <c r="D57" s="2396">
        <v>0.25</v>
      </c>
      <c r="E57" s="593">
        <f>'数据-汇总表'!E12</f>
        <v>0</v>
      </c>
      <c r="F57" s="1100" t="e">
        <f t="shared" si="15"/>
        <v>#DIV/0!</v>
      </c>
      <c r="G57" s="2194" t="s">
        <v>141</v>
      </c>
      <c r="H57" s="2188" t="str">
        <f>IF(G57="商业",项目基本情况!B37,IF(G57="办公",项目基本情况!C37,IF(G57="住宅",项目基本情况!D37,项目基本情况!E37)))</f>
        <v>十二级</v>
      </c>
      <c r="I57" s="1776">
        <f>SUMIF(修正!A45:A56,H57,修正!G45:G56)</f>
        <v>0.2</v>
      </c>
      <c r="J57" s="1777"/>
      <c r="K57" s="2364"/>
      <c r="L57" s="1775"/>
      <c r="M57" s="1775"/>
      <c r="N57" s="1775"/>
      <c r="O57" s="1775"/>
    </row>
    <row r="58" spans="1:17" s="1101" customFormat="1">
      <c r="A58" s="1102" t="s">
        <v>499</v>
      </c>
      <c r="B58" s="594" t="e">
        <f t="shared" si="17"/>
        <v>#DIV/0!</v>
      </c>
      <c r="C58" s="532">
        <f t="shared" si="16"/>
        <v>0.15</v>
      </c>
      <c r="D58" s="2396">
        <v>0.25</v>
      </c>
      <c r="E58" s="593">
        <f>'数据-汇总表'!E13</f>
        <v>0</v>
      </c>
      <c r="F58" s="1100" t="e">
        <f t="shared" si="15"/>
        <v>#DIV/0!</v>
      </c>
      <c r="G58" s="2194" t="s">
        <v>40</v>
      </c>
      <c r="H58" s="2188" t="str">
        <f>IF(G58="商业",项目基本情况!B37,IF(G58="办公",项目基本情况!C37,IF(G58="住宅",项目基本情况!D37,项目基本情况!E37)))</f>
        <v>十二级</v>
      </c>
      <c r="I58" s="1776">
        <f>SUMIF(修正!A45:A56,H58,修正!H45:H56)</f>
        <v>0.15</v>
      </c>
      <c r="J58" s="1777"/>
      <c r="K58" s="2363"/>
      <c r="L58" s="1775"/>
      <c r="M58" s="1775"/>
      <c r="N58" s="1775"/>
      <c r="O58" s="1775"/>
    </row>
    <row r="59" spans="1:17" s="1101" customFormat="1">
      <c r="A59" s="1102" t="s">
        <v>500</v>
      </c>
      <c r="B59" s="594" t="e">
        <f t="shared" si="17"/>
        <v>#DIV/0!</v>
      </c>
      <c r="C59" s="532">
        <f t="shared" si="16"/>
        <v>0.15</v>
      </c>
      <c r="D59" s="2396">
        <v>0.25</v>
      </c>
      <c r="E59" s="593">
        <f>'数据-汇总表'!E14</f>
        <v>0</v>
      </c>
      <c r="F59" s="1100" t="e">
        <f t="shared" si="15"/>
        <v>#DIV/0!</v>
      </c>
      <c r="G59" s="2200" t="s">
        <v>2321</v>
      </c>
      <c r="H59" s="2188" t="str">
        <f>项目基本情况!B37</f>
        <v>十二级</v>
      </c>
      <c r="I59" s="1776">
        <f>SUMIF(修正!A45:A56,H59,修正!H45:H56)</f>
        <v>0.15</v>
      </c>
      <c r="J59" s="1777"/>
      <c r="K59" s="2364"/>
      <c r="L59" s="1775"/>
      <c r="M59" s="1775"/>
      <c r="N59" s="1775"/>
      <c r="O59" s="1775"/>
    </row>
    <row r="60" spans="1:17" s="1101" customFormat="1" ht="15" thickBot="1">
      <c r="A60" s="1102" t="s">
        <v>501</v>
      </c>
      <c r="B60" s="594" t="e">
        <f t="shared" si="17"/>
        <v>#DIV/0!</v>
      </c>
      <c r="C60" s="532">
        <f t="shared" si="16"/>
        <v>0.15</v>
      </c>
      <c r="D60" s="2396">
        <v>0.25</v>
      </c>
      <c r="E60" s="593">
        <f>'数据-汇总表'!E15</f>
        <v>0</v>
      </c>
      <c r="F60" s="1100" t="e">
        <f t="shared" si="15"/>
        <v>#DIV/0!</v>
      </c>
      <c r="G60" s="2201" t="s">
        <v>2320</v>
      </c>
      <c r="H60" s="2202" t="str">
        <f>项目基本情况!C37</f>
        <v>十二级</v>
      </c>
      <c r="I60" s="1776">
        <f>SUMIF(修正!A45:A56,H60,修正!H45:H56)</f>
        <v>0.15</v>
      </c>
      <c r="J60" s="1777"/>
      <c r="K60" s="2363"/>
      <c r="L60" s="1775"/>
      <c r="M60" s="1775"/>
      <c r="N60" s="1775"/>
      <c r="O60" s="1775"/>
    </row>
    <row r="61" spans="1:17" s="1101" customFormat="1" ht="15" thickBot="1">
      <c r="A61" s="1104" t="s">
        <v>502</v>
      </c>
      <c r="B61" s="1105" t="s">
        <v>156</v>
      </c>
      <c r="C61" s="1105" t="s">
        <v>157</v>
      </c>
      <c r="D61" s="1105" t="s">
        <v>2326</v>
      </c>
      <c r="E61" s="1105">
        <f>IF(B41="楼面地价",SUM(E51:E60),'数据-汇总表'!D3)</f>
        <v>346512.69</v>
      </c>
      <c r="F61" s="1106" t="e">
        <f>IF(B41="楼面地价",SUM(F51:F60),ROUND(C43*E61/10000,0))</f>
        <v>#DIV/0!</v>
      </c>
      <c r="G61" s="2378"/>
      <c r="H61" s="2378"/>
      <c r="I61" s="2378"/>
      <c r="J61" s="2378"/>
      <c r="K61" s="2189"/>
      <c r="L61" s="1775"/>
      <c r="M61" s="1775"/>
      <c r="N61" s="1775"/>
      <c r="O61" s="1775"/>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413</v>
      </c>
      <c r="B64" s="1307"/>
      <c r="C64" s="1312"/>
      <c r="D64" s="1312"/>
      <c r="E64" s="1312"/>
      <c r="F64" s="1313"/>
      <c r="G64" s="1313"/>
      <c r="H64" s="1312"/>
      <c r="I64" s="1312"/>
      <c r="J64" s="1312"/>
      <c r="K64" s="1314"/>
      <c r="L64" s="1315"/>
      <c r="M64" s="1312"/>
      <c r="N64" s="1312"/>
      <c r="O64" s="2379"/>
      <c r="P64" s="846"/>
      <c r="Q64" s="847"/>
    </row>
    <row r="65" spans="1:17" s="851" customFormat="1" ht="15">
      <c r="A65" s="2707" t="s">
        <v>2792</v>
      </c>
      <c r="B65" s="2708"/>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50"/>
    </row>
    <row r="66" spans="1:17" s="407" customFormat="1" ht="30.75" customHeight="1">
      <c r="A66" s="3038" t="s">
        <v>2791</v>
      </c>
      <c r="B66" s="664" t="str">
        <f>"北京市平均增长率"&amp;TEXT(基准地价修正!P24,"0.00%")</f>
        <v>北京市平均增长率1.34%</v>
      </c>
      <c r="C66" s="946">
        <v>100</v>
      </c>
      <c r="D66" s="938"/>
      <c r="E66" s="938"/>
      <c r="F66" s="938"/>
      <c r="G66" s="938"/>
      <c r="H66" s="938"/>
      <c r="I66" s="938"/>
      <c r="J66" s="938"/>
      <c r="K66" s="938"/>
      <c r="L66" s="938"/>
      <c r="M66" s="3036"/>
      <c r="N66" s="3036"/>
      <c r="O66" s="3039"/>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416</v>
      </c>
      <c r="B70" s="871" t="s">
        <v>417</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402</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404</v>
      </c>
      <c r="B83" s="286" t="s">
        <v>159</v>
      </c>
      <c r="C83" s="916" t="s">
        <v>423</v>
      </c>
      <c r="D83" s="916" t="s">
        <v>424</v>
      </c>
      <c r="E83" s="916" t="s">
        <v>425</v>
      </c>
      <c r="F83" s="916" t="s">
        <v>426</v>
      </c>
      <c r="G83" s="916" t="s">
        <v>427</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423</v>
      </c>
      <c r="D85" s="921" t="s">
        <v>424</v>
      </c>
      <c r="E85" s="921" t="s">
        <v>425</v>
      </c>
      <c r="F85" s="921" t="s">
        <v>426</v>
      </c>
      <c r="G85" s="921" t="s">
        <v>427</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15.75" thickTop="1">
      <c r="A87" s="922"/>
      <c r="B87" s="1054" t="s">
        <v>109</v>
      </c>
      <c r="C87" s="916" t="s">
        <v>423</v>
      </c>
      <c r="D87" s="916" t="s">
        <v>424</v>
      </c>
      <c r="E87" s="916" t="s">
        <v>425</v>
      </c>
      <c r="F87" s="916" t="s">
        <v>426</v>
      </c>
      <c r="G87" s="916" t="s">
        <v>427</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423</v>
      </c>
      <c r="D89" s="916" t="s">
        <v>424</v>
      </c>
      <c r="E89" s="916" t="s">
        <v>425</v>
      </c>
      <c r="F89" s="916" t="s">
        <v>426</v>
      </c>
      <c r="G89" s="916" t="s">
        <v>427</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2668</v>
      </c>
      <c r="C91" s="916" t="s">
        <v>423</v>
      </c>
      <c r="D91" s="916" t="s">
        <v>424</v>
      </c>
      <c r="E91" s="916" t="s">
        <v>425</v>
      </c>
      <c r="F91" s="916" t="s">
        <v>426</v>
      </c>
      <c r="G91" s="916" t="s">
        <v>427</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2670</v>
      </c>
      <c r="C93" s="213" t="s">
        <v>2656</v>
      </c>
      <c r="D93" s="213" t="s">
        <v>2657</v>
      </c>
      <c r="E93" s="213" t="s">
        <v>2658</v>
      </c>
      <c r="F93" s="213" t="s">
        <v>2659</v>
      </c>
      <c r="G93" s="213" t="s">
        <v>2660</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406</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2" t="str">
        <f t="shared" si="25"/>
        <v>(含)-</v>
      </c>
      <c r="L107" s="3302" t="str">
        <f t="shared" si="25"/>
        <v>(含)-</v>
      </c>
      <c r="M107" s="3303"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2502</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Normal="100" zoomScaleSheetLayoutView="96" workbookViewId="0">
      <selection activeCell="P25" sqref="P25"/>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1791</v>
      </c>
      <c r="B1" s="1474"/>
      <c r="C1" s="86" t="s">
        <v>2503</v>
      </c>
      <c r="D1" s="1740">
        <f>SUM(D29:D30,D33:D39)</f>
        <v>317263.48999999987</v>
      </c>
      <c r="E1" s="1624"/>
      <c r="F1" s="1624"/>
      <c r="G1" s="1624"/>
      <c r="H1" s="1624"/>
      <c r="I1" s="1624"/>
      <c r="J1" s="1624"/>
      <c r="K1" s="2383"/>
      <c r="L1" s="1885" t="s">
        <v>1223</v>
      </c>
      <c r="M1" s="2138">
        <f>SUMPRODUCT((区片价!B5:B9=I2)*(区片价!C3:F3=E2)*(区片价!C5:F9))</f>
        <v>0</v>
      </c>
      <c r="N1" s="2141">
        <f>SUMPRODUCT((因素修正幅度!B5:B9=I2)*(因素修正幅度!C3:F3=E2)*(因素修正幅度!C5:F9))</f>
        <v>0</v>
      </c>
      <c r="O1" s="2387"/>
      <c r="P1" s="2387"/>
      <c r="Q1" s="2383"/>
      <c r="R1" s="3077" t="s">
        <v>2892</v>
      </c>
      <c r="S1" s="3077" t="s">
        <v>2893</v>
      </c>
      <c r="T1" s="3077" t="s">
        <v>2894</v>
      </c>
      <c r="U1" s="3077" t="s">
        <v>2895</v>
      </c>
      <c r="V1" s="3077" t="s">
        <v>2896</v>
      </c>
      <c r="W1" s="3078"/>
      <c r="X1" s="3078"/>
      <c r="Y1" s="3078"/>
      <c r="Z1" s="3078"/>
      <c r="AA1" s="3078"/>
      <c r="AB1" s="3078"/>
      <c r="AC1" s="3079"/>
      <c r="AD1" s="3080"/>
      <c r="AE1" s="3080"/>
      <c r="AF1" s="3080"/>
      <c r="AG1" s="3080"/>
      <c r="AH1" s="3080"/>
      <c r="AI1" s="3080"/>
      <c r="AJ1" s="3081"/>
    </row>
    <row r="2" spans="1:36" ht="15.75">
      <c r="A2" s="86" t="s">
        <v>1792</v>
      </c>
      <c r="B2" s="580">
        <f ca="1">C26</f>
        <v>39538</v>
      </c>
      <c r="C2" s="1472" t="s">
        <v>1133</v>
      </c>
      <c r="D2" s="1629" t="s">
        <v>1793</v>
      </c>
      <c r="E2" s="1783" t="s">
        <v>3046</v>
      </c>
      <c r="F2" s="1629" t="s">
        <v>1794</v>
      </c>
      <c r="G2" s="1606" t="str">
        <f>IF(E2="商业",项目基本情况!B37,IF(E2="办公",项目基本情况!C37,IF(E2="住宅",项目基本情况!D37,项目基本情况!E37)))</f>
        <v>十二级</v>
      </c>
      <c r="H2" s="1629" t="s">
        <v>1795</v>
      </c>
      <c r="I2" s="1606" t="str">
        <f>IF(E2="商业",项目基本情况!B38,IF(E2="办公",项目基本情况!C38,IF(E2="住宅",项目基本情况!D38,项目基本情况!E38)))</f>
        <v>Ⅻ-密1</v>
      </c>
      <c r="J2" s="1630"/>
      <c r="K2" s="2383"/>
      <c r="L2" s="1886" t="s">
        <v>1280</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2.4582000000000002</v>
      </c>
      <c r="T2" s="3082">
        <f ca="1">ROUND($C$5*$C$18*$C$19*$C$20*S2*$C$24,0)</f>
        <v>1907</v>
      </c>
      <c r="U2" s="3083"/>
      <c r="V2" s="3082">
        <f ca="1">ROUND(T2*U2/10000,0)</f>
        <v>0</v>
      </c>
      <c r="W2" s="3078"/>
      <c r="X2" s="3078"/>
      <c r="Y2" s="3078"/>
      <c r="Z2" s="3078"/>
      <c r="AA2" s="3078"/>
      <c r="AB2" s="3078"/>
      <c r="AC2" s="3079"/>
      <c r="AD2" s="3080"/>
      <c r="AE2" s="3080"/>
      <c r="AF2" s="3080"/>
      <c r="AG2" s="3080"/>
      <c r="AH2" s="3080"/>
      <c r="AI2" s="3080"/>
      <c r="AJ2" s="3081"/>
    </row>
    <row r="3" spans="1:36" ht="15.75">
      <c r="A3" s="87" t="s">
        <v>1796</v>
      </c>
      <c r="B3" s="580">
        <f ca="1">ROUND(B2*10000/D1,0)</f>
        <v>1246</v>
      </c>
      <c r="C3" s="1472" t="s">
        <v>1797</v>
      </c>
      <c r="D3" s="1629" t="s">
        <v>1136</v>
      </c>
      <c r="E3" s="1784" t="s">
        <v>3533</v>
      </c>
      <c r="F3" s="1785" t="s">
        <v>3026</v>
      </c>
      <c r="G3" s="1631">
        <f>IF(F3="宗地容积率",'数据-汇总表'!I4,IF(F3="估价对象容积率",'数据-汇总表'!I6,'数据-汇总表'!I7))</f>
        <v>0.79</v>
      </c>
      <c r="H3" s="1632" t="s">
        <v>1137</v>
      </c>
      <c r="I3" s="1786"/>
      <c r="J3" s="1630" t="s">
        <v>1138</v>
      </c>
      <c r="K3" s="2383"/>
      <c r="L3" s="1886" t="s">
        <v>1453</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1.6201000000000001</v>
      </c>
      <c r="T3" s="3082">
        <f t="shared" ref="T3:T16" ca="1" si="0">ROUND($C$5*$C$18*$C$19*$C$20*S3*$C$24,0)</f>
        <v>1257</v>
      </c>
      <c r="U3" s="3083"/>
      <c r="V3" s="3082">
        <f t="shared" ref="V3:V16" ca="1" si="1">ROUND(T3*U3/10000,0)</f>
        <v>0</v>
      </c>
      <c r="W3" s="3078"/>
      <c r="X3" s="3078"/>
      <c r="Y3" s="3078"/>
      <c r="Z3" s="3078"/>
      <c r="AA3" s="3078"/>
      <c r="AB3" s="3078"/>
      <c r="AC3" s="3079"/>
      <c r="AD3" s="3080"/>
      <c r="AE3" s="3080"/>
      <c r="AF3" s="3080"/>
      <c r="AG3" s="3080"/>
      <c r="AH3" s="3080"/>
      <c r="AI3" s="3080"/>
      <c r="AJ3" s="3081"/>
    </row>
    <row r="4" spans="1:36" ht="15">
      <c r="A4" s="3881"/>
      <c r="B4" s="3882"/>
      <c r="C4" s="3882"/>
      <c r="D4" s="3883"/>
      <c r="E4" s="3883"/>
      <c r="F4" s="3883"/>
      <c r="G4" s="3883"/>
      <c r="H4" s="3883"/>
      <c r="I4" s="3883"/>
      <c r="J4" s="3884"/>
      <c r="K4" s="2383"/>
      <c r="L4" s="1886" t="s">
        <v>1134</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1.2748999999999999</v>
      </c>
      <c r="T4" s="3082">
        <f t="shared" ca="1" si="0"/>
        <v>989</v>
      </c>
      <c r="U4" s="3083"/>
      <c r="V4" s="3082">
        <f t="shared" ca="1" si="1"/>
        <v>0</v>
      </c>
      <c r="W4" s="3078"/>
      <c r="X4" s="3078"/>
      <c r="Y4" s="3078"/>
      <c r="Z4" s="3078"/>
      <c r="AA4" s="3078"/>
      <c r="AB4" s="3078"/>
      <c r="AC4" s="3079"/>
      <c r="AD4" s="3080"/>
      <c r="AE4" s="3080"/>
      <c r="AF4" s="3080"/>
      <c r="AG4" s="3080"/>
      <c r="AH4" s="3080"/>
      <c r="AI4" s="3080"/>
      <c r="AJ4" s="3081"/>
    </row>
    <row r="5" spans="1:36" s="1640" customFormat="1" ht="15.75" thickBot="1">
      <c r="A5" s="1879" t="s">
        <v>1934</v>
      </c>
      <c r="B5" s="1633" t="s">
        <v>1798</v>
      </c>
      <c r="C5" s="1634">
        <f>ROUND(IF(E2="商业",IF(F16="增加",C6*C7+C16,C6*C7-C16),IF(E2="住宅",IF(F16="增加",C6*C12+C16,C6*C12-C16),IF(F16="增加",C6+C16,C6-C16))),0)</f>
        <v>792</v>
      </c>
      <c r="D5" s="1635"/>
      <c r="E5" s="1636"/>
      <c r="F5" s="1636"/>
      <c r="G5" s="1637"/>
      <c r="H5" s="1637"/>
      <c r="I5" s="1637"/>
      <c r="J5" s="1638"/>
      <c r="K5" s="2388"/>
      <c r="L5" s="1886" t="s">
        <v>1534</v>
      </c>
      <c r="M5" s="2139">
        <f>SUMPRODUCT((区片价!B76:B109=I2)*(区片价!C3:F3=E2)*(区片价!C76:F109))</f>
        <v>0</v>
      </c>
      <c r="N5" s="2141">
        <f>SUMPRODUCT((因素修正幅度!B76:B109=I2)*(因素修正幅度!C3:F3=E2)*(因素修正幅度!C76:F109))</f>
        <v>0</v>
      </c>
      <c r="O5" s="2383"/>
      <c r="P5" s="2383"/>
      <c r="Q5" s="2383"/>
      <c r="R5" s="3082">
        <v>4</v>
      </c>
      <c r="S5" s="3082">
        <f>ROUND(IF(G3&gt;1,IF(R5&lt;7,SUMPRODUCT((B93:B98=R5)*(C92:N92=G2)*(C93:N98)),SUMIF(C92:N92,G2,C100:N100)),IF(R5&lt;7,SUMPRODUCT((B102:B107=R5)*(C92:N92=G2)*(C102:N107)),SUMIF(C92:N92,G2,C109:N109))),4)</f>
        <v>0.95250000000000001</v>
      </c>
      <c r="T5" s="3082">
        <f t="shared" ca="1" si="0"/>
        <v>739</v>
      </c>
      <c r="U5" s="3083"/>
      <c r="V5" s="3082">
        <f t="shared" ca="1" si="1"/>
        <v>0</v>
      </c>
      <c r="W5" s="3078"/>
      <c r="X5" s="3078"/>
      <c r="Y5" s="3078"/>
      <c r="Z5" s="3078"/>
      <c r="AA5" s="3078"/>
      <c r="AB5" s="3078"/>
      <c r="AC5" s="3084"/>
      <c r="AD5" s="3085"/>
      <c r="AE5" s="3085"/>
      <c r="AF5" s="3085"/>
      <c r="AG5" s="3085"/>
      <c r="AH5" s="3085"/>
      <c r="AI5" s="3085"/>
      <c r="AJ5" s="3086"/>
    </row>
    <row r="6" spans="1:36" ht="15.75" thickBot="1">
      <c r="A6" s="1883" t="s">
        <v>1941</v>
      </c>
      <c r="B6" s="1641" t="s">
        <v>1798</v>
      </c>
      <c r="C6" s="1642">
        <f>SUMIF(L1:L12,G2,M1:M12)</f>
        <v>800</v>
      </c>
      <c r="D6" s="1643" t="s">
        <v>1799</v>
      </c>
      <c r="E6" s="1644"/>
      <c r="F6" s="1644"/>
      <c r="G6" s="1645"/>
      <c r="H6" s="1645"/>
      <c r="I6" s="1645"/>
      <c r="J6" s="1646"/>
      <c r="K6" s="2389"/>
      <c r="L6" s="1886" t="s">
        <v>203</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0.71630000000000005</v>
      </c>
      <c r="T6" s="3082">
        <f t="shared" ca="1" si="0"/>
        <v>556</v>
      </c>
      <c r="U6" s="3083"/>
      <c r="V6" s="3082">
        <f t="shared" ca="1" si="1"/>
        <v>0</v>
      </c>
      <c r="W6" s="3078"/>
      <c r="X6" s="3078"/>
      <c r="Y6" s="3078"/>
      <c r="Z6" s="3078"/>
      <c r="AA6" s="3078"/>
      <c r="AB6" s="3078"/>
      <c r="AC6" s="3084"/>
      <c r="AD6" s="3085"/>
      <c r="AE6" s="3085"/>
      <c r="AF6" s="3085"/>
      <c r="AG6" s="3085"/>
      <c r="AH6" s="3085"/>
      <c r="AI6" s="3085"/>
      <c r="AJ6" s="3086"/>
    </row>
    <row r="7" spans="1:36" ht="24">
      <c r="A7" s="3885" t="str">
        <f>IF(E2="商业",IF(C8="不临58条商业街","",2),"")</f>
        <v/>
      </c>
      <c r="B7" s="1647" t="s">
        <v>1800</v>
      </c>
      <c r="C7" s="1648">
        <f>IF(C8="不临58条商业街",1,ROUND(1+(1.6*E8+1.2*E9+0.8*E10+0.4*E11)*C9,4))</f>
        <v>1</v>
      </c>
      <c r="D7" s="1649" t="s">
        <v>1801</v>
      </c>
      <c r="E7" s="1787">
        <v>60</v>
      </c>
      <c r="F7" s="1650"/>
      <c r="G7" s="1651"/>
      <c r="H7" s="1651"/>
      <c r="I7" s="1651"/>
      <c r="J7" s="1652"/>
      <c r="K7" s="2389"/>
      <c r="L7" s="1886" t="s">
        <v>1537</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0.57279999999999998</v>
      </c>
      <c r="T7" s="3082">
        <f t="shared" ca="1" si="0"/>
        <v>444</v>
      </c>
      <c r="U7" s="3083"/>
      <c r="V7" s="3082">
        <f t="shared" ca="1" si="1"/>
        <v>0</v>
      </c>
      <c r="W7" s="3087" t="s">
        <v>2897</v>
      </c>
      <c r="X7" s="3088" t="str">
        <f>G2</f>
        <v>十二级</v>
      </c>
      <c r="Y7" s="3088" t="s">
        <v>2898</v>
      </c>
      <c r="Z7" s="3089">
        <f>G3</f>
        <v>0.79</v>
      </c>
      <c r="AA7" s="3090"/>
      <c r="AB7" s="3090"/>
      <c r="AC7" s="3091"/>
      <c r="AD7" s="3092"/>
      <c r="AE7" s="3092"/>
      <c r="AF7" s="3092"/>
      <c r="AG7" s="3092"/>
      <c r="AH7" s="3092"/>
      <c r="AI7" s="3092"/>
      <c r="AJ7" s="3093"/>
    </row>
    <row r="8" spans="1:36" ht="24">
      <c r="A8" s="3886"/>
      <c r="B8" s="1632" t="s">
        <v>1802</v>
      </c>
      <c r="C8" s="1788" t="s">
        <v>3534</v>
      </c>
      <c r="D8" s="1653" t="s">
        <v>1139</v>
      </c>
      <c r="E8" s="1654">
        <f>ROUND(C11/E7,4)</f>
        <v>0</v>
      </c>
      <c r="F8" s="1655" t="s">
        <v>1803</v>
      </c>
      <c r="G8" s="1656"/>
      <c r="H8" s="1656"/>
      <c r="I8" s="1656"/>
      <c r="J8" s="1657"/>
      <c r="K8" s="2383"/>
      <c r="L8" s="1886" t="s">
        <v>1539</v>
      </c>
      <c r="M8" s="2139">
        <f>SUMPRODUCT((区片价!B206:B244=I2)*(区片价!C3:F3=E2)*(区片价!C206:F244))</f>
        <v>0</v>
      </c>
      <c r="N8" s="2141">
        <f>SUMPRODUCT((因素修正幅度!B206:B244=I2)*(因素修正幅度!C3:F3=E2)*(因素修正幅度!C206:F244))</f>
        <v>0</v>
      </c>
      <c r="O8" s="2383"/>
      <c r="P8" s="2383"/>
      <c r="Q8" s="2383"/>
      <c r="R8" s="3082">
        <v>7</v>
      </c>
      <c r="S8" s="3083"/>
      <c r="T8" s="3082">
        <f t="shared" ca="1" si="0"/>
        <v>0</v>
      </c>
      <c r="U8" s="3083"/>
      <c r="V8" s="3082">
        <f t="shared" ca="1" si="1"/>
        <v>0</v>
      </c>
      <c r="W8" s="3878" t="s">
        <v>2899</v>
      </c>
      <c r="X8" s="3879"/>
      <c r="Y8" s="3094" t="s">
        <v>165</v>
      </c>
      <c r="Z8" s="3094" t="s">
        <v>166</v>
      </c>
      <c r="AA8" s="3094" t="s">
        <v>161</v>
      </c>
      <c r="AB8" s="3094" t="s">
        <v>162</v>
      </c>
      <c r="AC8" s="3094" t="s">
        <v>163</v>
      </c>
      <c r="AD8" s="3094" t="s">
        <v>164</v>
      </c>
      <c r="AE8" s="3094" t="s">
        <v>1174</v>
      </c>
      <c r="AF8" s="3094" t="s">
        <v>1175</v>
      </c>
      <c r="AG8" s="3094" t="s">
        <v>1176</v>
      </c>
      <c r="AH8" s="3094" t="s">
        <v>1177</v>
      </c>
      <c r="AI8" s="3094" t="s">
        <v>1178</v>
      </c>
      <c r="AJ8" s="3094" t="s">
        <v>1179</v>
      </c>
    </row>
    <row r="9" spans="1:36" ht="15">
      <c r="A9" s="3886"/>
      <c r="B9" s="1632" t="s">
        <v>1804</v>
      </c>
      <c r="C9" s="1658">
        <f>SUMIF(修正!C59:C119,C8,修正!E59:E119)</f>
        <v>0</v>
      </c>
      <c r="D9" s="532" t="s">
        <v>1140</v>
      </c>
      <c r="E9" s="532">
        <f>ROUND(C11/E7,4)</f>
        <v>0</v>
      </c>
      <c r="F9" s="1655" t="s">
        <v>1805</v>
      </c>
      <c r="G9" s="1656"/>
      <c r="H9" s="1656"/>
      <c r="I9" s="1656"/>
      <c r="J9" s="1657"/>
      <c r="K9" s="2383"/>
      <c r="L9" s="1886" t="s">
        <v>1541</v>
      </c>
      <c r="M9" s="2139">
        <f>SUMPRODUCT((区片价!B245:B289=I2)*(区片价!C3:F3=E2)*(区片价!C245:F289))</f>
        <v>0</v>
      </c>
      <c r="N9" s="2141">
        <f>SUMPRODUCT((因素修正幅度!B245:B289=I2)*(因素修正幅度!C3:F3=E2)*(因素修正幅度!C245:F289))</f>
        <v>0</v>
      </c>
      <c r="O9" s="2383"/>
      <c r="P9" s="2383"/>
      <c r="Q9" s="2383"/>
      <c r="R9" s="3082">
        <v>8</v>
      </c>
      <c r="S9" s="3083"/>
      <c r="T9" s="3082">
        <f t="shared" ca="1" si="0"/>
        <v>0</v>
      </c>
      <c r="U9" s="3083"/>
      <c r="V9" s="3082">
        <f t="shared" ca="1" si="1"/>
        <v>0</v>
      </c>
      <c r="W9" s="3880" t="s">
        <v>2900</v>
      </c>
      <c r="X9" s="3095" t="s">
        <v>1761</v>
      </c>
      <c r="Y9" s="3316"/>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886"/>
      <c r="B10" s="1632" t="s">
        <v>1806</v>
      </c>
      <c r="C10" s="532">
        <f>SUMIF(修正!C59:C119,C8,修正!F59:F119)</f>
        <v>0</v>
      </c>
      <c r="D10" s="532" t="s">
        <v>1141</v>
      </c>
      <c r="E10" s="532">
        <f>ROUND(C11/E7,4)</f>
        <v>0</v>
      </c>
      <c r="F10" s="1655" t="s">
        <v>1807</v>
      </c>
      <c r="G10" s="1656"/>
      <c r="H10" s="1656"/>
      <c r="I10" s="1656"/>
      <c r="J10" s="1657"/>
      <c r="K10" s="2383"/>
      <c r="L10" s="1886" t="s">
        <v>1545</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f t="shared" ca="1" si="0"/>
        <v>0</v>
      </c>
      <c r="U10" s="3083"/>
      <c r="V10" s="3082">
        <f t="shared" ca="1" si="1"/>
        <v>0</v>
      </c>
      <c r="W10" s="3880"/>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886"/>
      <c r="B11" s="1659" t="s">
        <v>1808</v>
      </c>
      <c r="C11" s="1660">
        <f>C10/4</f>
        <v>0</v>
      </c>
      <c r="D11" s="1660" t="s">
        <v>1142</v>
      </c>
      <c r="E11" s="1660">
        <f>ROUND(C11/E7,4)</f>
        <v>0</v>
      </c>
      <c r="F11" s="1661" t="s">
        <v>1809</v>
      </c>
      <c r="G11" s="1662"/>
      <c r="H11" s="1662"/>
      <c r="I11" s="1662"/>
      <c r="J11" s="1663"/>
      <c r="K11" s="2383"/>
      <c r="L11" s="1886" t="s">
        <v>1944</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f t="shared" ca="1" si="0"/>
        <v>0</v>
      </c>
      <c r="U11" s="3083"/>
      <c r="V11" s="3082">
        <f t="shared" ca="1" si="1"/>
        <v>0</v>
      </c>
      <c r="W11" s="3880" t="s">
        <v>2901</v>
      </c>
      <c r="X11" s="3098" t="s">
        <v>2898</v>
      </c>
      <c r="Y11" s="3099">
        <f>$G$3</f>
        <v>0.79</v>
      </c>
      <c r="Z11" s="3099">
        <f t="shared" ref="Z11:AJ11" si="3">$G$3</f>
        <v>0.79</v>
      </c>
      <c r="AA11" s="3099">
        <f t="shared" si="3"/>
        <v>0.79</v>
      </c>
      <c r="AB11" s="3099">
        <f t="shared" si="3"/>
        <v>0.79</v>
      </c>
      <c r="AC11" s="3099">
        <f t="shared" si="3"/>
        <v>0.79</v>
      </c>
      <c r="AD11" s="3099">
        <f t="shared" si="3"/>
        <v>0.79</v>
      </c>
      <c r="AE11" s="3099">
        <f t="shared" si="3"/>
        <v>0.79</v>
      </c>
      <c r="AF11" s="3099">
        <f t="shared" si="3"/>
        <v>0.79</v>
      </c>
      <c r="AG11" s="3099">
        <f t="shared" si="3"/>
        <v>0.79</v>
      </c>
      <c r="AH11" s="3099">
        <f t="shared" si="3"/>
        <v>0.79</v>
      </c>
      <c r="AI11" s="3099">
        <f t="shared" si="3"/>
        <v>0.79</v>
      </c>
      <c r="AJ11" s="3099">
        <f t="shared" si="3"/>
        <v>0.79</v>
      </c>
    </row>
    <row r="12" spans="1:36" ht="26.25" thickBot="1">
      <c r="A12" s="3885" t="s">
        <v>1942</v>
      </c>
      <c r="B12" s="1664" t="s">
        <v>1810</v>
      </c>
      <c r="C12" s="1648">
        <f>ROUND(C15*D15*E15*F15*G15*H15*I15*J15,4)</f>
        <v>1</v>
      </c>
      <c r="D12" s="1665" t="s">
        <v>1811</v>
      </c>
      <c r="E12" s="1666"/>
      <c r="F12" s="1666"/>
      <c r="G12" s="1667"/>
      <c r="H12" s="1667"/>
      <c r="I12" s="1667"/>
      <c r="J12" s="1668"/>
      <c r="K12" s="2383"/>
      <c r="L12" s="1887" t="s">
        <v>1945</v>
      </c>
      <c r="M12" s="2140">
        <f>SUMPRODUCT((区片价!B338:B344=I2)*(区片价!C3:F3=E2)*(区片价!C338:F344))</f>
        <v>800</v>
      </c>
      <c r="N12" s="2141">
        <f>SUMPRODUCT((因素修正幅度!B338:B344=I2)*(因素修正幅度!C3:F3=E2)*(因素修正幅度!C338:F344))</f>
        <v>0.15</v>
      </c>
      <c r="O12" s="2383"/>
      <c r="P12" s="2383"/>
      <c r="Q12" s="2383"/>
      <c r="R12" s="3082">
        <v>11</v>
      </c>
      <c r="S12" s="3083"/>
      <c r="T12" s="3082">
        <f t="shared" ca="1" si="0"/>
        <v>0</v>
      </c>
      <c r="U12" s="3083"/>
      <c r="V12" s="3082">
        <f t="shared" ca="1" si="1"/>
        <v>0</v>
      </c>
      <c r="W12" s="3880"/>
      <c r="X12" s="3100" t="s">
        <v>1764</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887"/>
      <c r="B13" s="1669" t="s">
        <v>1812</v>
      </c>
      <c r="C13" s="1670" t="s">
        <v>1813</v>
      </c>
      <c r="D13" s="1671" t="s">
        <v>1814</v>
      </c>
      <c r="E13" s="1671" t="s">
        <v>1815</v>
      </c>
      <c r="F13" s="81" t="s">
        <v>1143</v>
      </c>
      <c r="G13" s="1789" t="s">
        <v>1866</v>
      </c>
      <c r="H13" s="1789" t="s">
        <v>1866</v>
      </c>
      <c r="I13" s="1789" t="s">
        <v>1866</v>
      </c>
      <c r="J13" s="1790" t="s">
        <v>1866</v>
      </c>
      <c r="K13" s="2383"/>
      <c r="L13" s="2383"/>
      <c r="M13" s="2383"/>
      <c r="N13" s="2383"/>
      <c r="O13" s="2383"/>
      <c r="P13" s="2383"/>
      <c r="Q13" s="2383"/>
      <c r="R13" s="3082">
        <v>12</v>
      </c>
      <c r="S13" s="3083"/>
      <c r="T13" s="3082">
        <f t="shared" ca="1" si="0"/>
        <v>0</v>
      </c>
      <c r="U13" s="3083"/>
      <c r="V13" s="3082">
        <f t="shared" ca="1" si="1"/>
        <v>0</v>
      </c>
      <c r="W13" s="3880"/>
      <c r="X13" s="3100"/>
      <c r="Y13" s="3097">
        <f>(-0.163*(Y12^2)-0.59*Y12+7617)*(10^(-4))/Y11</f>
        <v>0.96417721518987343</v>
      </c>
      <c r="Z13" s="3097">
        <f t="shared" ref="Z13:AJ13" si="5">(-0.163*(Z12^2)-0.59*Z12+7617)*(10^(-4))/Z11</f>
        <v>0.96417721518987343</v>
      </c>
      <c r="AA13" s="3097">
        <f t="shared" si="5"/>
        <v>0.96417721518987343</v>
      </c>
      <c r="AB13" s="3097">
        <f t="shared" si="5"/>
        <v>0.96417721518987343</v>
      </c>
      <c r="AC13" s="3097">
        <f t="shared" si="5"/>
        <v>0.96417721518987343</v>
      </c>
      <c r="AD13" s="3097">
        <f t="shared" si="5"/>
        <v>0.96417721518987343</v>
      </c>
      <c r="AE13" s="3097">
        <f t="shared" si="5"/>
        <v>0.96417721518987343</v>
      </c>
      <c r="AF13" s="3097">
        <f t="shared" si="5"/>
        <v>0.96417721518987343</v>
      </c>
      <c r="AG13" s="3097">
        <f t="shared" si="5"/>
        <v>0.96417721518987343</v>
      </c>
      <c r="AH13" s="3097">
        <f t="shared" si="5"/>
        <v>0.96417721518987343</v>
      </c>
      <c r="AI13" s="3097">
        <f t="shared" si="5"/>
        <v>0.96417721518987343</v>
      </c>
      <c r="AJ13" s="3097">
        <f t="shared" si="5"/>
        <v>0.96417721518987343</v>
      </c>
    </row>
    <row r="14" spans="1:36" ht="15">
      <c r="A14" s="3887"/>
      <c r="B14" s="1672"/>
      <c r="C14" s="1791" t="s">
        <v>150</v>
      </c>
      <c r="D14" s="1488" t="s">
        <v>150</v>
      </c>
      <c r="E14" s="1488" t="s">
        <v>150</v>
      </c>
      <c r="F14" s="1792" t="s">
        <v>3535</v>
      </c>
      <c r="G14" s="1673" t="s">
        <v>1843</v>
      </c>
      <c r="H14" s="1674"/>
      <c r="I14" s="1675"/>
      <c r="J14" s="1676"/>
      <c r="K14" s="2383"/>
      <c r="L14" s="2383"/>
      <c r="M14" s="2383"/>
      <c r="N14" s="2383"/>
      <c r="O14" s="2383"/>
      <c r="P14" s="2383"/>
      <c r="Q14" s="2383"/>
      <c r="R14" s="3082">
        <v>13</v>
      </c>
      <c r="S14" s="3083"/>
      <c r="T14" s="3082">
        <f t="shared" ca="1" si="0"/>
        <v>0</v>
      </c>
      <c r="U14" s="3083"/>
      <c r="V14" s="3082">
        <f t="shared" ca="1" si="1"/>
        <v>0</v>
      </c>
      <c r="W14" s="3078"/>
      <c r="X14" s="3078"/>
      <c r="Y14" s="3078"/>
      <c r="Z14" s="3078"/>
      <c r="AA14" s="3078"/>
      <c r="AB14" s="3078"/>
      <c r="AC14" s="3079"/>
      <c r="AD14" s="3080"/>
      <c r="AE14" s="3080"/>
      <c r="AF14" s="3080"/>
      <c r="AG14" s="3080"/>
      <c r="AH14" s="3080"/>
      <c r="AI14" s="3080"/>
      <c r="AJ14" s="3081"/>
    </row>
    <row r="15" spans="1:36" ht="15.75" thickBot="1">
      <c r="A15" s="3888"/>
      <c r="B15" s="1677" t="s">
        <v>1816</v>
      </c>
      <c r="C15" s="561">
        <f>IF(C14="有",1.1,1)</f>
        <v>1</v>
      </c>
      <c r="D15" s="561">
        <f>IF(D14="有",1.1,1)</f>
        <v>1</v>
      </c>
      <c r="E15" s="561">
        <f>IF(E14="有",1.1,1)</f>
        <v>1</v>
      </c>
      <c r="F15" s="561">
        <f>IF(F14="500米范围内",1.2,IF(F14="500-1000米",1.1,1))</f>
        <v>1</v>
      </c>
      <c r="G15" s="1793">
        <v>1</v>
      </c>
      <c r="H15" s="1793">
        <v>1</v>
      </c>
      <c r="I15" s="1793">
        <v>1</v>
      </c>
      <c r="J15" s="1794">
        <v>1</v>
      </c>
      <c r="K15" s="2383"/>
      <c r="L15" s="1708" t="s">
        <v>1832</v>
      </c>
      <c r="M15" s="1709" t="s">
        <v>1833</v>
      </c>
      <c r="N15" s="1709" t="s">
        <v>1834</v>
      </c>
      <c r="O15" s="1709" t="s">
        <v>974</v>
      </c>
      <c r="P15" s="1710" t="s">
        <v>1835</v>
      </c>
      <c r="Q15" s="2383"/>
      <c r="R15" s="3082">
        <v>14</v>
      </c>
      <c r="S15" s="3083"/>
      <c r="T15" s="3082">
        <f t="shared" ca="1" si="0"/>
        <v>0</v>
      </c>
      <c r="U15" s="3083"/>
      <c r="V15" s="3082">
        <f t="shared" ca="1" si="1"/>
        <v>0</v>
      </c>
      <c r="W15" s="3078"/>
      <c r="X15" s="3078"/>
      <c r="Y15" s="3078"/>
      <c r="Z15" s="3078"/>
      <c r="AA15" s="3078"/>
      <c r="AB15" s="3078"/>
      <c r="AC15" s="3079"/>
      <c r="AD15" s="3080"/>
      <c r="AE15" s="3080"/>
      <c r="AF15" s="3080"/>
      <c r="AG15" s="3080"/>
      <c r="AH15" s="3080"/>
      <c r="AI15" s="3080"/>
      <c r="AJ15" s="3081"/>
    </row>
    <row r="16" spans="1:36" ht="24">
      <c r="A16" s="3885" t="s">
        <v>1943</v>
      </c>
      <c r="B16" s="1647" t="s">
        <v>1817</v>
      </c>
      <c r="C16" s="3429">
        <f>ROUND((G17+H17)/C17,0)-ROUND(I17/C17,0)</f>
        <v>8</v>
      </c>
      <c r="D16" s="1678" t="s">
        <v>1818</v>
      </c>
      <c r="E16" s="1795" t="s">
        <v>3536</v>
      </c>
      <c r="F16" s="1796" t="s">
        <v>3537</v>
      </c>
      <c r="G16" s="1797" t="s">
        <v>3538</v>
      </c>
      <c r="H16" s="1797" t="s">
        <v>3539</v>
      </c>
      <c r="I16" s="3428" t="s">
        <v>3540</v>
      </c>
      <c r="J16" s="1798"/>
      <c r="K16" s="2383"/>
      <c r="L16" s="1714" t="s">
        <v>1837</v>
      </c>
      <c r="M16" s="1658">
        <v>0.25</v>
      </c>
      <c r="N16" s="1658">
        <v>0.2</v>
      </c>
      <c r="O16" s="1658">
        <v>0.15</v>
      </c>
      <c r="P16" s="2733">
        <v>0.1</v>
      </c>
      <c r="Q16" s="2734"/>
      <c r="R16" s="3082">
        <v>15</v>
      </c>
      <c r="S16" s="3083"/>
      <c r="T16" s="3082">
        <f t="shared" ca="1" si="0"/>
        <v>0</v>
      </c>
      <c r="U16" s="3083"/>
      <c r="V16" s="3082">
        <f t="shared" ca="1" si="1"/>
        <v>0</v>
      </c>
      <c r="W16" s="3090"/>
      <c r="X16" s="3090"/>
      <c r="Y16" s="3090"/>
      <c r="Z16" s="3090"/>
      <c r="AA16" s="3090"/>
      <c r="AB16" s="3090"/>
      <c r="AC16" s="3091"/>
      <c r="AD16" s="3080"/>
      <c r="AE16" s="3080"/>
      <c r="AF16" s="3080"/>
      <c r="AG16" s="3080"/>
      <c r="AH16" s="3080"/>
      <c r="AI16" s="3080"/>
      <c r="AJ16" s="3081"/>
    </row>
    <row r="17" spans="1:37" ht="13.5" thickBot="1">
      <c r="A17" s="3886"/>
      <c r="B17" s="1679" t="s">
        <v>1819</v>
      </c>
      <c r="C17" s="1680">
        <f>SUMPRODUCT((修正!A2:A5=E2)*(修正!B1:M1=G2)*(修正!B2:M5))</f>
        <v>2</v>
      </c>
      <c r="D17" s="1681" t="s">
        <v>1820</v>
      </c>
      <c r="E17" s="1751" t="str">
        <f>IF(OR(G2="八级",G2="九级",G2="十级",G2="十一级",G2="十二级"),"五通一平","七通一平")</f>
        <v>五通一平</v>
      </c>
      <c r="F17" s="1682" t="s">
        <v>1821</v>
      </c>
      <c r="G17" s="1680">
        <f>SUMPRODUCT((七通一平=G16)*(修正!B1:M1=G2)*(修正!B6:M14))</f>
        <v>20</v>
      </c>
      <c r="H17" s="1680">
        <f>SUMPRODUCT((七通一平=H16)*(修正!B1:M1=G2)*(修正!B6:M14))</f>
        <v>25</v>
      </c>
      <c r="I17" s="1680">
        <f>SUMPRODUCT((七通一平=I16)*(修正!B1:M1=G2)*(修正!B6:M14))</f>
        <v>30</v>
      </c>
      <c r="J17" s="1683">
        <f>SUMPRODUCT((七通一平=J16)*(修正!B1:M1=G2)*(修正!B6:M14))</f>
        <v>0</v>
      </c>
      <c r="K17" s="2383"/>
      <c r="L17" s="1721" t="s">
        <v>1826</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40" customFormat="1" ht="15.75" thickBot="1">
      <c r="A18" s="1880" t="s">
        <v>1935</v>
      </c>
      <c r="B18" s="1684" t="s">
        <v>1822</v>
      </c>
      <c r="C18" s="1685">
        <f>SUMIF(修正!C18:C39,E3,修正!E18:E39)</f>
        <v>0.9</v>
      </c>
      <c r="D18" s="1686"/>
      <c r="E18" s="1687"/>
      <c r="F18" s="1688"/>
      <c r="G18" s="1689"/>
      <c r="H18" s="1689"/>
      <c r="I18" s="1689"/>
      <c r="J18" s="1690"/>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40" customFormat="1" ht="27.75" thickBot="1">
      <c r="A19" s="1880" t="s">
        <v>1936</v>
      </c>
      <c r="B19" s="1684" t="s">
        <v>1823</v>
      </c>
      <c r="C19" s="1693">
        <f>ROUND(IF(H19="按公示增长率计算",SUMPRODUCT((地价!A3:A19=YEAR(G19)&amp;"-"&amp;ROUNDUP(MONTH(G19)/3,0))*(地价!X2:AB2=E2)*(地价!X3:AB19)),IF(H19="地价指数",M20/M19,(1+I19)^O19)),4)</f>
        <v>1.2154</v>
      </c>
      <c r="D19" s="1694" t="s">
        <v>1144</v>
      </c>
      <c r="E19" s="1695">
        <v>41640</v>
      </c>
      <c r="F19" s="1694" t="s">
        <v>1145</v>
      </c>
      <c r="G19" s="1696">
        <f>'数据-取费表'!B2</f>
        <v>42941</v>
      </c>
      <c r="H19" s="3024" t="s">
        <v>3541</v>
      </c>
      <c r="I19" s="1697" t="str">
        <f>IF(H19="季度增幅（自定义）",SUMIF(N21:N24,E2,O21:O24),"")</f>
        <v/>
      </c>
      <c r="J19" s="1690"/>
      <c r="K19" s="2390"/>
      <c r="L19" s="3251" t="s">
        <v>2958</v>
      </c>
      <c r="M19" s="3253">
        <f>ROUND(SUMIF(地价!B2:F2,E2,地价!B19:F19),0)</f>
        <v>258</v>
      </c>
      <c r="N19" s="3249" t="s">
        <v>1868</v>
      </c>
      <c r="O19" s="1698">
        <f>ROUNDDOWN(DATEDIF(E19,G19,"M")/3,0)</f>
        <v>14</v>
      </c>
      <c r="P19" s="2738"/>
      <c r="Q19" s="2740"/>
      <c r="R19" s="2740"/>
      <c r="S19" s="2740"/>
      <c r="T19" s="2735"/>
      <c r="U19" s="2735"/>
      <c r="V19" s="2735"/>
      <c r="W19" s="2734"/>
      <c r="X19" s="2734"/>
      <c r="Y19" s="2734"/>
      <c r="Z19" s="2741"/>
      <c r="AA19" s="2742"/>
      <c r="AB19" s="2742"/>
      <c r="AC19" s="2742"/>
      <c r="AD19" s="2742"/>
      <c r="AE19" s="1691"/>
      <c r="AF19" s="1692"/>
      <c r="AG19" s="1699"/>
      <c r="AH19" s="1627"/>
      <c r="AI19" s="1639"/>
      <c r="AJ19" s="1639"/>
      <c r="AK19" s="1639"/>
    </row>
    <row r="20" spans="1:37" s="1640" customFormat="1" ht="27.75" thickBot="1">
      <c r="A20" s="1881" t="s">
        <v>1937</v>
      </c>
      <c r="B20" s="1753" t="s">
        <v>1824</v>
      </c>
      <c r="C20" s="1700">
        <f ca="1">ROUND(POWER(1+G20,J20-I20)*(POWER(1+G20,I20)-1)/(POWER(1+G20,J20)-1),4)</f>
        <v>0.94899999999999995</v>
      </c>
      <c r="D20" s="1754" t="s">
        <v>1825</v>
      </c>
      <c r="E20" s="3304">
        <f ca="1">存贷款利率!D4/100</f>
        <v>4.3499999999999997E-2</v>
      </c>
      <c r="F20" s="1754" t="s">
        <v>1826</v>
      </c>
      <c r="G20" s="1755">
        <f ca="1">SUMIF(M15:P15,E2,M17:P17)</f>
        <v>5.3999999999999999E-2</v>
      </c>
      <c r="H20" s="1754" t="s">
        <v>1827</v>
      </c>
      <c r="I20" s="1756">
        <f>SUMIF('数据-取费表'!C6:C15,E2,'数据-取费表'!F6:F15)/COUNTIF('数据-取费表'!C6:C15,E2)</f>
        <v>34.06</v>
      </c>
      <c r="J20" s="1757">
        <f>IF(E2="住宅",70,IF(E2="商业",40,50))</f>
        <v>40</v>
      </c>
      <c r="K20" s="2390"/>
      <c r="L20" s="3252" t="s">
        <v>2959</v>
      </c>
      <c r="M20" s="3254">
        <f>ROUND(SUMPRODUCT((地价!A4:A19=YEAR(G19)&amp;"-"&amp;ROUNDUP(MONTH(G19)/3,0))*(地价!B2:F2=E2)*(地价!B4:F19)),0)</f>
        <v>0</v>
      </c>
      <c r="N20" s="3250" t="s">
        <v>2786</v>
      </c>
      <c r="O20" s="3025" t="s">
        <v>2787</v>
      </c>
      <c r="P20" s="3026" t="s">
        <v>2796</v>
      </c>
      <c r="R20" s="2740"/>
      <c r="S20" s="2740"/>
      <c r="T20" s="2735"/>
      <c r="U20" s="2735"/>
      <c r="V20" s="2735"/>
      <c r="W20" s="2734"/>
      <c r="X20" s="2734"/>
      <c r="Y20" s="2734"/>
      <c r="Z20" s="2741"/>
      <c r="AA20" s="2742"/>
      <c r="AB20" s="2742"/>
      <c r="AC20" s="2742"/>
      <c r="AD20" s="2742"/>
      <c r="AE20" s="1691"/>
      <c r="AF20" s="1691"/>
    </row>
    <row r="21" spans="1:37" s="1640" customFormat="1" ht="14.25">
      <c r="A21" s="1882" t="s">
        <v>1938</v>
      </c>
      <c r="B21" s="1799" t="s">
        <v>3542</v>
      </c>
      <c r="C21" s="1758">
        <f>IF(B21="容积率修正",IF(G3&lt;=10,D22,J22),C23)</f>
        <v>1.7873000000000001</v>
      </c>
      <c r="D21" s="1759"/>
      <c r="E21" s="1759"/>
      <c r="F21" s="1759"/>
      <c r="G21" s="1759"/>
      <c r="H21" s="1759"/>
      <c r="I21" s="1759"/>
      <c r="J21" s="1760"/>
      <c r="K21" s="2390"/>
      <c r="N21" s="3027" t="s">
        <v>2788</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1"/>
      <c r="AF21" s="1691"/>
    </row>
    <row r="22" spans="1:37" s="1640" customFormat="1" ht="14.25">
      <c r="A22" s="190" t="s">
        <v>1941</v>
      </c>
      <c r="B22" s="1702" t="s">
        <v>1828</v>
      </c>
      <c r="C22" s="1780" t="s">
        <v>1841</v>
      </c>
      <c r="D22" s="1780">
        <f>IF(E22=G22,F22,IF(G3&lt;=10,ROUND(F22+(H22-F22)*(G3-E22)/(G22-E22),4),"——"))</f>
        <v>1.7873000000000001</v>
      </c>
      <c r="E22" s="1631">
        <f>ROUNDDOWN(G3,1)</f>
        <v>0.7</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2.0139</v>
      </c>
      <c r="G22" s="1631">
        <f>ROUNDUP(G3,1)</f>
        <v>0.79999999999999993</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1.7621</v>
      </c>
      <c r="I22" s="1780" t="s">
        <v>1158</v>
      </c>
      <c r="J22" s="1761" t="str">
        <f>IF(G3&gt;10,D113,"——")</f>
        <v>——</v>
      </c>
      <c r="K22" s="2390"/>
      <c r="N22" s="3027" t="s">
        <v>2789</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1"/>
      <c r="AF22" s="1691"/>
    </row>
    <row r="23" spans="1:37" ht="27.75" thickBot="1">
      <c r="A23" s="190" t="s">
        <v>1942</v>
      </c>
      <c r="B23" s="1872" t="s">
        <v>1829</v>
      </c>
      <c r="C23" s="1873">
        <f>ROUND(IF(G3&gt;1,IF(I3&lt;7,SUMPRODUCT((B93:B98=I3)*(C92:N92=G2)*(C93:N98)),SUMIF(C92:N92,G2,C100:N100)),IF(I3&lt;7,SUMPRODUCT((B102:B107=I3)*(C92:N92=G2)*(C102:N107)),SUMIF(C92:N92,G2,C109:N109))),4)</f>
        <v>0</v>
      </c>
      <c r="D23" s="1674"/>
      <c r="E23" s="1674"/>
      <c r="F23" s="1703"/>
      <c r="G23" s="1704"/>
      <c r="H23" s="1874"/>
      <c r="I23" s="1875"/>
      <c r="J23" s="1876"/>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7"/>
    </row>
    <row r="24" spans="1:37" s="1640" customFormat="1" ht="15.75" thickBot="1">
      <c r="A24" s="1881" t="s">
        <v>1939</v>
      </c>
      <c r="B24" s="1684" t="s">
        <v>1830</v>
      </c>
      <c r="C24" s="3489">
        <f>SUMIF(A45:A88,E2,B45:B88)</f>
        <v>0.94350000000000001</v>
      </c>
      <c r="D24" s="1688"/>
      <c r="E24" s="1877"/>
      <c r="F24" s="1877"/>
      <c r="G24" s="1877"/>
      <c r="H24" s="1877"/>
      <c r="I24" s="1877"/>
      <c r="J24" s="1878"/>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1"/>
      <c r="AF24" s="1691"/>
    </row>
    <row r="25" spans="1:37" ht="15" thickBot="1">
      <c r="A25" s="1881" t="s">
        <v>1940</v>
      </c>
      <c r="B25" s="1705" t="s">
        <v>1831</v>
      </c>
      <c r="C25" s="1706"/>
      <c r="D25" s="1651"/>
      <c r="E25" s="1651"/>
      <c r="F25" s="1707"/>
      <c r="G25" s="1651"/>
      <c r="H25" s="1651"/>
      <c r="I25" s="1651"/>
      <c r="J25" s="1652"/>
      <c r="K25" s="2383"/>
      <c r="N25" s="3034" t="s">
        <v>2790</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4"/>
      <c r="B26" s="1702" t="s">
        <v>1862</v>
      </c>
      <c r="C26" s="538">
        <f ca="1">E29+SUM(E33:E39)</f>
        <v>39538</v>
      </c>
      <c r="D26" s="1711"/>
      <c r="E26" s="1674"/>
      <c r="F26" s="1712"/>
      <c r="G26" s="1674"/>
      <c r="H26" s="1674"/>
      <c r="I26" s="1674"/>
      <c r="J26" s="1713"/>
      <c r="K26" s="2383"/>
      <c r="R26" s="2740"/>
      <c r="S26" s="2740"/>
      <c r="T26" s="2735"/>
      <c r="U26" s="2735"/>
      <c r="V26" s="2735"/>
      <c r="W26" s="2734"/>
      <c r="X26" s="2734"/>
      <c r="Y26" s="2734"/>
      <c r="Z26" s="2741"/>
      <c r="AA26" s="2742"/>
      <c r="AB26" s="2742"/>
      <c r="AC26" s="2742"/>
      <c r="AD26" s="2742"/>
    </row>
    <row r="27" spans="1:37" ht="15" thickBot="1">
      <c r="A27" s="1884"/>
      <c r="B27" s="1715" t="s">
        <v>1863</v>
      </c>
      <c r="C27" s="1716">
        <f ca="1">E30+SUM(I33:I39)</f>
        <v>658</v>
      </c>
      <c r="D27" s="1717"/>
      <c r="E27" s="1718"/>
      <c r="F27" s="1719"/>
      <c r="G27" s="1718"/>
      <c r="H27" s="1718"/>
      <c r="I27" s="1718"/>
      <c r="J27" s="1720"/>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2" t="s">
        <v>1861</v>
      </c>
      <c r="C28" s="1723" t="s">
        <v>1836</v>
      </c>
      <c r="D28" s="1723" t="s">
        <v>1852</v>
      </c>
      <c r="E28" s="1724" t="s">
        <v>1853</v>
      </c>
      <c r="F28" s="1725"/>
      <c r="G28" s="1667"/>
      <c r="H28" s="1667"/>
      <c r="I28" s="1667"/>
      <c r="J28" s="1668"/>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14.25">
      <c r="A29" s="1781"/>
      <c r="B29" s="1726" t="s">
        <v>1856</v>
      </c>
      <c r="C29" s="538">
        <f ca="1">ROUND(C5*C18*C19*C20*C21*C24,0)</f>
        <v>1386</v>
      </c>
      <c r="D29" s="1749">
        <f>'数据-汇总表'!F19</f>
        <v>266233.45999999985</v>
      </c>
      <c r="E29" s="1782">
        <f ca="1">ROUND(C29*D29/10000,0)</f>
        <v>36900</v>
      </c>
      <c r="F29" s="1727" t="s">
        <v>1838</v>
      </c>
      <c r="G29" s="1728"/>
      <c r="H29" s="1728"/>
      <c r="I29" s="1728"/>
      <c r="J29" s="1729"/>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30"/>
      <c r="B30" s="1731" t="s">
        <v>1857</v>
      </c>
      <c r="C30" s="561">
        <f ca="1">ROUND(IF(E2="工业",C29*M39,C29*M38),0)</f>
        <v>347</v>
      </c>
      <c r="D30" s="1750"/>
      <c r="E30" s="1782">
        <f ca="1">ROUND(C30*D30/10000,0)</f>
        <v>0</v>
      </c>
      <c r="F30" s="1732" t="s">
        <v>1854</v>
      </c>
      <c r="G30" s="1733"/>
      <c r="H30" s="1733"/>
      <c r="I30" s="1733"/>
      <c r="J30" s="1734"/>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5"/>
      <c r="B31" s="1736" t="s">
        <v>1858</v>
      </c>
      <c r="C31" s="1737" t="s">
        <v>1859</v>
      </c>
      <c r="D31" s="1667"/>
      <c r="E31" s="1737"/>
      <c r="F31" s="1737"/>
      <c r="G31" s="1665" t="s">
        <v>1860</v>
      </c>
      <c r="H31" s="1667"/>
      <c r="I31" s="1738"/>
      <c r="J31" s="1668"/>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9"/>
      <c r="C32" s="171" t="s">
        <v>1836</v>
      </c>
      <c r="D32" s="168" t="s">
        <v>1852</v>
      </c>
      <c r="E32" s="168" t="s">
        <v>1853</v>
      </c>
      <c r="F32" s="1740" t="s">
        <v>1840</v>
      </c>
      <c r="G32" s="1701" t="s">
        <v>1836</v>
      </c>
      <c r="H32" s="1701" t="s">
        <v>1852</v>
      </c>
      <c r="I32" s="1701" t="s">
        <v>1853</v>
      </c>
      <c r="J32" s="1741"/>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14.25">
      <c r="A33" s="1742"/>
      <c r="B33" s="1743" t="s">
        <v>1160</v>
      </c>
      <c r="C33" s="538">
        <f ca="1">ROUND(C5*C19*C20*C24*F33,0)</f>
        <v>517</v>
      </c>
      <c r="D33" s="1749">
        <f>'数据-汇总表'!G19</f>
        <v>51030.03</v>
      </c>
      <c r="E33" s="532">
        <f ca="1">ROUND(C33*D33/10000,0)</f>
        <v>2638</v>
      </c>
      <c r="F33" s="532">
        <f>SUMIF(修正!A45:A56,G2,修正!B45:B56)</f>
        <v>0.6</v>
      </c>
      <c r="G33" s="532">
        <f t="shared" ref="G33:G39" ca="1" si="6">ROUND(IF(E2="工业",C33*$M$39,C33*$M$38),0)</f>
        <v>129</v>
      </c>
      <c r="H33" s="532">
        <f>D33</f>
        <v>51030.03</v>
      </c>
      <c r="I33" s="532">
        <f ca="1">ROUND(G33*H33/10000,0)</f>
        <v>658</v>
      </c>
      <c r="J33" s="1744"/>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2"/>
      <c r="B34" s="1670" t="s">
        <v>1161</v>
      </c>
      <c r="C34" s="538">
        <f ca="1">ROUND(C5*C19*C20*C24*F34,0)</f>
        <v>259</v>
      </c>
      <c r="D34" s="1749"/>
      <c r="E34" s="532">
        <f t="shared" ref="E34:E39" ca="1" si="7">ROUND(C34*D34/10000,0)</f>
        <v>0</v>
      </c>
      <c r="F34" s="532">
        <f>SUMIF(修正!A45:A56,G2,修正!C45:C56)</f>
        <v>0.3</v>
      </c>
      <c r="G34" s="532">
        <f t="shared" ca="1" si="6"/>
        <v>65</v>
      </c>
      <c r="H34" s="532">
        <f t="shared" ref="H34:H39" si="8">D34</f>
        <v>0</v>
      </c>
      <c r="I34" s="532">
        <f t="shared" ref="I34:I39" ca="1" si="9">ROUND(G34*H34/10000,0)</f>
        <v>0</v>
      </c>
      <c r="J34" s="1744"/>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2"/>
      <c r="B35" s="1670" t="s">
        <v>1162</v>
      </c>
      <c r="C35" s="538">
        <f ca="1">ROUND(C5*C19*C20*C24*F35,0)</f>
        <v>172</v>
      </c>
      <c r="D35" s="1749"/>
      <c r="E35" s="532">
        <f t="shared" ca="1" si="7"/>
        <v>0</v>
      </c>
      <c r="F35" s="532">
        <f>SUMIF(修正!A45:A56,G2,修正!D45:D56)</f>
        <v>0.2</v>
      </c>
      <c r="G35" s="532">
        <f t="shared" ca="1" si="6"/>
        <v>43</v>
      </c>
      <c r="H35" s="532">
        <f t="shared" si="8"/>
        <v>0</v>
      </c>
      <c r="I35" s="532">
        <f t="shared" ca="1" si="9"/>
        <v>0</v>
      </c>
      <c r="J35" s="1744"/>
      <c r="K35" s="2383"/>
      <c r="L35" s="2383"/>
      <c r="M35" s="2383"/>
      <c r="N35" s="2383"/>
      <c r="O35" s="2383"/>
      <c r="P35" s="2383"/>
      <c r="Q35" s="2383"/>
      <c r="R35" s="2383"/>
      <c r="S35" s="2383"/>
      <c r="T35" s="2383"/>
      <c r="U35" s="2383"/>
      <c r="V35" s="2383"/>
      <c r="W35" s="2383"/>
      <c r="X35" s="2383"/>
      <c r="Y35" s="2383"/>
      <c r="Z35" s="2384"/>
    </row>
    <row r="36" spans="1:37" ht="13.5" thickBot="1">
      <c r="A36" s="1742"/>
      <c r="B36" s="1670" t="s">
        <v>1163</v>
      </c>
      <c r="C36" s="538">
        <f ca="1">ROUND(C5*C19*C20*C24*F36,0)</f>
        <v>172</v>
      </c>
      <c r="D36" s="1749"/>
      <c r="E36" s="532">
        <f t="shared" ca="1" si="7"/>
        <v>0</v>
      </c>
      <c r="F36" s="532">
        <f>SUMIF(修正!A45:A56,G2,修正!E45:E56)</f>
        <v>0.2</v>
      </c>
      <c r="G36" s="532">
        <f t="shared" ca="1" si="6"/>
        <v>43</v>
      </c>
      <c r="H36" s="532">
        <f t="shared" si="8"/>
        <v>0</v>
      </c>
      <c r="I36" s="532">
        <f t="shared" ca="1" si="9"/>
        <v>0</v>
      </c>
      <c r="J36" s="1744"/>
      <c r="K36" s="2383"/>
      <c r="L36" s="2387"/>
      <c r="M36" s="2387"/>
      <c r="N36" s="2383"/>
      <c r="O36" s="2383"/>
      <c r="P36" s="2383"/>
      <c r="Q36" s="2383"/>
      <c r="R36" s="2383"/>
      <c r="S36" s="2383"/>
      <c r="T36" s="2383"/>
      <c r="U36" s="2383"/>
      <c r="V36" s="2383"/>
      <c r="W36" s="2383"/>
      <c r="X36" s="2383"/>
      <c r="Y36" s="2383"/>
      <c r="Z36" s="2384"/>
    </row>
    <row r="37" spans="1:37" ht="12.75">
      <c r="A37" s="1742"/>
      <c r="B37" s="1670" t="s">
        <v>1164</v>
      </c>
      <c r="C37" s="532">
        <f ca="1">ROUND(C5*C19*C20*C24*F37,0)</f>
        <v>172</v>
      </c>
      <c r="D37" s="1749"/>
      <c r="E37" s="532">
        <f t="shared" ca="1" si="7"/>
        <v>0</v>
      </c>
      <c r="F37" s="538">
        <f>SUMIF(修正!A45:A56,G2,修正!F45:F56)</f>
        <v>0.2</v>
      </c>
      <c r="G37" s="532">
        <f t="shared" ca="1" si="6"/>
        <v>43</v>
      </c>
      <c r="H37" s="532">
        <f t="shared" si="8"/>
        <v>0</v>
      </c>
      <c r="I37" s="532">
        <f t="shared" ca="1" si="9"/>
        <v>0</v>
      </c>
      <c r="J37" s="1744"/>
      <c r="K37" s="2383"/>
      <c r="L37" s="2391" t="s">
        <v>1855</v>
      </c>
      <c r="M37" s="2392"/>
      <c r="N37" s="2383"/>
      <c r="O37" s="2383"/>
      <c r="P37" s="2383"/>
      <c r="Q37" s="2383"/>
      <c r="R37" s="2383"/>
      <c r="S37" s="2383"/>
      <c r="T37" s="2383"/>
      <c r="U37" s="2383"/>
      <c r="V37" s="2383"/>
      <c r="W37" s="2383"/>
      <c r="X37" s="2383"/>
      <c r="Y37" s="2383"/>
      <c r="Z37" s="2384"/>
    </row>
    <row r="38" spans="1:37" ht="12.75">
      <c r="A38" s="1742"/>
      <c r="B38" s="1670" t="s">
        <v>1165</v>
      </c>
      <c r="C38" s="532">
        <f ca="1">ROUND(C5*C19*C20*C24*F38,0)</f>
        <v>172</v>
      </c>
      <c r="D38" s="1749"/>
      <c r="E38" s="532">
        <f t="shared" ca="1" si="7"/>
        <v>0</v>
      </c>
      <c r="F38" s="538">
        <f>SUMIF(修正!A45:A56,G2,修正!G45:G56)</f>
        <v>0.2</v>
      </c>
      <c r="G38" s="532">
        <f t="shared" ca="1" si="6"/>
        <v>43</v>
      </c>
      <c r="H38" s="532">
        <f t="shared" si="8"/>
        <v>0</v>
      </c>
      <c r="I38" s="532">
        <f t="shared" ca="1" si="9"/>
        <v>0</v>
      </c>
      <c r="J38" s="1744"/>
      <c r="K38" s="2383"/>
      <c r="L38" s="1764" t="s">
        <v>1839</v>
      </c>
      <c r="M38" s="1765">
        <v>0.25</v>
      </c>
      <c r="N38" s="2383"/>
      <c r="O38" s="2383"/>
      <c r="P38" s="2383"/>
      <c r="Q38" s="2383"/>
      <c r="R38" s="2383"/>
      <c r="S38" s="2383"/>
      <c r="T38" s="2383"/>
      <c r="U38" s="2383"/>
      <c r="V38" s="2383"/>
      <c r="W38" s="2383"/>
      <c r="X38" s="2383"/>
      <c r="Y38" s="2383"/>
      <c r="Z38" s="2384"/>
    </row>
    <row r="39" spans="1:37" ht="13.5" thickBot="1">
      <c r="A39" s="1730"/>
      <c r="B39" s="1745" t="s">
        <v>1166</v>
      </c>
      <c r="C39" s="561">
        <f ca="1">ROUND(C5*C19*C20*C24*F39,0)</f>
        <v>129</v>
      </c>
      <c r="D39" s="1750"/>
      <c r="E39" s="561">
        <f t="shared" ca="1" si="7"/>
        <v>0</v>
      </c>
      <c r="F39" s="1746">
        <f>SUMIF(修正!A45:A56,G2,修正!H45:H56)</f>
        <v>0.15</v>
      </c>
      <c r="G39" s="561">
        <f t="shared" ca="1" si="6"/>
        <v>32</v>
      </c>
      <c r="H39" s="561">
        <f t="shared" si="8"/>
        <v>0</v>
      </c>
      <c r="I39" s="561">
        <f t="shared" ca="1" si="9"/>
        <v>0</v>
      </c>
      <c r="J39" s="1747"/>
      <c r="K39" s="2383"/>
      <c r="L39" s="1766" t="s">
        <v>1835</v>
      </c>
      <c r="M39" s="1767">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1775</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0.94350000000000001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1776</v>
      </c>
      <c r="B47" s="1499" t="s">
        <v>1777</v>
      </c>
      <c r="C47" s="1500" t="s">
        <v>1778</v>
      </c>
      <c r="D47" s="1501" t="s">
        <v>1849</v>
      </c>
      <c r="E47" s="1502" t="s">
        <v>1851</v>
      </c>
      <c r="F47" s="2605" t="s">
        <v>2496</v>
      </c>
      <c r="G47" s="1501" t="s">
        <v>1847</v>
      </c>
      <c r="H47" s="2606" t="s">
        <v>2497</v>
      </c>
      <c r="I47" s="1501" t="s">
        <v>1850</v>
      </c>
      <c r="J47" s="946" t="s">
        <v>423</v>
      </c>
      <c r="K47" s="946" t="s">
        <v>424</v>
      </c>
      <c r="L47" s="946" t="s">
        <v>425</v>
      </c>
      <c r="M47" s="946" t="s">
        <v>426</v>
      </c>
      <c r="N47" s="946" t="s">
        <v>427</v>
      </c>
      <c r="AA47" s="2384"/>
      <c r="AB47" s="2384"/>
      <c r="AC47" s="2384"/>
      <c r="AD47" s="2384"/>
      <c r="AE47" s="2384"/>
      <c r="AF47" s="2384"/>
      <c r="AG47" s="2384"/>
      <c r="AH47" s="2384"/>
      <c r="AI47" s="2384"/>
      <c r="AJ47" s="2384"/>
      <c r="AK47" s="2384"/>
    </row>
    <row r="48" spans="1:37" s="2383" customFormat="1" ht="66" customHeight="1">
      <c r="A48" s="1498" t="s">
        <v>1779</v>
      </c>
      <c r="B48" s="3487" t="str">
        <f>估价对象房地状况!C4</f>
        <v>估价对象区域内无大型商业项目，零星分布农村商店，人流量较少，区域内商业繁华度一般</v>
      </c>
      <c r="C48" s="3486" t="s">
        <v>3868</v>
      </c>
      <c r="D48" s="2604">
        <f t="shared" ref="D48:D56" si="10">SUMIF($J$47:$N$47,C48,J48:N48)</f>
        <v>-4.8000000000000001E-2</v>
      </c>
      <c r="E48" s="1505">
        <f>ROUND(SUM(D48:D56),4)</f>
        <v>-5.6500000000000002E-2</v>
      </c>
      <c r="F48" s="1506">
        <f>IF(E2="商业",SUMIF(L1:L12,G2,N1:N12),"——")</f>
        <v>0.15</v>
      </c>
      <c r="G48" s="2602">
        <v>2.4E-2</v>
      </c>
      <c r="H48" s="2620">
        <f t="shared" ref="H48:H56" si="11">IFERROR(ROUNDDOWN($F$48*I48/2,4),"——")</f>
        <v>2.47E-2</v>
      </c>
      <c r="I48" s="1504">
        <v>0.33</v>
      </c>
      <c r="J48" s="2603">
        <f t="shared" ref="J48:J56" si="12">K48+$G48</f>
        <v>4.8000000000000001E-2</v>
      </c>
      <c r="K48" s="2603">
        <f t="shared" ref="K48:K56" si="13">$L48+$G48</f>
        <v>2.4E-2</v>
      </c>
      <c r="L48" s="2603">
        <v>0</v>
      </c>
      <c r="M48" s="2603">
        <f t="shared" ref="M48:N56" si="14">L48-$G48</f>
        <v>-2.4E-2</v>
      </c>
      <c r="N48" s="2603">
        <f t="shared" si="14"/>
        <v>-4.8000000000000001E-2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估价对象紧邻大广高速，周边有密37、密50、密51路等公交线路，综合评价交通便捷度较好</v>
      </c>
      <c r="C49" s="3486" t="s">
        <v>3869</v>
      </c>
      <c r="D49" s="2604">
        <f t="shared" si="10"/>
        <v>-1.7999999999999999E-2</v>
      </c>
      <c r="E49" s="1508"/>
      <c r="F49" s="1506"/>
      <c r="G49" s="2602">
        <v>1.7999999999999999E-2</v>
      </c>
      <c r="H49" s="2620">
        <f t="shared" si="11"/>
        <v>1.8700000000000001E-2</v>
      </c>
      <c r="I49" s="1504">
        <v>0.25</v>
      </c>
      <c r="J49" s="2603">
        <f t="shared" si="12"/>
        <v>3.5999999999999997E-2</v>
      </c>
      <c r="K49" s="2603">
        <f t="shared" si="13"/>
        <v>1.7999999999999999E-2</v>
      </c>
      <c r="L49" s="2603">
        <v>0</v>
      </c>
      <c r="M49" s="2603">
        <f t="shared" si="14"/>
        <v>-1.7999999999999999E-2</v>
      </c>
      <c r="N49" s="2603">
        <f t="shared" si="14"/>
        <v>-3.5999999999999997E-2</v>
      </c>
      <c r="AA49" s="2384"/>
      <c r="AB49" s="2384"/>
      <c r="AC49" s="2384"/>
      <c r="AD49" s="2384"/>
      <c r="AE49" s="2384"/>
      <c r="AF49" s="2384"/>
      <c r="AG49" s="2384"/>
      <c r="AH49" s="2384"/>
      <c r="AI49" s="2384"/>
      <c r="AJ49" s="2384"/>
      <c r="AK49" s="2384"/>
    </row>
    <row r="50" spans="1:37" s="2383" customFormat="1" ht="24">
      <c r="A50" s="1498" t="s">
        <v>109</v>
      </c>
      <c r="B50" s="1507" t="str">
        <f>估价对象房地状况!C19</f>
        <v>零星有其他用地，基本不影响本宗地</v>
      </c>
      <c r="C50" s="3486" t="s">
        <v>3544</v>
      </c>
      <c r="D50" s="2604">
        <f t="shared" si="10"/>
        <v>0</v>
      </c>
      <c r="E50" s="1508"/>
      <c r="F50" s="1506"/>
      <c r="G50" s="2602">
        <v>3.5000000000000001E-3</v>
      </c>
      <c r="H50" s="2620">
        <f t="shared" si="11"/>
        <v>3.7000000000000002E-3</v>
      </c>
      <c r="I50" s="1504">
        <v>0.05</v>
      </c>
      <c r="J50" s="2603">
        <f t="shared" si="12"/>
        <v>7.0000000000000001E-3</v>
      </c>
      <c r="K50" s="2603">
        <f t="shared" si="13"/>
        <v>3.5000000000000001E-3</v>
      </c>
      <c r="L50" s="2603">
        <v>0</v>
      </c>
      <c r="M50" s="2603">
        <f t="shared" si="14"/>
        <v>-3.5000000000000001E-3</v>
      </c>
      <c r="N50" s="2603">
        <f t="shared" si="14"/>
        <v>-7.0000000000000001E-3</v>
      </c>
      <c r="AA50" s="2384"/>
      <c r="AB50" s="2384"/>
      <c r="AC50" s="2384"/>
      <c r="AD50" s="2384"/>
      <c r="AE50" s="2384"/>
      <c r="AF50" s="2384"/>
      <c r="AG50" s="2384"/>
      <c r="AH50" s="2384"/>
      <c r="AI50" s="2384"/>
      <c r="AJ50" s="2384"/>
      <c r="AK50" s="2384"/>
    </row>
    <row r="51" spans="1:37" s="2383" customFormat="1" ht="36">
      <c r="A51" s="1498" t="s">
        <v>1780</v>
      </c>
      <c r="B51" s="3307" t="s">
        <v>3028</v>
      </c>
      <c r="C51" s="1488" t="s">
        <v>3544</v>
      </c>
      <c r="D51" s="2604">
        <f t="shared" si="10"/>
        <v>0</v>
      </c>
      <c r="E51" s="1508"/>
      <c r="F51" s="1506"/>
      <c r="G51" s="2602">
        <v>3.5000000000000001E-3</v>
      </c>
      <c r="H51" s="2620">
        <f t="shared" si="11"/>
        <v>3.7000000000000002E-3</v>
      </c>
      <c r="I51" s="1504">
        <v>0.05</v>
      </c>
      <c r="J51" s="2603">
        <f t="shared" si="12"/>
        <v>7.0000000000000001E-3</v>
      </c>
      <c r="K51" s="2603">
        <f t="shared" si="13"/>
        <v>3.5000000000000001E-3</v>
      </c>
      <c r="L51" s="2603">
        <v>0</v>
      </c>
      <c r="M51" s="2603">
        <f t="shared" si="14"/>
        <v>-3.5000000000000001E-3</v>
      </c>
      <c r="N51" s="2603">
        <f t="shared" si="14"/>
        <v>-7.0000000000000001E-3</v>
      </c>
      <c r="AA51" s="2384"/>
      <c r="AB51" s="2384"/>
      <c r="AC51" s="2384"/>
      <c r="AD51" s="2384"/>
      <c r="AE51" s="2384"/>
      <c r="AF51" s="2384"/>
      <c r="AG51" s="2384"/>
      <c r="AH51" s="2384"/>
      <c r="AI51" s="2384"/>
      <c r="AJ51" s="2384"/>
      <c r="AK51" s="2384"/>
    </row>
    <row r="52" spans="1:37" s="2383" customFormat="1" ht="24">
      <c r="A52" s="1498" t="s">
        <v>1781</v>
      </c>
      <c r="B52" s="1507" t="str">
        <f>估价对象房地状况!C24</f>
        <v>高速路——大广高速</v>
      </c>
      <c r="C52" s="1488" t="s">
        <v>3545</v>
      </c>
      <c r="D52" s="2604">
        <f t="shared" si="10"/>
        <v>1.2E-2</v>
      </c>
      <c r="E52" s="1508"/>
      <c r="F52" s="1506"/>
      <c r="G52" s="2602">
        <v>6.0000000000000001E-3</v>
      </c>
      <c r="H52" s="2620">
        <f t="shared" si="11"/>
        <v>6.0000000000000001E-3</v>
      </c>
      <c r="I52" s="1504">
        <v>0.08</v>
      </c>
      <c r="J52" s="2603">
        <f t="shared" si="12"/>
        <v>1.2E-2</v>
      </c>
      <c r="K52" s="2603">
        <f t="shared" si="13"/>
        <v>6.0000000000000001E-3</v>
      </c>
      <c r="L52" s="2603">
        <v>0</v>
      </c>
      <c r="M52" s="2603">
        <f t="shared" si="14"/>
        <v>-6.0000000000000001E-3</v>
      </c>
      <c r="N52" s="2603">
        <f t="shared" si="14"/>
        <v>-1.2E-2</v>
      </c>
      <c r="AA52" s="2384"/>
      <c r="AB52" s="2384"/>
      <c r="AC52" s="2384"/>
      <c r="AD52" s="2384"/>
      <c r="AE52" s="2384"/>
      <c r="AF52" s="2384"/>
      <c r="AG52" s="2384"/>
      <c r="AH52" s="2384"/>
      <c r="AI52" s="2384"/>
      <c r="AJ52" s="2384"/>
      <c r="AK52" s="2384"/>
    </row>
    <row r="53" spans="1:37" s="2383" customFormat="1" ht="24">
      <c r="A53" s="1498" t="s">
        <v>1782</v>
      </c>
      <c r="B53" s="3488" t="s">
        <v>3027</v>
      </c>
      <c r="C53" s="3486" t="s">
        <v>3544</v>
      </c>
      <c r="D53" s="2604">
        <f t="shared" si="10"/>
        <v>0</v>
      </c>
      <c r="E53" s="1508"/>
      <c r="F53" s="1506"/>
      <c r="G53" s="2602">
        <v>2E-3</v>
      </c>
      <c r="H53" s="2620">
        <f t="shared" si="11"/>
        <v>2.2000000000000001E-3</v>
      </c>
      <c r="I53" s="1504">
        <v>0.03</v>
      </c>
      <c r="J53" s="2603">
        <f t="shared" si="12"/>
        <v>4.0000000000000001E-3</v>
      </c>
      <c r="K53" s="2603">
        <f t="shared" si="13"/>
        <v>2E-3</v>
      </c>
      <c r="L53" s="2603">
        <v>0</v>
      </c>
      <c r="M53" s="2603">
        <f t="shared" si="14"/>
        <v>-2E-3</v>
      </c>
      <c r="N53" s="2603">
        <f t="shared" si="14"/>
        <v>-4.0000000000000001E-3</v>
      </c>
      <c r="AA53" s="2384"/>
      <c r="AB53" s="2384"/>
      <c r="AC53" s="2384"/>
      <c r="AD53" s="2384"/>
      <c r="AE53" s="2384"/>
      <c r="AF53" s="2384"/>
      <c r="AG53" s="2384"/>
      <c r="AH53" s="2384"/>
      <c r="AI53" s="2384"/>
      <c r="AJ53" s="2384"/>
      <c r="AK53" s="2384"/>
    </row>
    <row r="54" spans="1:37" s="2383" customFormat="1" ht="48">
      <c r="A54" s="1509" t="s">
        <v>1783</v>
      </c>
      <c r="B54" s="2600" t="str">
        <f>估价对象房地状况!C21</f>
        <v>估价对象所在区域公共配套设施齐备情况；基础设施水平；综合评价公用设施及基础设施水平一般</v>
      </c>
      <c r="C54" s="3486" t="s">
        <v>3868</v>
      </c>
      <c r="D54" s="2604">
        <f t="shared" si="10"/>
        <v>-7.0000000000000001E-3</v>
      </c>
      <c r="E54" s="1508"/>
      <c r="F54" s="1506"/>
      <c r="G54" s="2602">
        <v>3.5000000000000001E-3</v>
      </c>
      <c r="H54" s="2620">
        <f t="shared" si="11"/>
        <v>3.7000000000000002E-3</v>
      </c>
      <c r="I54" s="1504">
        <v>0.05</v>
      </c>
      <c r="J54" s="2603">
        <f t="shared" si="12"/>
        <v>7.0000000000000001E-3</v>
      </c>
      <c r="K54" s="2603">
        <f t="shared" si="13"/>
        <v>3.5000000000000001E-3</v>
      </c>
      <c r="L54" s="2603">
        <v>0</v>
      </c>
      <c r="M54" s="2603">
        <f t="shared" si="14"/>
        <v>-3.5000000000000001E-3</v>
      </c>
      <c r="N54" s="2603">
        <f t="shared" si="14"/>
        <v>-7.0000000000000001E-3</v>
      </c>
      <c r="AA54" s="2384"/>
      <c r="AB54" s="2384"/>
      <c r="AC54" s="2384"/>
      <c r="AD54" s="2384"/>
      <c r="AE54" s="2384"/>
      <c r="AF54" s="2384"/>
      <c r="AG54" s="2384"/>
      <c r="AH54" s="2384"/>
      <c r="AI54" s="2384"/>
      <c r="AJ54" s="2384"/>
      <c r="AK54" s="2384"/>
    </row>
    <row r="55" spans="1:37" s="2383" customFormat="1" ht="48">
      <c r="A55" s="1509" t="s">
        <v>1784</v>
      </c>
      <c r="B55" s="1507" t="str">
        <f>估价对象房地状况!C22</f>
        <v>估价对象所在区域公共配套设施齐备情况；基础设施水平；综合评价公用设施及基础设施水平一般</v>
      </c>
      <c r="C55" s="3486" t="s">
        <v>3544</v>
      </c>
      <c r="D55" s="2604">
        <f t="shared" si="10"/>
        <v>0</v>
      </c>
      <c r="E55" s="1508"/>
      <c r="F55" s="1506"/>
      <c r="G55" s="2602">
        <v>7.4999999999999997E-3</v>
      </c>
      <c r="H55" s="2620">
        <f t="shared" si="11"/>
        <v>7.4999999999999997E-3</v>
      </c>
      <c r="I55" s="1504">
        <v>0.1</v>
      </c>
      <c r="J55" s="2603">
        <f t="shared" si="12"/>
        <v>1.4999999999999999E-2</v>
      </c>
      <c r="K55" s="2603">
        <f t="shared" si="13"/>
        <v>7.4999999999999997E-3</v>
      </c>
      <c r="L55" s="2603">
        <v>0</v>
      </c>
      <c r="M55" s="2603">
        <f t="shared" si="14"/>
        <v>-7.4999999999999997E-3</v>
      </c>
      <c r="N55" s="2603">
        <f t="shared" si="14"/>
        <v>-1.4999999999999999E-2</v>
      </c>
      <c r="AA55" s="2384"/>
      <c r="AB55" s="2384"/>
      <c r="AC55" s="2384"/>
      <c r="AD55" s="2384"/>
      <c r="AE55" s="2384"/>
      <c r="AF55" s="2384"/>
      <c r="AG55" s="2384"/>
      <c r="AH55" s="2384"/>
      <c r="AI55" s="2384"/>
      <c r="AJ55" s="2384"/>
      <c r="AK55" s="2384"/>
    </row>
    <row r="56" spans="1:37" s="2383" customFormat="1" ht="36.75" thickBot="1">
      <c r="A56" s="1511" t="s">
        <v>1785</v>
      </c>
      <c r="B56" s="1512" t="str">
        <f>估价对象房地状况!C20</f>
        <v>区域有司马台长城、鸳鸯湖水库；综合评价环境状况好</v>
      </c>
      <c r="C56" s="1488" t="s">
        <v>3543</v>
      </c>
      <c r="D56" s="2604">
        <f t="shared" si="10"/>
        <v>4.4999999999999997E-3</v>
      </c>
      <c r="E56" s="1514"/>
      <c r="F56" s="1506"/>
      <c r="G56" s="2602">
        <v>4.4999999999999997E-3</v>
      </c>
      <c r="H56" s="2620">
        <f t="shared" si="11"/>
        <v>4.4999999999999997E-3</v>
      </c>
      <c r="I56" s="1513">
        <v>0.06</v>
      </c>
      <c r="J56" s="2603">
        <f t="shared" si="12"/>
        <v>8.9999999999999993E-3</v>
      </c>
      <c r="K56" s="2603">
        <f t="shared" si="13"/>
        <v>4.4999999999999997E-3</v>
      </c>
      <c r="L56" s="2603">
        <v>0</v>
      </c>
      <c r="M56" s="2603">
        <f t="shared" si="14"/>
        <v>-4.4999999999999997E-3</v>
      </c>
      <c r="N56" s="2603">
        <f t="shared" si="14"/>
        <v>-8.9999999999999993E-3</v>
      </c>
      <c r="AA56" s="2384"/>
      <c r="AB56" s="2384"/>
      <c r="AC56" s="2384"/>
      <c r="AD56" s="2384"/>
      <c r="AE56" s="2384"/>
      <c r="AF56" s="2384"/>
      <c r="AG56" s="2384"/>
      <c r="AH56" s="2384"/>
      <c r="AI56" s="2384"/>
      <c r="AJ56" s="2384"/>
      <c r="AK56" s="2384"/>
    </row>
    <row r="57" spans="1:37" s="2383" customFormat="1" ht="15">
      <c r="A57" s="1492" t="s">
        <v>1159</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1776</v>
      </c>
      <c r="B58" s="1499"/>
      <c r="C58" s="1500" t="s">
        <v>1778</v>
      </c>
      <c r="D58" s="1501" t="s">
        <v>1849</v>
      </c>
      <c r="E58" s="1502" t="s">
        <v>1851</v>
      </c>
      <c r="F58" s="2605" t="s">
        <v>2293</v>
      </c>
      <c r="G58" s="1501" t="s">
        <v>1847</v>
      </c>
      <c r="H58" s="2606" t="s">
        <v>2497</v>
      </c>
      <c r="I58" s="1501" t="s">
        <v>1850</v>
      </c>
      <c r="J58" s="946" t="s">
        <v>423</v>
      </c>
      <c r="K58" s="946" t="s">
        <v>424</v>
      </c>
      <c r="L58" s="946" t="s">
        <v>425</v>
      </c>
      <c r="M58" s="946" t="s">
        <v>426</v>
      </c>
      <c r="N58" s="946" t="s">
        <v>427</v>
      </c>
      <c r="AA58" s="2384"/>
      <c r="AB58" s="2384"/>
      <c r="AC58" s="2384"/>
      <c r="AD58" s="2384"/>
      <c r="AE58" s="2384"/>
      <c r="AF58" s="2384"/>
      <c r="AG58" s="2384"/>
      <c r="AH58" s="2384"/>
      <c r="AI58" s="2384"/>
      <c r="AJ58" s="2384"/>
      <c r="AK58" s="2384"/>
    </row>
    <row r="59" spans="1:37" s="2383" customFormat="1" ht="36">
      <c r="A59" s="1498" t="s">
        <v>1090</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估价对象紧邻大广高速，周边有密37、密50、密51路等公交线路，综合评价交通便捷度较好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零星有其他用地，基本不影响本宗地</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1780</v>
      </c>
      <c r="B62" s="3307" t="s">
        <v>3028</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1781</v>
      </c>
      <c r="B63" s="1507" t="str">
        <f>估价对象房地状况!C24</f>
        <v>高速路——大广高速</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1782</v>
      </c>
      <c r="B64" s="3306" t="s">
        <v>3027</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48">
      <c r="A65" s="1498" t="s">
        <v>1783</v>
      </c>
      <c r="B65" s="2600" t="str">
        <f>估价对象房地状况!C21</f>
        <v>估价对象所在区域公共配套设施齐备情况；基础设施水平；综合评价公用设施及基础设施水平一般</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48">
      <c r="A66" s="1498" t="s">
        <v>1784</v>
      </c>
      <c r="B66" s="2600" t="str">
        <f>估价对象房地状况!C22</f>
        <v>估价对象所在区域公共配套设施齐备情况；基础设施水平；综合评价公用设施及基础设施水平一般</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1785</v>
      </c>
      <c r="B67" s="1516" t="str">
        <f>估价对象房地状况!C20</f>
        <v>区域有司马台长城、鸳鸯湖水库；综合评价环境状况好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974</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1776</v>
      </c>
      <c r="B69" s="1499"/>
      <c r="C69" s="1500" t="s">
        <v>1778</v>
      </c>
      <c r="D69" s="1501" t="s">
        <v>1849</v>
      </c>
      <c r="E69" s="1502" t="s">
        <v>1851</v>
      </c>
      <c r="F69" s="2605" t="s">
        <v>2293</v>
      </c>
      <c r="G69" s="1501" t="s">
        <v>1847</v>
      </c>
      <c r="H69" s="2606" t="s">
        <v>2497</v>
      </c>
      <c r="I69" s="1501" t="s">
        <v>1850</v>
      </c>
      <c r="J69" s="946" t="s">
        <v>423</v>
      </c>
      <c r="K69" s="946" t="s">
        <v>424</v>
      </c>
      <c r="L69" s="946" t="s">
        <v>425</v>
      </c>
      <c r="M69" s="946" t="s">
        <v>426</v>
      </c>
      <c r="N69" s="946" t="s">
        <v>427</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估价对象紧邻大广高速，周边有密37、密50、密51路等公交线路，综合评价交通便捷度较好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零星有其他用地，基本不影响本宗地</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1786</v>
      </c>
      <c r="B73" s="1507" t="str">
        <f>估价对象房地状况!C24</f>
        <v>高速路——大广高速</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48">
      <c r="A74" s="1498" t="s">
        <v>1783</v>
      </c>
      <c r="B74" s="2600" t="str">
        <f>估价对象房地状况!C21</f>
        <v>估价对象所在区域公共配套设施齐备情况；基础设施水平；综合评价公用设施及基础设施水平一般</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48">
      <c r="A75" s="1498" t="s">
        <v>1784</v>
      </c>
      <c r="B75" s="2600" t="str">
        <f>估价对象房地状况!C22</f>
        <v>估价对象所在区域公共配套设施齐备情况；基础设施水平；综合评价公用设施及基础设施水平一般</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1782</v>
      </c>
      <c r="B76" s="3306" t="s">
        <v>3027</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1785</v>
      </c>
      <c r="B77" s="1503" t="str">
        <f>估价对象房地状况!C20</f>
        <v>区域有司马台长城、鸳鸯湖水库；综合评价环境状况好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1787</v>
      </c>
      <c r="B78" s="3305"/>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1101</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1776</v>
      </c>
      <c r="B80" s="1499"/>
      <c r="C80" s="1500" t="s">
        <v>1778</v>
      </c>
      <c r="D80" s="1501" t="s">
        <v>1849</v>
      </c>
      <c r="E80" s="1502" t="s">
        <v>1851</v>
      </c>
      <c r="F80" s="2605" t="s">
        <v>2293</v>
      </c>
      <c r="G80" s="1501" t="s">
        <v>1847</v>
      </c>
      <c r="H80" s="2606" t="s">
        <v>2497</v>
      </c>
      <c r="I80" s="1501" t="s">
        <v>1850</v>
      </c>
      <c r="J80" s="946" t="s">
        <v>423</v>
      </c>
      <c r="K80" s="946" t="s">
        <v>424</v>
      </c>
      <c r="L80" s="946" t="s">
        <v>425</v>
      </c>
      <c r="M80" s="946" t="s">
        <v>426</v>
      </c>
      <c r="N80" s="946" t="s">
        <v>427</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1786</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1783</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1784</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1782</v>
      </c>
      <c r="B87" s="3306" t="s">
        <v>2495</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1788</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889" t="s">
        <v>1757</v>
      </c>
      <c r="B90" s="3889"/>
      <c r="C90" s="3889"/>
      <c r="D90" s="3889"/>
      <c r="E90" s="3889"/>
      <c r="F90" s="3889"/>
      <c r="G90" s="3889"/>
      <c r="H90" s="3889"/>
      <c r="I90" s="3889"/>
      <c r="J90" s="3889"/>
      <c r="K90" s="2609"/>
      <c r="L90" s="2609"/>
      <c r="M90" s="2609"/>
      <c r="N90" s="2609"/>
    </row>
    <row r="91" spans="1:37">
      <c r="A91" s="3891" t="s">
        <v>68</v>
      </c>
      <c r="B91" s="3891" t="s">
        <v>1758</v>
      </c>
      <c r="C91" s="1587" t="s">
        <v>1759</v>
      </c>
      <c r="D91" s="1588"/>
      <c r="E91" s="1588"/>
      <c r="F91" s="1588"/>
      <c r="G91" s="1588"/>
      <c r="H91" s="1588"/>
      <c r="I91" s="1588"/>
      <c r="J91" s="1589"/>
      <c r="K91" s="1577"/>
      <c r="L91" s="1577"/>
      <c r="M91" s="1577"/>
      <c r="N91" s="1577"/>
    </row>
    <row r="92" spans="1:37">
      <c r="A92" s="3891"/>
      <c r="B92" s="3891"/>
      <c r="C92" s="2608" t="s">
        <v>165</v>
      </c>
      <c r="D92" s="2608" t="s">
        <v>166</v>
      </c>
      <c r="E92" s="2608" t="s">
        <v>161</v>
      </c>
      <c r="F92" s="2608" t="s">
        <v>162</v>
      </c>
      <c r="G92" s="2608" t="s">
        <v>163</v>
      </c>
      <c r="H92" s="2608" t="s">
        <v>164</v>
      </c>
      <c r="I92" s="2608" t="s">
        <v>1174</v>
      </c>
      <c r="J92" s="2608" t="s">
        <v>1175</v>
      </c>
      <c r="K92" s="2608" t="s">
        <v>1176</v>
      </c>
      <c r="L92" s="2608" t="s">
        <v>1177</v>
      </c>
      <c r="M92" s="2608" t="s">
        <v>1178</v>
      </c>
      <c r="N92" s="2608" t="s">
        <v>1179</v>
      </c>
    </row>
    <row r="93" spans="1:37">
      <c r="A93" s="3892" t="s">
        <v>1760</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893"/>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893"/>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893"/>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893"/>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893"/>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893"/>
      <c r="B99" s="1590" t="s">
        <v>1761</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894"/>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892" t="s">
        <v>1762</v>
      </c>
      <c r="B101" s="1594" t="s">
        <v>93</v>
      </c>
      <c r="C101" s="1595">
        <f>$G$3</f>
        <v>0.79</v>
      </c>
      <c r="D101" s="1595">
        <f t="shared" ref="D101:N101" si="31">$G$3</f>
        <v>0.79</v>
      </c>
      <c r="E101" s="1595">
        <f t="shared" si="31"/>
        <v>0.79</v>
      </c>
      <c r="F101" s="1595">
        <f t="shared" si="31"/>
        <v>0.79</v>
      </c>
      <c r="G101" s="1595">
        <f t="shared" si="31"/>
        <v>0.79</v>
      </c>
      <c r="H101" s="1595">
        <f t="shared" si="31"/>
        <v>0.79</v>
      </c>
      <c r="I101" s="1595">
        <f t="shared" si="31"/>
        <v>0.79</v>
      </c>
      <c r="J101" s="1595">
        <f t="shared" si="31"/>
        <v>0.79</v>
      </c>
      <c r="K101" s="1595">
        <f t="shared" si="31"/>
        <v>0.79</v>
      </c>
      <c r="L101" s="1595">
        <f t="shared" si="31"/>
        <v>0.79</v>
      </c>
      <c r="M101" s="1595">
        <f t="shared" si="31"/>
        <v>0.79</v>
      </c>
      <c r="N101" s="1595">
        <f t="shared" si="31"/>
        <v>0.79</v>
      </c>
    </row>
    <row r="102" spans="1:14">
      <c r="A102" s="3893"/>
      <c r="B102" s="1590">
        <v>1</v>
      </c>
      <c r="C102" s="1591">
        <f>1.9362/C101</f>
        <v>2.4508860759493669</v>
      </c>
      <c r="D102" s="1591">
        <f>1.9362/D101</f>
        <v>2.4508860759493669</v>
      </c>
      <c r="E102" s="1591">
        <f>1.8629/E101</f>
        <v>2.3581012658227847</v>
      </c>
      <c r="F102" s="1591">
        <f>1.8629/F101</f>
        <v>2.3581012658227847</v>
      </c>
      <c r="G102" s="1591">
        <f>1.8629/G101</f>
        <v>2.3581012658227847</v>
      </c>
      <c r="H102" s="1591">
        <f>1.8629/H101</f>
        <v>2.3581012658227847</v>
      </c>
      <c r="I102" s="1591">
        <f>1.8629/I101</f>
        <v>2.3581012658227847</v>
      </c>
      <c r="J102" s="1591">
        <f>1.942/J101</f>
        <v>2.4582278481012656</v>
      </c>
      <c r="K102" s="1591">
        <f>1.942/K101</f>
        <v>2.4582278481012656</v>
      </c>
      <c r="L102" s="1591">
        <f>1.942/L101</f>
        <v>2.4582278481012656</v>
      </c>
      <c r="M102" s="1591">
        <f>1.942/M101</f>
        <v>2.4582278481012656</v>
      </c>
      <c r="N102" s="1591">
        <f>1.942/N101</f>
        <v>2.4582278481012656</v>
      </c>
    </row>
    <row r="103" spans="1:14">
      <c r="A103" s="3893"/>
      <c r="B103" s="1590">
        <v>2</v>
      </c>
      <c r="C103" s="1591">
        <f>1.4198/C101</f>
        <v>1.7972151898734177</v>
      </c>
      <c r="D103" s="1591">
        <f>1.4198/D101</f>
        <v>1.7972151898734177</v>
      </c>
      <c r="E103" s="1591">
        <f>1.3372/E101</f>
        <v>1.692658227848101</v>
      </c>
      <c r="F103" s="1591">
        <f>1.3372/F101</f>
        <v>1.692658227848101</v>
      </c>
      <c r="G103" s="1591">
        <f>1.3372/G101</f>
        <v>1.692658227848101</v>
      </c>
      <c r="H103" s="1591">
        <f>1.3372/H101</f>
        <v>1.692658227848101</v>
      </c>
      <c r="I103" s="1591">
        <f>1.3372/I101</f>
        <v>1.692658227848101</v>
      </c>
      <c r="J103" s="1591">
        <f>1.2799/J101</f>
        <v>1.6201265822784809</v>
      </c>
      <c r="K103" s="1591">
        <f>1.2799/K101</f>
        <v>1.6201265822784809</v>
      </c>
      <c r="L103" s="1591">
        <f>1.2799/L101</f>
        <v>1.6201265822784809</v>
      </c>
      <c r="M103" s="1591">
        <f>1.2799/M101</f>
        <v>1.6201265822784809</v>
      </c>
      <c r="N103" s="1591">
        <f>1.2799/N101</f>
        <v>1.6201265822784809</v>
      </c>
    </row>
    <row r="104" spans="1:14">
      <c r="A104" s="3893"/>
      <c r="B104" s="1590">
        <v>3</v>
      </c>
      <c r="C104" s="1591">
        <f>1.1594/C101</f>
        <v>1.4675949367088608</v>
      </c>
      <c r="D104" s="1591">
        <f>1.1594/D101</f>
        <v>1.4675949367088608</v>
      </c>
      <c r="E104" s="1591">
        <f>1.0788/E101</f>
        <v>1.3655696202531644</v>
      </c>
      <c r="F104" s="1591">
        <f>1.0788/F101</f>
        <v>1.3655696202531644</v>
      </c>
      <c r="G104" s="1591">
        <f>1.0788/G101</f>
        <v>1.3655696202531644</v>
      </c>
      <c r="H104" s="1591">
        <f>1.0788/H101</f>
        <v>1.3655696202531644</v>
      </c>
      <c r="I104" s="1591">
        <f>1.0788/I101</f>
        <v>1.3655696202531644</v>
      </c>
      <c r="J104" s="1591">
        <f>1.0072/J101</f>
        <v>1.2749367088607595</v>
      </c>
      <c r="K104" s="1591">
        <f>1.0072/K101</f>
        <v>1.2749367088607595</v>
      </c>
      <c r="L104" s="1591">
        <f>1.0072/L101</f>
        <v>1.2749367088607595</v>
      </c>
      <c r="M104" s="1591">
        <f>1.0072/M101</f>
        <v>1.2749367088607595</v>
      </c>
      <c r="N104" s="1591">
        <f>1.0072/N101</f>
        <v>1.2749367088607595</v>
      </c>
    </row>
    <row r="105" spans="1:14">
      <c r="A105" s="3893"/>
      <c r="B105" s="1590">
        <v>4</v>
      </c>
      <c r="C105" s="1591">
        <f>0.9622/C101</f>
        <v>1.2179746835443037</v>
      </c>
      <c r="D105" s="1591">
        <f>0.9622/D101</f>
        <v>1.2179746835443037</v>
      </c>
      <c r="E105" s="1591">
        <f>0.8656/E101</f>
        <v>1.0956962025316455</v>
      </c>
      <c r="F105" s="1591">
        <f>0.8656/F101</f>
        <v>1.0956962025316455</v>
      </c>
      <c r="G105" s="1591">
        <f>0.8656/G101</f>
        <v>1.0956962025316455</v>
      </c>
      <c r="H105" s="1591">
        <f>0.8656/H101</f>
        <v>1.0956962025316455</v>
      </c>
      <c r="I105" s="1591">
        <f>0.8656/I101</f>
        <v>1.0956962025316455</v>
      </c>
      <c r="J105" s="1591">
        <f>0.7525/J101</f>
        <v>0.95253164556962011</v>
      </c>
      <c r="K105" s="1591">
        <f>0.7525/K101</f>
        <v>0.95253164556962011</v>
      </c>
      <c r="L105" s="1591">
        <f>0.7525/L101</f>
        <v>0.95253164556962011</v>
      </c>
      <c r="M105" s="1591">
        <f>0.7525/M101</f>
        <v>0.95253164556962011</v>
      </c>
      <c r="N105" s="1591">
        <f>0.7525/N101</f>
        <v>0.95253164556962011</v>
      </c>
    </row>
    <row r="106" spans="1:14">
      <c r="A106" s="3893"/>
      <c r="B106" s="1590">
        <v>5</v>
      </c>
      <c r="C106" s="1591">
        <f>0.8417/C101</f>
        <v>1.0654430379746835</v>
      </c>
      <c r="D106" s="1591">
        <f>0.8417/D101</f>
        <v>1.0654430379746835</v>
      </c>
      <c r="E106" s="1591">
        <f>0.7371/E101</f>
        <v>0.93303797468354421</v>
      </c>
      <c r="F106" s="1591">
        <f>0.7371/F101</f>
        <v>0.93303797468354421</v>
      </c>
      <c r="G106" s="1591">
        <f>0.7371/G101</f>
        <v>0.93303797468354421</v>
      </c>
      <c r="H106" s="1591">
        <f>0.7371/H101</f>
        <v>0.93303797468354421</v>
      </c>
      <c r="I106" s="1591">
        <f>0.7371/I101</f>
        <v>0.93303797468354421</v>
      </c>
      <c r="J106" s="1591">
        <f>0.5659/J101</f>
        <v>0.71632911392405052</v>
      </c>
      <c r="K106" s="1591">
        <f>0.5659/K101</f>
        <v>0.71632911392405052</v>
      </c>
      <c r="L106" s="1591">
        <f>0.5659/L101</f>
        <v>0.71632911392405052</v>
      </c>
      <c r="M106" s="1591">
        <f>0.5659/M101</f>
        <v>0.71632911392405052</v>
      </c>
      <c r="N106" s="1591">
        <f>0.5659/N101</f>
        <v>0.71632911392405052</v>
      </c>
    </row>
    <row r="107" spans="1:14">
      <c r="A107" s="3893"/>
      <c r="B107" s="1590">
        <v>6</v>
      </c>
      <c r="C107" s="1591">
        <f>0.7608/C101</f>
        <v>0.96303797468354435</v>
      </c>
      <c r="D107" s="1591">
        <f>0.7608/D101</f>
        <v>0.96303797468354435</v>
      </c>
      <c r="E107" s="1591">
        <f>0.6482/E101</f>
        <v>0.82050632911392396</v>
      </c>
      <c r="F107" s="1591">
        <f>0.6482/F101</f>
        <v>0.82050632911392396</v>
      </c>
      <c r="G107" s="1591">
        <f>0.6482/G101</f>
        <v>0.82050632911392396</v>
      </c>
      <c r="H107" s="1591">
        <f>0.6482/H101</f>
        <v>0.82050632911392396</v>
      </c>
      <c r="I107" s="1591">
        <f>0.6482/I101</f>
        <v>0.82050632911392396</v>
      </c>
      <c r="J107" s="1591">
        <f>0.4525/J101</f>
        <v>0.57278481012658222</v>
      </c>
      <c r="K107" s="1591">
        <f>0.4525/K101</f>
        <v>0.57278481012658222</v>
      </c>
      <c r="L107" s="1591">
        <f>0.4525/L101</f>
        <v>0.57278481012658222</v>
      </c>
      <c r="M107" s="1591">
        <f>0.4525/M101</f>
        <v>0.57278481012658222</v>
      </c>
      <c r="N107" s="1591">
        <f>0.4525/N101</f>
        <v>0.57278481012658222</v>
      </c>
    </row>
    <row r="108" spans="1:14">
      <c r="A108" s="3893"/>
      <c r="B108" s="3895" t="s">
        <v>1764</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894"/>
      <c r="B109" s="3896"/>
      <c r="C109" s="1593">
        <f>(-0.163*(C108^2)-0.59*C108+7617)*(10^(-4))/C101</f>
        <v>0.96417721518987343</v>
      </c>
      <c r="D109" s="1593">
        <f>(-0.163*(D108^2)-0.59*D108+7617)*(10^(-4))/D101</f>
        <v>0.96417721518987343</v>
      </c>
      <c r="E109" s="1593">
        <f>(-0.161*(E108^2)-7.509*E108+6533)*(10^(-4))/E101</f>
        <v>0.82696202531645568</v>
      </c>
      <c r="F109" s="1593">
        <f>(-0.161*(F108^2)-7.509*F108+6533)*(10^(-4))/F101</f>
        <v>0.82696202531645568</v>
      </c>
      <c r="G109" s="1593">
        <f>(-0.161*(G108^2)-7.509*G108+6533)*(10^(-4))/G101</f>
        <v>0.82696202531645568</v>
      </c>
      <c r="H109" s="1593">
        <f>(-0.161*(H108^2)-7.509*H108+6533)*(10^(-4))/H101</f>
        <v>0.82696202531645568</v>
      </c>
      <c r="I109" s="1593">
        <f>(-0.161*(I108^2)-7.509*I108+6533)*(10^(-4))/I101</f>
        <v>0.82696202531645568</v>
      </c>
      <c r="J109" s="1593">
        <f>(-0.214*(J108^2)-21.991*J108+4665)*(10^(-4))/J101</f>
        <v>0.59050632911392409</v>
      </c>
      <c r="K109" s="1593">
        <f>(-0.214*(K108^2)-21.991*K108+4665)*(10^(-4))/K101</f>
        <v>0.59050632911392409</v>
      </c>
      <c r="L109" s="1593">
        <f>(-0.214*(L108^2)-21.991*L108+4665)*(10^(-4))/L101</f>
        <v>0.59050632911392409</v>
      </c>
      <c r="M109" s="1593">
        <f>(-0.214*(M108^2)-21.991*M108+4665)*(10^(-4))/M101</f>
        <v>0.59050632911392409</v>
      </c>
      <c r="N109" s="1593">
        <f>(-0.214*(N108^2)-21.991*N108+4665)*(10^(-4))/N101</f>
        <v>0.59050632911392409</v>
      </c>
    </row>
    <row r="110" spans="1:14">
      <c r="A110" s="3890" t="s">
        <v>1765</v>
      </c>
      <c r="B110" s="3890"/>
      <c r="C110" s="3890"/>
      <c r="D110" s="3890"/>
      <c r="E110" s="3890"/>
      <c r="F110" s="3890"/>
      <c r="G110" s="3890"/>
      <c r="H110" s="3890"/>
      <c r="I110" s="3890"/>
      <c r="J110" s="3890"/>
      <c r="K110" s="2607"/>
      <c r="L110" s="2607"/>
      <c r="M110" s="2607"/>
      <c r="N110" s="2607"/>
    </row>
    <row r="112" spans="1:14" ht="12.75" thickBot="1"/>
    <row r="113" spans="1:13" ht="25.5" thickBot="1">
      <c r="A113" s="1603" t="s">
        <v>1767</v>
      </c>
      <c r="B113" s="2610">
        <f>G3</f>
        <v>0.79</v>
      </c>
      <c r="C113" s="1604" t="s">
        <v>1768</v>
      </c>
      <c r="D113" s="1605">
        <f>SUMPRODUCT((A115:A118=F113)*(B114:M114=H113)*B115:M118)</f>
        <v>0.67679999999999996</v>
      </c>
      <c r="E113" s="1606" t="s">
        <v>68</v>
      </c>
      <c r="F113" s="1607" t="str">
        <f>E2</f>
        <v>商业</v>
      </c>
      <c r="G113" s="1606" t="s">
        <v>1557</v>
      </c>
      <c r="H113" s="1607" t="str">
        <f>G2</f>
        <v>十二级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1174</v>
      </c>
      <c r="I114" s="1613" t="s">
        <v>1175</v>
      </c>
      <c r="J114" s="1614" t="s">
        <v>1176</v>
      </c>
      <c r="K114" s="1614" t="s">
        <v>1177</v>
      </c>
      <c r="L114" s="1614" t="s">
        <v>1178</v>
      </c>
      <c r="M114" s="1615" t="s">
        <v>1179</v>
      </c>
    </row>
    <row r="115" spans="1:13" ht="12.75">
      <c r="A115" s="1616" t="s">
        <v>1769</v>
      </c>
      <c r="B115" s="1617">
        <f>ROUND(0.9335-0.0094*B113,4)</f>
        <v>0.92610000000000003</v>
      </c>
      <c r="C115" s="1617">
        <f>B115</f>
        <v>0.92610000000000003</v>
      </c>
      <c r="D115" s="1617">
        <f>ROUND(0.8331-0.0109*B113,4)</f>
        <v>0.82450000000000001</v>
      </c>
      <c r="E115" s="1617">
        <f>D115</f>
        <v>0.82450000000000001</v>
      </c>
      <c r="F115" s="1617">
        <f>E115</f>
        <v>0.82450000000000001</v>
      </c>
      <c r="G115" s="1617">
        <f>F115</f>
        <v>0.82450000000000001</v>
      </c>
      <c r="H115" s="1617">
        <f>G115</f>
        <v>0.82450000000000001</v>
      </c>
      <c r="I115" s="1617">
        <f>ROUND(0.689-0.0155*B113,4)</f>
        <v>0.67679999999999996</v>
      </c>
      <c r="J115" s="1617">
        <f t="shared" ref="J115:M118" si="33">I115</f>
        <v>0.67679999999999996</v>
      </c>
      <c r="K115" s="1617">
        <f t="shared" si="33"/>
        <v>0.67679999999999996</v>
      </c>
      <c r="L115" s="1617">
        <f t="shared" si="33"/>
        <v>0.67679999999999996</v>
      </c>
      <c r="M115" s="1618">
        <f t="shared" si="33"/>
        <v>0.67679999999999996</v>
      </c>
    </row>
    <row r="116" spans="1:13" ht="12.75">
      <c r="A116" s="1616" t="s">
        <v>1770</v>
      </c>
      <c r="B116" s="1617">
        <f>ROUND(0.949-0.012*B113,4)</f>
        <v>0.9395</v>
      </c>
      <c r="C116" s="1617">
        <f>B116</f>
        <v>0.9395</v>
      </c>
      <c r="D116" s="1617">
        <f>ROUND(0.8567-0.013*B113,4)</f>
        <v>0.84640000000000004</v>
      </c>
      <c r="E116" s="1617">
        <f t="shared" ref="E116:H117" si="34">D116</f>
        <v>0.84640000000000004</v>
      </c>
      <c r="F116" s="1617">
        <f t="shared" si="34"/>
        <v>0.84640000000000004</v>
      </c>
      <c r="G116" s="1617">
        <f t="shared" si="34"/>
        <v>0.84640000000000004</v>
      </c>
      <c r="H116" s="1617">
        <f t="shared" si="34"/>
        <v>0.84640000000000004</v>
      </c>
      <c r="I116" s="1617">
        <f>ROUND(0.7694-0.014*B113,4)</f>
        <v>0.75829999999999997</v>
      </c>
      <c r="J116" s="1617">
        <f t="shared" si="33"/>
        <v>0.75829999999999997</v>
      </c>
      <c r="K116" s="1617">
        <f t="shared" si="33"/>
        <v>0.75829999999999997</v>
      </c>
      <c r="L116" s="1617">
        <f t="shared" si="33"/>
        <v>0.75829999999999997</v>
      </c>
      <c r="M116" s="1618">
        <f t="shared" si="33"/>
        <v>0.75829999999999997</v>
      </c>
    </row>
    <row r="117" spans="1:13" ht="12.75">
      <c r="A117" s="1619" t="s">
        <v>974</v>
      </c>
      <c r="B117" s="1617">
        <f>ROUND(0.8808-0.006*B113,4)</f>
        <v>0.87609999999999999</v>
      </c>
      <c r="C117" s="1617">
        <f>B117</f>
        <v>0.87609999999999999</v>
      </c>
      <c r="D117" s="1617">
        <f>ROUND(0.8748-0.008*B113,4)</f>
        <v>0.86850000000000005</v>
      </c>
      <c r="E117" s="1617">
        <f t="shared" si="34"/>
        <v>0.86850000000000005</v>
      </c>
      <c r="F117" s="1617">
        <f t="shared" si="34"/>
        <v>0.86850000000000005</v>
      </c>
      <c r="G117" s="1617">
        <f t="shared" si="34"/>
        <v>0.86850000000000005</v>
      </c>
      <c r="H117" s="1617">
        <f t="shared" si="34"/>
        <v>0.86850000000000005</v>
      </c>
      <c r="I117" s="1617">
        <f>ROUND(0.7412-0.0095*B113,4)</f>
        <v>0.73370000000000002</v>
      </c>
      <c r="J117" s="1617">
        <f t="shared" si="33"/>
        <v>0.73370000000000002</v>
      </c>
      <c r="K117" s="1617">
        <f t="shared" si="33"/>
        <v>0.73370000000000002</v>
      </c>
      <c r="L117" s="1617">
        <f t="shared" si="33"/>
        <v>0.73370000000000002</v>
      </c>
      <c r="M117" s="1618">
        <f t="shared" si="33"/>
        <v>0.73370000000000002</v>
      </c>
    </row>
    <row r="118" spans="1:13" ht="13.5" thickBot="1">
      <c r="A118" s="1123" t="s">
        <v>1771</v>
      </c>
      <c r="B118" s="1620">
        <f>ROUND(0.7275-0.01*B113,4)</f>
        <v>0.71960000000000002</v>
      </c>
      <c r="C118" s="1620">
        <f>B118</f>
        <v>0.71960000000000002</v>
      </c>
      <c r="D118" s="1620">
        <f>ROUND(0.7043-0.012*B113,4)</f>
        <v>0.69479999999999997</v>
      </c>
      <c r="E118" s="1620">
        <f>D118</f>
        <v>0.69479999999999997</v>
      </c>
      <c r="F118" s="1620">
        <f>E118</f>
        <v>0.69479999999999997</v>
      </c>
      <c r="G118" s="1620">
        <f>ROUND(0.6299-0.0122*B113,4)</f>
        <v>0.62029999999999996</v>
      </c>
      <c r="H118" s="1620">
        <f>G118</f>
        <v>0.62029999999999996</v>
      </c>
      <c r="I118" s="1620">
        <f>ROUND(0.5667-0.0136*B113,4)</f>
        <v>0.55600000000000005</v>
      </c>
      <c r="J118" s="1620">
        <f t="shared" si="33"/>
        <v>0.55600000000000005</v>
      </c>
      <c r="K118" s="1620">
        <f t="shared" si="33"/>
        <v>0.55600000000000005</v>
      </c>
      <c r="L118" s="1620">
        <f t="shared" si="33"/>
        <v>0.55600000000000005</v>
      </c>
      <c r="M118" s="1621">
        <f t="shared" si="33"/>
        <v>0.55600000000000005</v>
      </c>
    </row>
  </sheetData>
  <sheetProtection algorithmName="SHA-512" hashValue="q6SzCUmxKhAqfUiUYG3uKdA0Rl+GDjWbucGYnqVrt91yW3lDPAGsoBDyk+qGyyENZbPp9vIxbwpNO9dBuewr5A==" saltValue="av2txyQHsW/rkjgEYv/F3A==" spinCount="100000"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1557</v>
      </c>
      <c r="B1" s="1522" t="s">
        <v>1168</v>
      </c>
      <c r="C1" s="1522" t="s">
        <v>1169</v>
      </c>
      <c r="D1" s="1522" t="s">
        <v>1170</v>
      </c>
      <c r="E1" s="1522" t="s">
        <v>1171</v>
      </c>
      <c r="F1" s="1522" t="s">
        <v>1172</v>
      </c>
      <c r="G1" s="1522" t="s">
        <v>1173</v>
      </c>
      <c r="H1" s="1522" t="s">
        <v>1174</v>
      </c>
      <c r="I1" s="1522" t="s">
        <v>1175</v>
      </c>
      <c r="J1" s="1522" t="s">
        <v>1176</v>
      </c>
      <c r="K1" s="1522" t="s">
        <v>1177</v>
      </c>
      <c r="L1" s="1522" t="s">
        <v>1178</v>
      </c>
      <c r="M1" s="1523" t="s">
        <v>1179</v>
      </c>
    </row>
    <row r="2" spans="1:13" ht="19.5" customHeight="1">
      <c r="A2" s="1548" t="s">
        <v>1194</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1195</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1844</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1197</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1558</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1559</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1560</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1561</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1562</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1563</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1564</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1565</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1566</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1567</v>
      </c>
      <c r="B16" s="1567"/>
      <c r="C16" s="1568"/>
      <c r="D16" s="1568"/>
      <c r="E16" s="1567"/>
      <c r="F16" s="1568"/>
      <c r="G16" s="1568"/>
    </row>
    <row r="17" spans="1:9" ht="19.5" customHeight="1">
      <c r="A17" s="1499" t="s">
        <v>1568</v>
      </c>
      <c r="B17" s="1570" t="s">
        <v>1569</v>
      </c>
      <c r="C17" s="1752" t="s">
        <v>1867</v>
      </c>
      <c r="D17" s="1571"/>
      <c r="E17" s="1499" t="s">
        <v>1570</v>
      </c>
      <c r="F17" s="1572"/>
      <c r="G17" s="1572"/>
    </row>
    <row r="18" spans="1:9" s="1578" customFormat="1" ht="19.5" customHeight="1">
      <c r="A18" s="3891" t="s">
        <v>1194</v>
      </c>
      <c r="B18" s="1573" t="s">
        <v>1571</v>
      </c>
      <c r="C18" s="1574" t="s">
        <v>1572</v>
      </c>
      <c r="D18" s="1575"/>
      <c r="E18" s="1573">
        <v>1</v>
      </c>
      <c r="F18" s="1576" t="s">
        <v>1573</v>
      </c>
      <c r="G18" s="1577"/>
      <c r="H18" s="1569"/>
      <c r="I18" s="1569"/>
    </row>
    <row r="19" spans="1:9" s="1578" customFormat="1" ht="19.5" customHeight="1">
      <c r="A19" s="3891"/>
      <c r="B19" s="3891" t="s">
        <v>1574</v>
      </c>
      <c r="C19" s="1574" t="s">
        <v>1575</v>
      </c>
      <c r="D19" s="1575"/>
      <c r="E19" s="1573">
        <v>0.9</v>
      </c>
      <c r="F19" s="1576" t="s">
        <v>1576</v>
      </c>
      <c r="G19" s="1577"/>
      <c r="H19" s="1569"/>
      <c r="I19" s="1569"/>
    </row>
    <row r="20" spans="1:9" s="1578" customFormat="1" ht="19.5" customHeight="1">
      <c r="A20" s="3891"/>
      <c r="B20" s="3891"/>
      <c r="C20" s="1574" t="s">
        <v>1577</v>
      </c>
      <c r="D20" s="1575"/>
      <c r="E20" s="1573">
        <v>1.1000000000000001</v>
      </c>
      <c r="F20" s="1576" t="s">
        <v>1578</v>
      </c>
      <c r="G20" s="1577"/>
      <c r="H20" s="1569"/>
      <c r="I20" s="1569"/>
    </row>
    <row r="21" spans="1:9" s="1578" customFormat="1" ht="19.5" customHeight="1">
      <c r="A21" s="3891"/>
      <c r="B21" s="3891"/>
      <c r="C21" s="1574" t="s">
        <v>1579</v>
      </c>
      <c r="D21" s="1575"/>
      <c r="E21" s="1573">
        <v>0.8</v>
      </c>
      <c r="F21" s="1576" t="s">
        <v>1580</v>
      </c>
      <c r="G21" s="1577"/>
      <c r="H21" s="1569"/>
      <c r="I21" s="1569"/>
    </row>
    <row r="22" spans="1:9" s="1578" customFormat="1" ht="19.5" customHeight="1">
      <c r="A22" s="3891"/>
      <c r="B22" s="3891"/>
      <c r="C22" s="1574" t="s">
        <v>1581</v>
      </c>
      <c r="D22" s="1575"/>
      <c r="E22" s="1573">
        <v>0.5</v>
      </c>
      <c r="F22" s="1576"/>
      <c r="G22" s="1577"/>
      <c r="H22" s="1569"/>
      <c r="I22" s="1569"/>
    </row>
    <row r="23" spans="1:9" s="1578" customFormat="1" ht="19.5" customHeight="1">
      <c r="A23" s="3891" t="s">
        <v>1195</v>
      </c>
      <c r="B23" s="1573" t="s">
        <v>1571</v>
      </c>
      <c r="C23" s="1574" t="s">
        <v>1582</v>
      </c>
      <c r="D23" s="1575"/>
      <c r="E23" s="1573">
        <v>1</v>
      </c>
      <c r="F23" s="1576" t="s">
        <v>1583</v>
      </c>
      <c r="G23" s="1577"/>
      <c r="H23" s="1569"/>
      <c r="I23" s="1569"/>
    </row>
    <row r="24" spans="1:9" s="1578" customFormat="1" ht="19.5" customHeight="1">
      <c r="A24" s="3891"/>
      <c r="B24" s="3891" t="s">
        <v>1574</v>
      </c>
      <c r="C24" s="1574" t="s">
        <v>1584</v>
      </c>
      <c r="D24" s="1575"/>
      <c r="E24" s="1573">
        <v>0.5</v>
      </c>
      <c r="F24" s="1576"/>
      <c r="G24" s="1577"/>
      <c r="H24" s="1569"/>
      <c r="I24" s="1569"/>
    </row>
    <row r="25" spans="1:9" s="1578" customFormat="1" ht="19.5" customHeight="1">
      <c r="A25" s="3891"/>
      <c r="B25" s="3891"/>
      <c r="C25" s="1574" t="s">
        <v>1585</v>
      </c>
      <c r="D25" s="1575"/>
      <c r="E25" s="1573">
        <v>1.1000000000000001</v>
      </c>
      <c r="F25" s="1576"/>
      <c r="G25" s="1577"/>
      <c r="H25" s="1569"/>
      <c r="I25" s="1569"/>
    </row>
    <row r="26" spans="1:9" s="1578" customFormat="1" ht="19.5" customHeight="1">
      <c r="A26" s="3891"/>
      <c r="B26" s="3891"/>
      <c r="C26" s="1574" t="s">
        <v>1586</v>
      </c>
      <c r="D26" s="1575"/>
      <c r="E26" s="1573">
        <v>1.1000000000000001</v>
      </c>
      <c r="F26" s="1576"/>
      <c r="G26" s="1577"/>
      <c r="H26" s="1569"/>
      <c r="I26" s="1569"/>
    </row>
    <row r="27" spans="1:9" s="1578" customFormat="1" ht="19.5" customHeight="1">
      <c r="A27" s="3891"/>
      <c r="B27" s="3891"/>
      <c r="C27" s="1574" t="s">
        <v>1587</v>
      </c>
      <c r="D27" s="1575"/>
      <c r="E27" s="1573">
        <v>0.9</v>
      </c>
      <c r="F27" s="1576" t="s">
        <v>1588</v>
      </c>
      <c r="G27" s="1577"/>
      <c r="H27" s="1569"/>
      <c r="I27" s="1569"/>
    </row>
    <row r="28" spans="1:9" s="1578" customFormat="1" ht="19.5" customHeight="1">
      <c r="A28" s="3891"/>
      <c r="B28" s="3891"/>
      <c r="C28" s="1574" t="s">
        <v>1589</v>
      </c>
      <c r="D28" s="1575"/>
      <c r="E28" s="1573">
        <v>0.9</v>
      </c>
      <c r="F28" s="1576" t="s">
        <v>1590</v>
      </c>
      <c r="G28" s="1577"/>
      <c r="H28" s="1569"/>
      <c r="I28" s="1569"/>
    </row>
    <row r="29" spans="1:9" s="1578" customFormat="1" ht="19.5" customHeight="1">
      <c r="A29" s="3891"/>
      <c r="B29" s="3891"/>
      <c r="C29" s="1574" t="s">
        <v>1591</v>
      </c>
      <c r="D29" s="1575"/>
      <c r="E29" s="1573">
        <v>0.9</v>
      </c>
      <c r="F29" s="1576" t="s">
        <v>1592</v>
      </c>
      <c r="G29" s="1577"/>
      <c r="H29" s="1569"/>
      <c r="I29" s="1569"/>
    </row>
    <row r="30" spans="1:9" s="1578" customFormat="1" ht="19.5" customHeight="1">
      <c r="A30" s="3891"/>
      <c r="B30" s="3891"/>
      <c r="C30" s="1574" t="s">
        <v>1593</v>
      </c>
      <c r="D30" s="1575"/>
      <c r="E30" s="1573">
        <v>0.9</v>
      </c>
      <c r="F30" s="1576" t="s">
        <v>1594</v>
      </c>
      <c r="G30" s="1577"/>
      <c r="H30" s="1569"/>
      <c r="I30" s="1569"/>
    </row>
    <row r="31" spans="1:9" s="1578" customFormat="1" ht="19.5" customHeight="1">
      <c r="A31" s="3891"/>
      <c r="B31" s="3891"/>
      <c r="C31" s="1574" t="s">
        <v>1595</v>
      </c>
      <c r="D31" s="1575"/>
      <c r="E31" s="1573">
        <v>0.8</v>
      </c>
      <c r="F31" s="1576" t="s">
        <v>1596</v>
      </c>
      <c r="G31" s="1577"/>
      <c r="H31" s="1569"/>
      <c r="I31" s="1569"/>
    </row>
    <row r="32" spans="1:9" s="1578" customFormat="1" ht="19.5" customHeight="1">
      <c r="A32" s="3891"/>
      <c r="B32" s="3891"/>
      <c r="C32" s="1574" t="s">
        <v>1597</v>
      </c>
      <c r="D32" s="1575"/>
      <c r="E32" s="1573">
        <v>0.8</v>
      </c>
      <c r="F32" s="1576" t="s">
        <v>1598</v>
      </c>
      <c r="G32" s="1577"/>
      <c r="H32" s="1569"/>
      <c r="I32" s="1569"/>
    </row>
    <row r="33" spans="1:9" s="1578" customFormat="1" ht="19.5" customHeight="1">
      <c r="A33" s="3891" t="s">
        <v>1196</v>
      </c>
      <c r="B33" s="1573" t="s">
        <v>1571</v>
      </c>
      <c r="C33" s="1574" t="s">
        <v>1599</v>
      </c>
      <c r="D33" s="1575"/>
      <c r="E33" s="1573">
        <v>1</v>
      </c>
      <c r="F33" s="1576" t="s">
        <v>1600</v>
      </c>
      <c r="G33" s="1577"/>
      <c r="H33" s="1569"/>
      <c r="I33" s="1569"/>
    </row>
    <row r="34" spans="1:9" s="1578" customFormat="1" ht="19.5" customHeight="1">
      <c r="A34" s="3891"/>
      <c r="B34" s="1573" t="s">
        <v>1574</v>
      </c>
      <c r="C34" s="1574" t="s">
        <v>1601</v>
      </c>
      <c r="D34" s="1575"/>
      <c r="E34" s="1573">
        <v>1.5</v>
      </c>
      <c r="F34" s="1576" t="s">
        <v>1602</v>
      </c>
      <c r="G34" s="1577"/>
      <c r="H34" s="1569"/>
      <c r="I34" s="1569"/>
    </row>
    <row r="35" spans="1:9" s="1578" customFormat="1" ht="19.5" customHeight="1">
      <c r="A35" s="3891" t="s">
        <v>1197</v>
      </c>
      <c r="B35" s="1573" t="s">
        <v>1571</v>
      </c>
      <c r="C35" s="1574" t="s">
        <v>1603</v>
      </c>
      <c r="D35" s="1575"/>
      <c r="E35" s="1573">
        <v>1</v>
      </c>
      <c r="F35" s="1576" t="s">
        <v>1604</v>
      </c>
      <c r="G35" s="1577"/>
      <c r="H35" s="1569"/>
      <c r="I35" s="1569"/>
    </row>
    <row r="36" spans="1:9" s="1578" customFormat="1" ht="19.5" customHeight="1">
      <c r="A36" s="3891"/>
      <c r="B36" s="3891" t="s">
        <v>1574</v>
      </c>
      <c r="C36" s="1574" t="s">
        <v>1605</v>
      </c>
      <c r="D36" s="1575"/>
      <c r="E36" s="1573">
        <v>1</v>
      </c>
      <c r="F36" s="1576" t="s">
        <v>1606</v>
      </c>
      <c r="G36" s="1577"/>
      <c r="H36" s="1569"/>
      <c r="I36" s="1569"/>
    </row>
    <row r="37" spans="1:9" s="1578" customFormat="1" ht="19.5" customHeight="1">
      <c r="A37" s="3891"/>
      <c r="B37" s="3891"/>
      <c r="C37" s="1574" t="s">
        <v>1607</v>
      </c>
      <c r="D37" s="1575"/>
      <c r="E37" s="1573">
        <v>1.5</v>
      </c>
      <c r="F37" s="1576" t="s">
        <v>1608</v>
      </c>
      <c r="G37" s="1577"/>
      <c r="H37" s="1569"/>
      <c r="I37" s="1569"/>
    </row>
    <row r="38" spans="1:9" s="1578" customFormat="1" ht="19.5" customHeight="1">
      <c r="A38" s="3891"/>
      <c r="B38" s="3891"/>
      <c r="C38" s="1574" t="s">
        <v>1609</v>
      </c>
      <c r="D38" s="1575"/>
      <c r="E38" s="1573">
        <v>1</v>
      </c>
      <c r="F38" s="1576" t="s">
        <v>1610</v>
      </c>
      <c r="G38" s="1577"/>
      <c r="H38" s="1569"/>
      <c r="I38" s="1569"/>
    </row>
    <row r="39" spans="1:9" s="1578" customFormat="1" ht="19.5" customHeight="1">
      <c r="A39" s="3891"/>
      <c r="B39" s="3891"/>
      <c r="C39" s="1574" t="s">
        <v>1611</v>
      </c>
      <c r="D39" s="1575"/>
      <c r="E39" s="1573">
        <v>1</v>
      </c>
      <c r="F39" s="1576" t="s">
        <v>1612</v>
      </c>
      <c r="G39" s="1577"/>
      <c r="H39" s="1569"/>
      <c r="I39" s="1569"/>
    </row>
    <row r="40" spans="1:9" s="1578" customFormat="1" ht="19.5" customHeight="1">
      <c r="A40" s="1579" t="s">
        <v>1613</v>
      </c>
      <c r="B40" s="1579"/>
      <c r="C40" s="1579"/>
      <c r="D40" s="1579"/>
      <c r="E40" s="1579"/>
      <c r="F40" s="1580"/>
      <c r="G40" s="1580"/>
      <c r="H40" s="1569"/>
      <c r="I40" s="1569"/>
    </row>
    <row r="42" spans="1:9" ht="19.5" customHeight="1">
      <c r="A42" s="1581"/>
      <c r="B42" s="1499" t="s">
        <v>1614</v>
      </c>
      <c r="C42" s="1499" t="s">
        <v>1614</v>
      </c>
      <c r="D42" s="1499" t="s">
        <v>1614</v>
      </c>
      <c r="E42" s="1510" t="s">
        <v>1614</v>
      </c>
      <c r="F42" s="1510" t="s">
        <v>1614</v>
      </c>
      <c r="G42" s="1510" t="s">
        <v>1615</v>
      </c>
      <c r="H42" s="1510" t="s">
        <v>1614</v>
      </c>
    </row>
    <row r="43" spans="1:9" ht="19.5" customHeight="1">
      <c r="A43" s="1582"/>
      <c r="B43" s="1510" t="s">
        <v>1194</v>
      </c>
      <c r="C43" s="1510" t="s">
        <v>1194</v>
      </c>
      <c r="D43" s="1510" t="s">
        <v>1194</v>
      </c>
      <c r="E43" s="1510" t="s">
        <v>1194</v>
      </c>
      <c r="F43" s="1499" t="s">
        <v>1195</v>
      </c>
      <c r="G43" s="1499" t="s">
        <v>1197</v>
      </c>
      <c r="H43" s="1499" t="s">
        <v>1616</v>
      </c>
    </row>
    <row r="44" spans="1:9" ht="19.5" customHeight="1">
      <c r="A44" s="1583"/>
      <c r="B44" s="1499">
        <v>1</v>
      </c>
      <c r="C44" s="1499">
        <v>2</v>
      </c>
      <c r="D44" s="1499">
        <v>3</v>
      </c>
      <c r="E44" s="1510">
        <v>4</v>
      </c>
      <c r="F44" s="1571" t="s">
        <v>1617</v>
      </c>
      <c r="G44" s="1571" t="s">
        <v>1617</v>
      </c>
      <c r="H44" s="1571" t="s">
        <v>1617</v>
      </c>
    </row>
    <row r="45" spans="1:9" ht="19.5" customHeight="1">
      <c r="A45" s="1584" t="s">
        <v>1168</v>
      </c>
      <c r="B45" s="1499">
        <v>0.8</v>
      </c>
      <c r="C45" s="1499">
        <v>0.5</v>
      </c>
      <c r="D45" s="1499">
        <v>0.36</v>
      </c>
      <c r="E45" s="1499">
        <v>0.3</v>
      </c>
      <c r="F45" s="1571">
        <v>0.3</v>
      </c>
      <c r="G45" s="1499">
        <v>0.3</v>
      </c>
      <c r="H45" s="1499">
        <v>0.25</v>
      </c>
    </row>
    <row r="46" spans="1:9" ht="19.5" customHeight="1">
      <c r="A46" s="1584" t="s">
        <v>1169</v>
      </c>
      <c r="B46" s="1499">
        <v>0.8</v>
      </c>
      <c r="C46" s="1499">
        <v>0.5</v>
      </c>
      <c r="D46" s="1499">
        <v>0.36</v>
      </c>
      <c r="E46" s="1499">
        <v>0.3</v>
      </c>
      <c r="F46" s="1499">
        <v>0.3</v>
      </c>
      <c r="G46" s="1499">
        <v>0.3</v>
      </c>
      <c r="H46" s="1499">
        <v>0.25</v>
      </c>
    </row>
    <row r="47" spans="1:9" ht="19.5" customHeight="1">
      <c r="A47" s="1584" t="s">
        <v>1170</v>
      </c>
      <c r="B47" s="1499">
        <v>0.7</v>
      </c>
      <c r="C47" s="1499">
        <v>0.4</v>
      </c>
      <c r="D47" s="1499">
        <v>0.28000000000000003</v>
      </c>
      <c r="E47" s="1499">
        <v>0.25</v>
      </c>
      <c r="F47" s="1499">
        <v>0.25</v>
      </c>
      <c r="G47" s="1499">
        <v>0.25</v>
      </c>
      <c r="H47" s="1499">
        <v>0.2</v>
      </c>
    </row>
    <row r="48" spans="1:9" ht="19.5" customHeight="1">
      <c r="A48" s="1584" t="s">
        <v>1171</v>
      </c>
      <c r="B48" s="1499">
        <v>0.7</v>
      </c>
      <c r="C48" s="1499">
        <v>0.4</v>
      </c>
      <c r="D48" s="1499">
        <v>0.28000000000000003</v>
      </c>
      <c r="E48" s="1499">
        <v>0.25</v>
      </c>
      <c r="F48" s="1499">
        <v>0.25</v>
      </c>
      <c r="G48" s="1499">
        <v>0.25</v>
      </c>
      <c r="H48" s="1499">
        <v>0.2</v>
      </c>
    </row>
    <row r="49" spans="1:8" s="1569" customFormat="1" ht="19.5" customHeight="1">
      <c r="A49" s="1584" t="s">
        <v>1172</v>
      </c>
      <c r="B49" s="1499">
        <v>0.7</v>
      </c>
      <c r="C49" s="1499">
        <v>0.4</v>
      </c>
      <c r="D49" s="1499">
        <v>0.28000000000000003</v>
      </c>
      <c r="E49" s="1499">
        <v>0.25</v>
      </c>
      <c r="F49" s="1499">
        <v>0.25</v>
      </c>
      <c r="G49" s="1499">
        <v>0.25</v>
      </c>
      <c r="H49" s="1499">
        <v>0.2</v>
      </c>
    </row>
    <row r="50" spans="1:8" s="1569" customFormat="1" ht="19.5" customHeight="1">
      <c r="A50" s="1584" t="s">
        <v>1173</v>
      </c>
      <c r="B50" s="1499">
        <v>0.7</v>
      </c>
      <c r="C50" s="1499">
        <v>0.4</v>
      </c>
      <c r="D50" s="1499">
        <v>0.28000000000000003</v>
      </c>
      <c r="E50" s="1499">
        <v>0.25</v>
      </c>
      <c r="F50" s="1499">
        <v>0.25</v>
      </c>
      <c r="G50" s="1499">
        <v>0.25</v>
      </c>
      <c r="H50" s="1499">
        <v>0.2</v>
      </c>
    </row>
    <row r="51" spans="1:8" s="1569" customFormat="1" ht="19.5" customHeight="1">
      <c r="A51" s="1584" t="s">
        <v>1174</v>
      </c>
      <c r="B51" s="1499">
        <v>0.7</v>
      </c>
      <c r="C51" s="1499">
        <v>0.4</v>
      </c>
      <c r="D51" s="1499">
        <v>0.28000000000000003</v>
      </c>
      <c r="E51" s="1499">
        <v>0.25</v>
      </c>
      <c r="F51" s="1499">
        <v>0.25</v>
      </c>
      <c r="G51" s="1499">
        <v>0.25</v>
      </c>
      <c r="H51" s="1499">
        <v>0.2</v>
      </c>
    </row>
    <row r="52" spans="1:8" s="1569" customFormat="1" ht="19.5" customHeight="1">
      <c r="A52" s="1584" t="s">
        <v>1175</v>
      </c>
      <c r="B52" s="1499">
        <v>0.6</v>
      </c>
      <c r="C52" s="1499">
        <v>0.3</v>
      </c>
      <c r="D52" s="1499">
        <v>0.2</v>
      </c>
      <c r="E52" s="1499">
        <v>0.2</v>
      </c>
      <c r="F52" s="1499">
        <v>0.2</v>
      </c>
      <c r="G52" s="1499">
        <v>0.2</v>
      </c>
      <c r="H52" s="1499">
        <v>0.15</v>
      </c>
    </row>
    <row r="53" spans="1:8" s="1569" customFormat="1" ht="19.5" customHeight="1">
      <c r="A53" s="1584" t="s">
        <v>1176</v>
      </c>
      <c r="B53" s="1499">
        <v>0.6</v>
      </c>
      <c r="C53" s="1499">
        <v>0.3</v>
      </c>
      <c r="D53" s="1499">
        <v>0.2</v>
      </c>
      <c r="E53" s="1499">
        <v>0.2</v>
      </c>
      <c r="F53" s="1499">
        <v>0.2</v>
      </c>
      <c r="G53" s="1499">
        <v>0.2</v>
      </c>
      <c r="H53" s="1499">
        <v>0.15</v>
      </c>
    </row>
    <row r="54" spans="1:8" s="1569" customFormat="1" ht="19.5" customHeight="1">
      <c r="A54" s="1584" t="s">
        <v>1177</v>
      </c>
      <c r="B54" s="1499">
        <v>0.6</v>
      </c>
      <c r="C54" s="1499">
        <v>0.3</v>
      </c>
      <c r="D54" s="1499">
        <v>0.2</v>
      </c>
      <c r="E54" s="1499">
        <v>0.2</v>
      </c>
      <c r="F54" s="1499">
        <v>0.2</v>
      </c>
      <c r="G54" s="1499">
        <v>0.2</v>
      </c>
      <c r="H54" s="1499">
        <v>0.15</v>
      </c>
    </row>
    <row r="55" spans="1:8" s="1569" customFormat="1" ht="19.5" customHeight="1">
      <c r="A55" s="1584" t="s">
        <v>1178</v>
      </c>
      <c r="B55" s="1499">
        <v>0.6</v>
      </c>
      <c r="C55" s="1499">
        <v>0.3</v>
      </c>
      <c r="D55" s="1499">
        <v>0.2</v>
      </c>
      <c r="E55" s="1499">
        <v>0.2</v>
      </c>
      <c r="F55" s="1499">
        <v>0.2</v>
      </c>
      <c r="G55" s="1499">
        <v>0.2</v>
      </c>
      <c r="H55" s="1499">
        <v>0.15</v>
      </c>
    </row>
    <row r="56" spans="1:8" s="1569" customFormat="1" ht="19.5" customHeight="1">
      <c r="A56" s="1584" t="s">
        <v>1179</v>
      </c>
      <c r="B56" s="1499">
        <v>0.6</v>
      </c>
      <c r="C56" s="1499">
        <v>0.3</v>
      </c>
      <c r="D56" s="1499">
        <v>0.2</v>
      </c>
      <c r="E56" s="1499">
        <v>0.2</v>
      </c>
      <c r="F56" s="1499">
        <v>0.2</v>
      </c>
      <c r="G56" s="1499">
        <v>0.2</v>
      </c>
      <c r="H56" s="1499">
        <v>0.15</v>
      </c>
    </row>
    <row r="58" spans="1:8" s="1569" customFormat="1" ht="19.5" customHeight="1">
      <c r="A58" s="1585"/>
      <c r="B58" s="1567"/>
      <c r="C58" s="1567"/>
      <c r="D58" s="1567" t="s">
        <v>1618</v>
      </c>
      <c r="E58" s="1567"/>
      <c r="F58" s="1567"/>
    </row>
    <row r="59" spans="1:8" s="1569" customFormat="1" ht="19.5" customHeight="1">
      <c r="A59" s="1573" t="s">
        <v>1619</v>
      </c>
      <c r="B59" s="1573" t="s">
        <v>1620</v>
      </c>
      <c r="C59" s="1573" t="s">
        <v>1621</v>
      </c>
      <c r="D59" s="1573" t="s">
        <v>1622</v>
      </c>
      <c r="E59" s="1573" t="s">
        <v>1623</v>
      </c>
      <c r="F59" s="1573" t="s">
        <v>1624</v>
      </c>
    </row>
    <row r="60" spans="1:8" ht="13.5">
      <c r="A60" s="1769"/>
      <c r="B60" s="1769"/>
      <c r="C60" s="1769" t="s">
        <v>1756</v>
      </c>
      <c r="D60" s="1769"/>
      <c r="E60" s="1586" t="s">
        <v>23</v>
      </c>
      <c r="F60" s="1769" t="s">
        <v>23</v>
      </c>
    </row>
    <row r="61" spans="1:8" s="1569" customFormat="1" ht="24">
      <c r="A61" s="1573">
        <v>1</v>
      </c>
      <c r="B61" s="3891" t="s">
        <v>1625</v>
      </c>
      <c r="C61" s="1499" t="s">
        <v>1626</v>
      </c>
      <c r="D61" s="1499" t="s">
        <v>1627</v>
      </c>
      <c r="E61" s="1586">
        <v>0.5</v>
      </c>
      <c r="F61" s="1573">
        <v>80</v>
      </c>
    </row>
    <row r="62" spans="1:8" s="1569" customFormat="1" ht="24">
      <c r="A62" s="1573">
        <v>2</v>
      </c>
      <c r="B62" s="3891"/>
      <c r="C62" s="1499" t="s">
        <v>1628</v>
      </c>
      <c r="D62" s="1499" t="s">
        <v>1629</v>
      </c>
      <c r="E62" s="1586">
        <v>0.5</v>
      </c>
      <c r="F62" s="1573">
        <v>80</v>
      </c>
    </row>
    <row r="63" spans="1:8" s="1569" customFormat="1" ht="36">
      <c r="A63" s="1573">
        <v>3</v>
      </c>
      <c r="B63" s="3891"/>
      <c r="C63" s="1499" t="s">
        <v>1630</v>
      </c>
      <c r="D63" s="1499" t="s">
        <v>1631</v>
      </c>
      <c r="E63" s="1586">
        <v>0.5</v>
      </c>
      <c r="F63" s="1573">
        <v>80</v>
      </c>
    </row>
    <row r="64" spans="1:8" s="1569" customFormat="1" ht="36">
      <c r="A64" s="1573">
        <v>4</v>
      </c>
      <c r="B64" s="3891"/>
      <c r="C64" s="1499" t="s">
        <v>1632</v>
      </c>
      <c r="D64" s="1499" t="s">
        <v>1633</v>
      </c>
      <c r="E64" s="1586">
        <v>0.4</v>
      </c>
      <c r="F64" s="1573">
        <v>60</v>
      </c>
    </row>
    <row r="65" spans="1:6" s="1569" customFormat="1" ht="36">
      <c r="A65" s="1573">
        <v>5</v>
      </c>
      <c r="B65" s="3891"/>
      <c r="C65" s="1499" t="s">
        <v>1634</v>
      </c>
      <c r="D65" s="1499" t="s">
        <v>1635</v>
      </c>
      <c r="E65" s="1586">
        <v>0.2</v>
      </c>
      <c r="F65" s="1573">
        <v>30</v>
      </c>
    </row>
    <row r="66" spans="1:6" s="1569" customFormat="1" ht="36">
      <c r="A66" s="1573">
        <v>6</v>
      </c>
      <c r="B66" s="3891"/>
      <c r="C66" s="1499" t="s">
        <v>1636</v>
      </c>
      <c r="D66" s="1499" t="s">
        <v>1637</v>
      </c>
      <c r="E66" s="1586">
        <v>0.3</v>
      </c>
      <c r="F66" s="1573">
        <v>50</v>
      </c>
    </row>
    <row r="67" spans="1:6" s="1569" customFormat="1" ht="36">
      <c r="A67" s="1573">
        <v>7</v>
      </c>
      <c r="B67" s="3891"/>
      <c r="C67" s="1499" t="s">
        <v>1638</v>
      </c>
      <c r="D67" s="1499" t="s">
        <v>1639</v>
      </c>
      <c r="E67" s="1586">
        <v>0.2</v>
      </c>
      <c r="F67" s="1573">
        <v>30</v>
      </c>
    </row>
    <row r="68" spans="1:6" s="1569" customFormat="1" ht="36">
      <c r="A68" s="1573">
        <v>8</v>
      </c>
      <c r="B68" s="3891"/>
      <c r="C68" s="1499" t="s">
        <v>1640</v>
      </c>
      <c r="D68" s="1499" t="s">
        <v>1641</v>
      </c>
      <c r="E68" s="1586">
        <v>0.2</v>
      </c>
      <c r="F68" s="1573">
        <v>30</v>
      </c>
    </row>
    <row r="69" spans="1:6" s="1569" customFormat="1" ht="36">
      <c r="A69" s="1573">
        <v>9</v>
      </c>
      <c r="B69" s="3891"/>
      <c r="C69" s="1499" t="s">
        <v>1642</v>
      </c>
      <c r="D69" s="1499" t="s">
        <v>1643</v>
      </c>
      <c r="E69" s="1586">
        <v>0.2</v>
      </c>
      <c r="F69" s="1573">
        <v>30</v>
      </c>
    </row>
    <row r="70" spans="1:6" s="1569" customFormat="1" ht="48">
      <c r="A70" s="1573">
        <v>10</v>
      </c>
      <c r="B70" s="3891"/>
      <c r="C70" s="1499" t="s">
        <v>1644</v>
      </c>
      <c r="D70" s="1499" t="s">
        <v>1645</v>
      </c>
      <c r="E70" s="1586">
        <v>0.2</v>
      </c>
      <c r="F70" s="1573">
        <v>30</v>
      </c>
    </row>
    <row r="71" spans="1:6" s="1569" customFormat="1" ht="48">
      <c r="A71" s="1573">
        <v>11</v>
      </c>
      <c r="B71" s="3891"/>
      <c r="C71" s="1499" t="s">
        <v>1646</v>
      </c>
      <c r="D71" s="1499" t="s">
        <v>1647</v>
      </c>
      <c r="E71" s="1586">
        <v>0.2</v>
      </c>
      <c r="F71" s="1573">
        <v>30</v>
      </c>
    </row>
    <row r="72" spans="1:6" s="1569" customFormat="1" ht="36">
      <c r="A72" s="1573">
        <v>12</v>
      </c>
      <c r="B72" s="3891"/>
      <c r="C72" s="1499" t="s">
        <v>1648</v>
      </c>
      <c r="D72" s="1499" t="s">
        <v>1649</v>
      </c>
      <c r="E72" s="1586">
        <v>0.5</v>
      </c>
      <c r="F72" s="1573">
        <v>80</v>
      </c>
    </row>
    <row r="73" spans="1:6" s="1569" customFormat="1" ht="24">
      <c r="A73" s="1573">
        <v>13</v>
      </c>
      <c r="B73" s="3891"/>
      <c r="C73" s="1499" t="s">
        <v>1650</v>
      </c>
      <c r="D73" s="1499" t="s">
        <v>1651</v>
      </c>
      <c r="E73" s="1586">
        <v>0.4</v>
      </c>
      <c r="F73" s="1573">
        <v>60</v>
      </c>
    </row>
    <row r="74" spans="1:6" s="1569" customFormat="1" ht="24">
      <c r="A74" s="1573">
        <v>14</v>
      </c>
      <c r="B74" s="3891"/>
      <c r="C74" s="1499" t="s">
        <v>1652</v>
      </c>
      <c r="D74" s="1499" t="s">
        <v>1653</v>
      </c>
      <c r="E74" s="1586">
        <v>0.2</v>
      </c>
      <c r="F74" s="1573">
        <v>30</v>
      </c>
    </row>
    <row r="75" spans="1:6" s="1569" customFormat="1" ht="24">
      <c r="A75" s="1573">
        <v>15</v>
      </c>
      <c r="B75" s="3891"/>
      <c r="C75" s="1499" t="s">
        <v>1654</v>
      </c>
      <c r="D75" s="1499" t="s">
        <v>1655</v>
      </c>
      <c r="E75" s="1586">
        <v>0.2</v>
      </c>
      <c r="F75" s="1573">
        <v>30</v>
      </c>
    </row>
    <row r="76" spans="1:6" s="1569" customFormat="1" ht="24">
      <c r="A76" s="1573">
        <v>16</v>
      </c>
      <c r="B76" s="3891" t="s">
        <v>1656</v>
      </c>
      <c r="C76" s="1499" t="s">
        <v>1657</v>
      </c>
      <c r="D76" s="1499" t="s">
        <v>1658</v>
      </c>
      <c r="E76" s="1586">
        <v>0.5</v>
      </c>
      <c r="F76" s="1573">
        <v>80</v>
      </c>
    </row>
    <row r="77" spans="1:6" s="1569" customFormat="1" ht="24">
      <c r="A77" s="1573">
        <v>17</v>
      </c>
      <c r="B77" s="3891"/>
      <c r="C77" s="1499" t="s">
        <v>1659</v>
      </c>
      <c r="D77" s="1499" t="s">
        <v>1660</v>
      </c>
      <c r="E77" s="1586">
        <v>0.5</v>
      </c>
      <c r="F77" s="1573">
        <v>80</v>
      </c>
    </row>
    <row r="78" spans="1:6" s="1569" customFormat="1" ht="24">
      <c r="A78" s="1573">
        <v>18</v>
      </c>
      <c r="B78" s="3891"/>
      <c r="C78" s="1499" t="s">
        <v>1661</v>
      </c>
      <c r="D78" s="1499" t="s">
        <v>1662</v>
      </c>
      <c r="E78" s="1586">
        <v>0.2</v>
      </c>
      <c r="F78" s="1573">
        <v>30</v>
      </c>
    </row>
    <row r="79" spans="1:6" s="1569" customFormat="1" ht="24">
      <c r="A79" s="1573">
        <v>19</v>
      </c>
      <c r="B79" s="3891"/>
      <c r="C79" s="1499" t="s">
        <v>1663</v>
      </c>
      <c r="D79" s="1499" t="s">
        <v>1664</v>
      </c>
      <c r="E79" s="1586">
        <v>0.5</v>
      </c>
      <c r="F79" s="1573">
        <v>80</v>
      </c>
    </row>
    <row r="80" spans="1:6" s="1569" customFormat="1" ht="36">
      <c r="A80" s="1573">
        <v>20</v>
      </c>
      <c r="B80" s="3891"/>
      <c r="C80" s="1499" t="s">
        <v>1665</v>
      </c>
      <c r="D80" s="1499" t="s">
        <v>1666</v>
      </c>
      <c r="E80" s="1586">
        <v>0.2</v>
      </c>
      <c r="F80" s="1573">
        <v>30</v>
      </c>
    </row>
    <row r="81" spans="1:6" s="1569" customFormat="1" ht="36">
      <c r="A81" s="1573">
        <v>21</v>
      </c>
      <c r="B81" s="3891"/>
      <c r="C81" s="1499" t="s">
        <v>1667</v>
      </c>
      <c r="D81" s="1499" t="s">
        <v>1668</v>
      </c>
      <c r="E81" s="1586">
        <v>0.2</v>
      </c>
      <c r="F81" s="1573">
        <v>30</v>
      </c>
    </row>
    <row r="82" spans="1:6" s="1569" customFormat="1" ht="48">
      <c r="A82" s="1573">
        <v>22</v>
      </c>
      <c r="B82" s="3891"/>
      <c r="C82" s="1499" t="s">
        <v>1669</v>
      </c>
      <c r="D82" s="1499" t="s">
        <v>1670</v>
      </c>
      <c r="E82" s="1586">
        <v>0.2</v>
      </c>
      <c r="F82" s="1573">
        <v>30</v>
      </c>
    </row>
    <row r="83" spans="1:6" s="1569" customFormat="1" ht="48">
      <c r="A83" s="1573">
        <v>23</v>
      </c>
      <c r="B83" s="3891"/>
      <c r="C83" s="1499" t="s">
        <v>1671</v>
      </c>
      <c r="D83" s="1499" t="s">
        <v>1672</v>
      </c>
      <c r="E83" s="1586">
        <v>0.2</v>
      </c>
      <c r="F83" s="1573">
        <v>30</v>
      </c>
    </row>
    <row r="84" spans="1:6" s="1569" customFormat="1" ht="36">
      <c r="A84" s="1573">
        <v>24</v>
      </c>
      <c r="B84" s="3891"/>
      <c r="C84" s="1499" t="s">
        <v>1673</v>
      </c>
      <c r="D84" s="1499" t="s">
        <v>1674</v>
      </c>
      <c r="E84" s="1586">
        <v>0.2</v>
      </c>
      <c r="F84" s="1573">
        <v>30</v>
      </c>
    </row>
    <row r="85" spans="1:6" s="1569" customFormat="1" ht="36">
      <c r="A85" s="1573">
        <v>25</v>
      </c>
      <c r="B85" s="3891"/>
      <c r="C85" s="1499" t="s">
        <v>1675</v>
      </c>
      <c r="D85" s="1499" t="s">
        <v>1676</v>
      </c>
      <c r="E85" s="1586">
        <v>0.5</v>
      </c>
      <c r="F85" s="1573">
        <v>80</v>
      </c>
    </row>
    <row r="86" spans="1:6" s="1569" customFormat="1" ht="36">
      <c r="A86" s="1573">
        <v>26</v>
      </c>
      <c r="B86" s="3891"/>
      <c r="C86" s="1499" t="s">
        <v>1677</v>
      </c>
      <c r="D86" s="1499" t="s">
        <v>1678</v>
      </c>
      <c r="E86" s="1586">
        <v>0.2</v>
      </c>
      <c r="F86" s="1573">
        <v>30</v>
      </c>
    </row>
    <row r="87" spans="1:6" s="1569" customFormat="1" ht="36">
      <c r="A87" s="1573">
        <v>27</v>
      </c>
      <c r="B87" s="3891"/>
      <c r="C87" s="1499" t="s">
        <v>1679</v>
      </c>
      <c r="D87" s="1499" t="s">
        <v>1680</v>
      </c>
      <c r="E87" s="1586">
        <v>0.2</v>
      </c>
      <c r="F87" s="1573">
        <v>30</v>
      </c>
    </row>
    <row r="88" spans="1:6" s="1569" customFormat="1" ht="36">
      <c r="A88" s="1573">
        <v>28</v>
      </c>
      <c r="B88" s="3891"/>
      <c r="C88" s="1499" t="s">
        <v>1681</v>
      </c>
      <c r="D88" s="1499" t="s">
        <v>1682</v>
      </c>
      <c r="E88" s="1586">
        <v>0.2</v>
      </c>
      <c r="F88" s="1573">
        <v>30</v>
      </c>
    </row>
    <row r="89" spans="1:6" s="1569" customFormat="1" ht="24">
      <c r="A89" s="1573">
        <v>29</v>
      </c>
      <c r="B89" s="3891"/>
      <c r="C89" s="1499" t="s">
        <v>1683</v>
      </c>
      <c r="D89" s="1499" t="s">
        <v>1684</v>
      </c>
      <c r="E89" s="1586">
        <v>0.2</v>
      </c>
      <c r="F89" s="1573">
        <v>30</v>
      </c>
    </row>
    <row r="90" spans="1:6" s="1569" customFormat="1" ht="24">
      <c r="A90" s="1573">
        <v>30</v>
      </c>
      <c r="B90" s="3891"/>
      <c r="C90" s="1499" t="s">
        <v>1685</v>
      </c>
      <c r="D90" s="1499" t="s">
        <v>1686</v>
      </c>
      <c r="E90" s="1586">
        <v>0.2</v>
      </c>
      <c r="F90" s="1573">
        <v>30</v>
      </c>
    </row>
    <row r="91" spans="1:6" s="1569" customFormat="1" ht="36">
      <c r="A91" s="1573">
        <v>31</v>
      </c>
      <c r="B91" s="3891"/>
      <c r="C91" s="1499" t="s">
        <v>1687</v>
      </c>
      <c r="D91" s="1499" t="s">
        <v>1688</v>
      </c>
      <c r="E91" s="1586">
        <v>0.2</v>
      </c>
      <c r="F91" s="1573">
        <v>30</v>
      </c>
    </row>
    <row r="92" spans="1:6" s="1569" customFormat="1" ht="24">
      <c r="A92" s="1573">
        <v>32</v>
      </c>
      <c r="B92" s="3891" t="s">
        <v>1689</v>
      </c>
      <c r="C92" s="1573" t="s">
        <v>1690</v>
      </c>
      <c r="D92" s="1499" t="s">
        <v>1691</v>
      </c>
      <c r="E92" s="1586">
        <v>0.2</v>
      </c>
      <c r="F92" s="1573">
        <v>30</v>
      </c>
    </row>
    <row r="93" spans="1:6" s="1569" customFormat="1" ht="36">
      <c r="A93" s="1573">
        <v>33</v>
      </c>
      <c r="B93" s="3891"/>
      <c r="C93" s="1573" t="s">
        <v>1692</v>
      </c>
      <c r="D93" s="1499" t="s">
        <v>1693</v>
      </c>
      <c r="E93" s="1586">
        <v>0.2</v>
      </c>
      <c r="F93" s="1573">
        <v>30</v>
      </c>
    </row>
    <row r="94" spans="1:6" s="1569" customFormat="1" ht="48">
      <c r="A94" s="1573">
        <v>34</v>
      </c>
      <c r="B94" s="3891"/>
      <c r="C94" s="1573" t="s">
        <v>1694</v>
      </c>
      <c r="D94" s="1499" t="s">
        <v>1695</v>
      </c>
      <c r="E94" s="1586">
        <v>0.2</v>
      </c>
      <c r="F94" s="1573">
        <v>30</v>
      </c>
    </row>
    <row r="95" spans="1:6" s="1569" customFormat="1" ht="36">
      <c r="A95" s="1573">
        <v>35</v>
      </c>
      <c r="B95" s="3891"/>
      <c r="C95" s="1573" t="s">
        <v>1696</v>
      </c>
      <c r="D95" s="1499" t="s">
        <v>1697</v>
      </c>
      <c r="E95" s="1586">
        <v>0.2</v>
      </c>
      <c r="F95" s="1573">
        <v>30</v>
      </c>
    </row>
    <row r="96" spans="1:6" s="1569" customFormat="1" ht="48">
      <c r="A96" s="1573">
        <v>36</v>
      </c>
      <c r="B96" s="3891"/>
      <c r="C96" s="1499" t="s">
        <v>1698</v>
      </c>
      <c r="D96" s="1499" t="s">
        <v>1699</v>
      </c>
      <c r="E96" s="1586">
        <v>0.2</v>
      </c>
      <c r="F96" s="1573">
        <v>30</v>
      </c>
    </row>
    <row r="97" spans="1:6" s="1569" customFormat="1" ht="36">
      <c r="A97" s="1573">
        <v>37</v>
      </c>
      <c r="B97" s="3891"/>
      <c r="C97" s="1573" t="s">
        <v>1700</v>
      </c>
      <c r="D97" s="1499" t="s">
        <v>1701</v>
      </c>
      <c r="E97" s="1586">
        <v>0.2</v>
      </c>
      <c r="F97" s="1573">
        <v>30</v>
      </c>
    </row>
    <row r="98" spans="1:6" s="1569" customFormat="1" ht="36">
      <c r="A98" s="1573">
        <v>38</v>
      </c>
      <c r="B98" s="3891"/>
      <c r="C98" s="1573" t="s">
        <v>1702</v>
      </c>
      <c r="D98" s="1499" t="s">
        <v>1703</v>
      </c>
      <c r="E98" s="1586">
        <v>0.2</v>
      </c>
      <c r="F98" s="1573">
        <v>30</v>
      </c>
    </row>
    <row r="99" spans="1:6" s="1569" customFormat="1" ht="36">
      <c r="A99" s="1573">
        <v>39</v>
      </c>
      <c r="B99" s="3891" t="s">
        <v>1704</v>
      </c>
      <c r="C99" s="1573" t="s">
        <v>1705</v>
      </c>
      <c r="D99" s="1499" t="s">
        <v>1706</v>
      </c>
      <c r="E99" s="1586">
        <v>0.3</v>
      </c>
      <c r="F99" s="1573">
        <v>50</v>
      </c>
    </row>
    <row r="100" spans="1:6" s="1569" customFormat="1" ht="24">
      <c r="A100" s="1573">
        <v>40</v>
      </c>
      <c r="B100" s="3891"/>
      <c r="C100" s="1573" t="s">
        <v>1707</v>
      </c>
      <c r="D100" s="1499" t="s">
        <v>1708</v>
      </c>
      <c r="E100" s="1586">
        <v>0.2</v>
      </c>
      <c r="F100" s="1573">
        <v>30</v>
      </c>
    </row>
    <row r="101" spans="1:6" s="1569" customFormat="1" ht="36">
      <c r="A101" s="1573">
        <v>41</v>
      </c>
      <c r="B101" s="3891"/>
      <c r="C101" s="1573" t="s">
        <v>1709</v>
      </c>
      <c r="D101" s="1499" t="s">
        <v>1706</v>
      </c>
      <c r="E101" s="1586">
        <v>0.2</v>
      </c>
      <c r="F101" s="1573">
        <v>30</v>
      </c>
    </row>
    <row r="102" spans="1:6" s="1569" customFormat="1" ht="48">
      <c r="A102" s="1573">
        <v>42</v>
      </c>
      <c r="B102" s="1573" t="s">
        <v>1710</v>
      </c>
      <c r="C102" s="1499" t="s">
        <v>1711</v>
      </c>
      <c r="D102" s="1499" t="s">
        <v>1712</v>
      </c>
      <c r="E102" s="1586">
        <v>0.2</v>
      </c>
      <c r="F102" s="1573">
        <v>30</v>
      </c>
    </row>
    <row r="103" spans="1:6" s="1569" customFormat="1" ht="24">
      <c r="A103" s="1573">
        <v>43</v>
      </c>
      <c r="B103" s="1573" t="s">
        <v>1713</v>
      </c>
      <c r="C103" s="1573" t="s">
        <v>1714</v>
      </c>
      <c r="D103" s="1499" t="s">
        <v>1715</v>
      </c>
      <c r="E103" s="1586">
        <v>0.2</v>
      </c>
      <c r="F103" s="1573">
        <v>30</v>
      </c>
    </row>
    <row r="104" spans="1:6" s="1569" customFormat="1" ht="36">
      <c r="A104" s="1573">
        <v>44</v>
      </c>
      <c r="B104" s="1573" t="s">
        <v>1716</v>
      </c>
      <c r="C104" s="1573" t="s">
        <v>1717</v>
      </c>
      <c r="D104" s="1499" t="s">
        <v>1718</v>
      </c>
      <c r="E104" s="1586">
        <v>0.2</v>
      </c>
      <c r="F104" s="1573">
        <v>30</v>
      </c>
    </row>
    <row r="105" spans="1:6" s="1569" customFormat="1" ht="36">
      <c r="A105" s="1573">
        <v>45</v>
      </c>
      <c r="B105" s="3891" t="s">
        <v>1719</v>
      </c>
      <c r="C105" s="1573" t="s">
        <v>1720</v>
      </c>
      <c r="D105" s="1499" t="s">
        <v>1721</v>
      </c>
      <c r="E105" s="1586">
        <v>0.2</v>
      </c>
      <c r="F105" s="1573">
        <v>30</v>
      </c>
    </row>
    <row r="106" spans="1:6" s="1569" customFormat="1" ht="36">
      <c r="A106" s="1573">
        <v>46</v>
      </c>
      <c r="B106" s="3891"/>
      <c r="C106" s="1573" t="s">
        <v>1722</v>
      </c>
      <c r="D106" s="1499" t="s">
        <v>1723</v>
      </c>
      <c r="E106" s="1586">
        <v>0.2</v>
      </c>
      <c r="F106" s="1573">
        <v>30</v>
      </c>
    </row>
    <row r="107" spans="1:6" s="1569" customFormat="1" ht="36">
      <c r="A107" s="1573">
        <v>47</v>
      </c>
      <c r="B107" s="3891" t="s">
        <v>1724</v>
      </c>
      <c r="C107" s="1573" t="s">
        <v>1725</v>
      </c>
      <c r="D107" s="1499" t="s">
        <v>1726</v>
      </c>
      <c r="E107" s="1586">
        <v>0.3</v>
      </c>
      <c r="F107" s="1573">
        <v>50</v>
      </c>
    </row>
    <row r="108" spans="1:6" s="1569" customFormat="1" ht="36">
      <c r="A108" s="1573">
        <v>48</v>
      </c>
      <c r="B108" s="3891"/>
      <c r="C108" s="1573" t="s">
        <v>1727</v>
      </c>
      <c r="D108" s="1499" t="s">
        <v>1728</v>
      </c>
      <c r="E108" s="1586">
        <v>0.2</v>
      </c>
      <c r="F108" s="1573">
        <v>30</v>
      </c>
    </row>
    <row r="109" spans="1:6" s="1569" customFormat="1" ht="36">
      <c r="A109" s="1573">
        <v>49</v>
      </c>
      <c r="B109" s="1573" t="s">
        <v>1729</v>
      </c>
      <c r="C109" s="1573" t="s">
        <v>1730</v>
      </c>
      <c r="D109" s="1499" t="s">
        <v>1731</v>
      </c>
      <c r="E109" s="1586">
        <v>0.2</v>
      </c>
      <c r="F109" s="1573">
        <v>30</v>
      </c>
    </row>
    <row r="110" spans="1:6" s="1569" customFormat="1" ht="36">
      <c r="A110" s="1573">
        <v>50</v>
      </c>
      <c r="B110" s="1573" t="s">
        <v>1732</v>
      </c>
      <c r="C110" s="1573" t="s">
        <v>1733</v>
      </c>
      <c r="D110" s="1499" t="s">
        <v>1734</v>
      </c>
      <c r="E110" s="1586">
        <v>0.2</v>
      </c>
      <c r="F110" s="1573">
        <v>30</v>
      </c>
    </row>
    <row r="111" spans="1:6" s="1569" customFormat="1" ht="36">
      <c r="A111" s="1573">
        <v>51</v>
      </c>
      <c r="B111" s="3891" t="s">
        <v>1735</v>
      </c>
      <c r="C111" s="1573" t="s">
        <v>1736</v>
      </c>
      <c r="D111" s="1499" t="s">
        <v>1737</v>
      </c>
      <c r="E111" s="1586">
        <v>0.2</v>
      </c>
      <c r="F111" s="1573">
        <v>30</v>
      </c>
    </row>
    <row r="112" spans="1:6" s="1569" customFormat="1" ht="24">
      <c r="A112" s="1573">
        <v>52</v>
      </c>
      <c r="B112" s="3891"/>
      <c r="C112" s="1573" t="s">
        <v>1738</v>
      </c>
      <c r="D112" s="1499" t="s">
        <v>1739</v>
      </c>
      <c r="E112" s="1586">
        <v>0.2</v>
      </c>
      <c r="F112" s="1573">
        <v>30</v>
      </c>
    </row>
    <row r="113" spans="1:6" s="1569" customFormat="1" ht="24">
      <c r="A113" s="1573">
        <v>53</v>
      </c>
      <c r="B113" s="3891"/>
      <c r="C113" s="1573" t="s">
        <v>1740</v>
      </c>
      <c r="D113" s="1499" t="s">
        <v>1741</v>
      </c>
      <c r="E113" s="1586">
        <v>0.2</v>
      </c>
      <c r="F113" s="1573">
        <v>30</v>
      </c>
    </row>
    <row r="114" spans="1:6" ht="36">
      <c r="A114" s="1573">
        <v>54</v>
      </c>
      <c r="B114" s="1573" t="s">
        <v>1742</v>
      </c>
      <c r="C114" s="1573" t="s">
        <v>1743</v>
      </c>
      <c r="D114" s="1499" t="s">
        <v>1744</v>
      </c>
      <c r="E114" s="1586">
        <v>0.2</v>
      </c>
      <c r="F114" s="1573">
        <v>30</v>
      </c>
    </row>
    <row r="115" spans="1:6" ht="24">
      <c r="A115" s="1573">
        <v>55</v>
      </c>
      <c r="B115" s="1573" t="s">
        <v>1745</v>
      </c>
      <c r="C115" s="1573" t="s">
        <v>1746</v>
      </c>
      <c r="D115" s="1499" t="s">
        <v>1747</v>
      </c>
      <c r="E115" s="1586">
        <v>0.2</v>
      </c>
      <c r="F115" s="1573">
        <v>30</v>
      </c>
    </row>
    <row r="116" spans="1:6" ht="24">
      <c r="A116" s="1573">
        <v>56</v>
      </c>
      <c r="B116" s="3891" t="s">
        <v>1748</v>
      </c>
      <c r="C116" s="1573" t="s">
        <v>1749</v>
      </c>
      <c r="D116" s="1499" t="s">
        <v>1750</v>
      </c>
      <c r="E116" s="1586">
        <v>0.2</v>
      </c>
      <c r="F116" s="1573">
        <v>30</v>
      </c>
    </row>
    <row r="117" spans="1:6" ht="36">
      <c r="A117" s="1573">
        <v>57</v>
      </c>
      <c r="B117" s="3891"/>
      <c r="C117" s="1573" t="s">
        <v>1751</v>
      </c>
      <c r="D117" s="1499" t="s">
        <v>1752</v>
      </c>
      <c r="E117" s="1586">
        <v>0.2</v>
      </c>
      <c r="F117" s="1573">
        <v>30</v>
      </c>
    </row>
    <row r="118" spans="1:6" ht="36">
      <c r="A118" s="1573">
        <v>58</v>
      </c>
      <c r="B118" s="1573" t="s">
        <v>1753</v>
      </c>
      <c r="C118" s="1573" t="s">
        <v>1754</v>
      </c>
      <c r="D118" s="1499" t="s">
        <v>1755</v>
      </c>
      <c r="E118" s="1586">
        <v>0.2</v>
      </c>
      <c r="F118" s="1573">
        <v>30</v>
      </c>
    </row>
    <row r="119" spans="1:6" ht="13.5">
      <c r="A119" s="1573"/>
      <c r="B119" s="1573"/>
      <c r="C119" s="1573" t="s">
        <v>1756</v>
      </c>
      <c r="D119" s="1573"/>
      <c r="E119" s="1586" t="s">
        <v>1566</v>
      </c>
      <c r="F119" s="1573" t="s">
        <v>1566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1766</v>
      </c>
      <c r="B1" s="1597"/>
      <c r="C1" s="1597"/>
      <c r="D1" s="1597"/>
      <c r="E1" s="1597"/>
      <c r="F1" s="1597"/>
      <c r="G1" s="1597"/>
      <c r="H1" s="1597"/>
      <c r="I1" s="1597"/>
      <c r="J1" s="1597"/>
      <c r="K1" s="1597"/>
      <c r="L1" s="1597"/>
      <c r="M1" s="1597"/>
      <c r="N1" s="1597"/>
    </row>
    <row r="2" spans="1:14">
      <c r="A2" s="1599" t="s">
        <v>1763</v>
      </c>
      <c r="B2" s="1600" t="s">
        <v>1168</v>
      </c>
      <c r="C2" s="1600" t="s">
        <v>1169</v>
      </c>
      <c r="D2" s="1600" t="s">
        <v>1170</v>
      </c>
      <c r="E2" s="1600" t="s">
        <v>1171</v>
      </c>
      <c r="F2" s="1600" t="s">
        <v>1172</v>
      </c>
      <c r="G2" s="1600" t="s">
        <v>1173</v>
      </c>
      <c r="H2" s="1601" t="s">
        <v>1174</v>
      </c>
      <c r="I2" s="1601" t="s">
        <v>1175</v>
      </c>
      <c r="J2" s="1602" t="s">
        <v>1176</v>
      </c>
      <c r="K2" s="1602" t="s">
        <v>1177</v>
      </c>
      <c r="L2" s="1602" t="s">
        <v>1178</v>
      </c>
      <c r="M2" s="1602" t="s">
        <v>1179</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1772</v>
      </c>
      <c r="B103" s="1597"/>
      <c r="C103" s="1597"/>
      <c r="D103" s="1597"/>
      <c r="E103" s="1597"/>
      <c r="F103" s="1597"/>
      <c r="G103" s="1597"/>
      <c r="H103" s="1597"/>
      <c r="I103" s="1597"/>
      <c r="J103" s="1597"/>
      <c r="K103" s="1597"/>
      <c r="L103" s="1597"/>
      <c r="M103" s="1597"/>
      <c r="N103" s="1597"/>
    </row>
    <row r="104" spans="1:14" ht="14.25">
      <c r="A104" s="1599" t="s">
        <v>1763</v>
      </c>
      <c r="B104" s="1600" t="s">
        <v>1168</v>
      </c>
      <c r="C104" s="1600" t="s">
        <v>1169</v>
      </c>
      <c r="D104" s="1600" t="s">
        <v>1170</v>
      </c>
      <c r="E104" s="1600" t="s">
        <v>1171</v>
      </c>
      <c r="F104" s="1600" t="s">
        <v>1172</v>
      </c>
      <c r="G104" s="1600" t="s">
        <v>1173</v>
      </c>
      <c r="H104" s="1601" t="s">
        <v>1174</v>
      </c>
      <c r="I104" s="1601" t="s">
        <v>1175</v>
      </c>
      <c r="J104" s="1602" t="s">
        <v>1176</v>
      </c>
      <c r="K104" s="1602" t="s">
        <v>1177</v>
      </c>
      <c r="L104" s="1602" t="s">
        <v>1178</v>
      </c>
      <c r="M104" s="1602" t="s">
        <v>1179</v>
      </c>
      <c r="N104" s="1597">
        <f>SUMPRODUCT((A105:A204=ROUNDDOWN(基准地价修正!G3,1))*(B104:M104=基准地价修正!G2)*(B105:M204))</f>
        <v>1.7690999999999999</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1773</v>
      </c>
      <c r="B205" s="1597"/>
      <c r="C205" s="1597"/>
      <c r="D205" s="1597"/>
      <c r="E205" s="1597"/>
      <c r="F205" s="1597"/>
      <c r="G205" s="1597"/>
      <c r="H205" s="1597"/>
      <c r="I205" s="1597"/>
      <c r="J205" s="1597"/>
      <c r="K205" s="1597"/>
      <c r="L205" s="1597"/>
      <c r="M205" s="1597"/>
    </row>
    <row r="206" spans="1:13">
      <c r="A206" s="1599" t="s">
        <v>1763</v>
      </c>
      <c r="B206" s="1600" t="s">
        <v>1168</v>
      </c>
      <c r="C206" s="1600" t="s">
        <v>1169</v>
      </c>
      <c r="D206" s="1600" t="s">
        <v>1170</v>
      </c>
      <c r="E206" s="1600" t="s">
        <v>1171</v>
      </c>
      <c r="F206" s="1600" t="s">
        <v>1172</v>
      </c>
      <c r="G206" s="1600" t="s">
        <v>1173</v>
      </c>
      <c r="H206" s="1601" t="s">
        <v>1174</v>
      </c>
      <c r="I206" s="1601" t="s">
        <v>1175</v>
      </c>
      <c r="J206" s="1602" t="s">
        <v>1176</v>
      </c>
      <c r="K206" s="1602" t="s">
        <v>1177</v>
      </c>
      <c r="L206" s="1602" t="s">
        <v>1178</v>
      </c>
      <c r="M206" s="1602" t="s">
        <v>1179</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1774</v>
      </c>
      <c r="B307" s="1597"/>
      <c r="C307" s="1597"/>
      <c r="D307" s="1597"/>
      <c r="E307" s="1597"/>
      <c r="F307" s="1597"/>
      <c r="G307" s="1597"/>
      <c r="H307" s="1597"/>
      <c r="I307" s="1597"/>
      <c r="J307" s="1597"/>
      <c r="K307" s="1597"/>
      <c r="L307" s="1597"/>
      <c r="M307" s="1597"/>
    </row>
    <row r="308" spans="1:13">
      <c r="A308" s="1599" t="s">
        <v>1763</v>
      </c>
      <c r="B308" s="1600" t="s">
        <v>1168</v>
      </c>
      <c r="C308" s="1600" t="s">
        <v>1169</v>
      </c>
      <c r="D308" s="1600" t="s">
        <v>1170</v>
      </c>
      <c r="E308" s="1600" t="s">
        <v>1171</v>
      </c>
      <c r="F308" s="1600" t="s">
        <v>1172</v>
      </c>
      <c r="G308" s="1600" t="s">
        <v>1173</v>
      </c>
      <c r="H308" s="1601" t="s">
        <v>1174</v>
      </c>
      <c r="I308" s="1601" t="s">
        <v>1175</v>
      </c>
      <c r="J308" s="1602" t="s">
        <v>1176</v>
      </c>
      <c r="K308" s="1602" t="s">
        <v>1177</v>
      </c>
      <c r="L308" s="1602" t="s">
        <v>1178</v>
      </c>
      <c r="M308" s="1602" t="s">
        <v>1179</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2029</v>
      </c>
      <c r="B1" s="1964"/>
      <c r="C1" s="1964"/>
      <c r="D1" s="1964"/>
      <c r="E1" s="1964"/>
    </row>
    <row r="2" spans="1:5" ht="78" customHeight="1">
      <c r="A2" s="350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507"/>
      <c r="C2" s="3507"/>
      <c r="D2" s="3507"/>
      <c r="E2" s="3507"/>
    </row>
    <row r="3" spans="1:5" ht="18.75">
      <c r="A3" s="3508" t="s">
        <v>2030</v>
      </c>
      <c r="B3" s="3508"/>
      <c r="C3" s="3508"/>
      <c r="D3" s="3508"/>
      <c r="E3" s="3508"/>
    </row>
    <row r="4" spans="1:5" ht="19.5" thickBot="1">
      <c r="A4" s="1976"/>
      <c r="B4" s="3506" t="s">
        <v>2035</v>
      </c>
      <c r="C4" s="3506"/>
      <c r="D4" s="3506"/>
      <c r="E4" s="1976"/>
    </row>
    <row r="5" spans="1:5" ht="16.5" thickTop="1">
      <c r="A5" s="1964"/>
      <c r="B5" s="3504" t="s">
        <v>2031</v>
      </c>
      <c r="C5" s="1966" t="s">
        <v>2036</v>
      </c>
      <c r="D5" s="1967">
        <f ca="1">结果表!H101</f>
        <v>465899</v>
      </c>
      <c r="E5" s="1964"/>
    </row>
    <row r="6" spans="1:5" ht="15.75">
      <c r="A6" s="1964"/>
      <c r="B6" s="3504"/>
      <c r="C6" s="1966" t="s">
        <v>2876</v>
      </c>
      <c r="D6" s="1967" t="str">
        <f ca="1">NUMBERSTRING(INT(D5*10000),2)&amp;"元整"</f>
        <v>肆拾陆亿伍仟捌佰玖拾玖万元整</v>
      </c>
      <c r="E6" s="1964"/>
    </row>
    <row r="7" spans="1:5" ht="15.75">
      <c r="A7" s="1964"/>
      <c r="B7" s="3509"/>
      <c r="C7" s="1968" t="s">
        <v>2037</v>
      </c>
      <c r="D7" s="1969">
        <f ca="1">结果表!H102</f>
        <v>14289</v>
      </c>
      <c r="E7" s="1964"/>
    </row>
    <row r="8" spans="1:5" ht="15.75">
      <c r="A8" s="1964"/>
      <c r="B8" s="3510" t="str">
        <f>结果表!E103</f>
        <v>2.估价师知悉的法定优先受偿款</v>
      </c>
      <c r="C8" s="1970" t="s">
        <v>2038</v>
      </c>
      <c r="D8" s="1969">
        <f>结果表!H103</f>
        <v>14478</v>
      </c>
      <c r="E8" s="1964"/>
    </row>
    <row r="9" spans="1:5" ht="15.75">
      <c r="A9" s="1964"/>
      <c r="B9" s="3512"/>
      <c r="C9" s="1966" t="s">
        <v>2876</v>
      </c>
      <c r="D9" s="1967" t="str">
        <f>NUMBERSTRING(INT(D8*10000),2)&amp;"元整"</f>
        <v>壹亿肆仟肆佰柒拾捌万元整</v>
      </c>
      <c r="E9" s="1964"/>
    </row>
    <row r="10" spans="1:5" ht="15">
      <c r="A10" s="1964"/>
      <c r="B10" s="1971" t="s">
        <v>2032</v>
      </c>
      <c r="C10" s="1972" t="s">
        <v>2038</v>
      </c>
      <c r="D10" s="1973">
        <f>结果表!H104</f>
        <v>0</v>
      </c>
      <c r="E10" s="1964"/>
    </row>
    <row r="11" spans="1:5" ht="15">
      <c r="A11" s="1964"/>
      <c r="B11" s="1971" t="s">
        <v>2033</v>
      </c>
      <c r="C11" s="1972" t="s">
        <v>2038</v>
      </c>
      <c r="D11" s="1973">
        <f>结果表!H105</f>
        <v>14478</v>
      </c>
      <c r="E11" s="1964"/>
    </row>
    <row r="12" spans="1:5" ht="15">
      <c r="A12" s="1964"/>
      <c r="B12" s="1971" t="s">
        <v>2034</v>
      </c>
      <c r="C12" s="1972" t="s">
        <v>2038</v>
      </c>
      <c r="D12" s="1973">
        <f>结果表!H106</f>
        <v>0</v>
      </c>
      <c r="E12" s="1964"/>
    </row>
    <row r="13" spans="1:5" ht="15.75">
      <c r="A13" s="1964"/>
      <c r="B13" s="3503" t="str">
        <f>结果表!E107</f>
        <v>——</v>
      </c>
      <c r="C13" s="1974" t="s">
        <v>2036</v>
      </c>
      <c r="D13" s="1977" t="str">
        <f>结果表!H107</f>
        <v>——</v>
      </c>
      <c r="E13" s="1964"/>
    </row>
    <row r="14" spans="1:5" ht="15.75">
      <c r="A14" s="1964"/>
      <c r="B14" s="3504"/>
      <c r="C14" s="1966" t="s">
        <v>2876</v>
      </c>
      <c r="D14" s="1967" t="e">
        <f>NUMBERSTRING(INT(D13*10000),2)&amp;"元整"</f>
        <v>#VALUE!</v>
      </c>
      <c r="E14" s="1964"/>
    </row>
    <row r="15" spans="1:5" ht="15">
      <c r="A15" s="1964"/>
      <c r="B15" s="3509"/>
      <c r="C15" s="1968" t="s">
        <v>2037</v>
      </c>
      <c r="D15" s="2079" t="e">
        <f>结果表!H108</f>
        <v>#VALUE!</v>
      </c>
      <c r="E15" s="1964"/>
    </row>
    <row r="16" spans="1:5" ht="14.25">
      <c r="A16" s="1964"/>
      <c r="B16" s="3510" t="str">
        <f>结果表!E109</f>
        <v>3.抵押担保权已注销时的房地产抵押价值</v>
      </c>
      <c r="C16" s="1974" t="s">
        <v>2036</v>
      </c>
      <c r="D16" s="2080">
        <f ca="1">结果表!H109</f>
        <v>451421</v>
      </c>
      <c r="E16" s="1964"/>
    </row>
    <row r="17" spans="1:5" ht="15.75">
      <c r="A17" s="1964"/>
      <c r="B17" s="3511"/>
      <c r="C17" s="1966" t="s">
        <v>2876</v>
      </c>
      <c r="D17" s="1967" t="str">
        <f ca="1">NUMBERSTRING(INT(D16*10000),2)&amp;"元整"</f>
        <v>肆拾伍亿壹仟肆佰贰拾壹万元整</v>
      </c>
      <c r="E17" s="1964"/>
    </row>
    <row r="18" spans="1:5" ht="15">
      <c r="A18" s="1964"/>
      <c r="B18" s="3512"/>
      <c r="C18" s="1968" t="s">
        <v>2037</v>
      </c>
      <c r="D18" s="2079">
        <f ca="1">结果表!H110</f>
        <v>13845</v>
      </c>
      <c r="E18" s="1964"/>
    </row>
    <row r="19" spans="1:5" ht="15.75">
      <c r="A19" s="1964"/>
      <c r="B19" s="3503" t="str">
        <f>结果表!E111</f>
        <v>——</v>
      </c>
      <c r="C19" s="1974" t="s">
        <v>2036</v>
      </c>
      <c r="D19" s="1969" t="str">
        <f>结果表!H111</f>
        <v>——</v>
      </c>
      <c r="E19" s="1964"/>
    </row>
    <row r="20" spans="1:5" ht="15.75">
      <c r="A20" s="1964"/>
      <c r="B20" s="3504"/>
      <c r="C20" s="1966" t="s">
        <v>2876</v>
      </c>
      <c r="D20" s="1967" t="e">
        <f>NUMBERSTRING(INT(D19*10000),2)&amp;"元整"</f>
        <v>#VALUE!</v>
      </c>
      <c r="E20" s="1964"/>
    </row>
    <row r="21" spans="1:5" ht="15.75" thickBot="1">
      <c r="A21" s="1964"/>
      <c r="B21" s="3505"/>
      <c r="C21" s="2081" t="s">
        <v>2037</v>
      </c>
      <c r="D21" s="2082" t="str">
        <f>结果表!H112</f>
        <v>——</v>
      </c>
      <c r="E21" s="1964"/>
    </row>
    <row r="22" spans="1:5" ht="14.25" thickTop="1">
      <c r="A22" s="1964"/>
      <c r="B22" s="1975" t="s">
        <v>2063</v>
      </c>
      <c r="C22" s="1964"/>
      <c r="D22" s="1964"/>
      <c r="E22" s="1964"/>
    </row>
    <row r="23" spans="1:5">
      <c r="A23" s="1964"/>
      <c r="B23" s="1964"/>
      <c r="C23" s="1964"/>
      <c r="D23" s="1964"/>
      <c r="E23" s="1964"/>
    </row>
    <row r="24" spans="1:5" ht="18.75">
      <c r="A24" s="1995"/>
      <c r="B24" s="1996" t="s">
        <v>2044</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L6" sqref="L6"/>
    </sheetView>
  </sheetViews>
  <sheetFormatPr defaultRowHeight="12.75"/>
  <cols>
    <col min="1" max="1" width="9" style="2934"/>
    <col min="2" max="6" width="9" style="2934" customWidth="1"/>
    <col min="7" max="7" width="9" style="2949"/>
    <col min="8" max="8" width="9" style="2934"/>
    <col min="9" max="12" width="9" style="2934" customWidth="1"/>
    <col min="13" max="13" width="2.25" style="2934" customWidth="1"/>
    <col min="14" max="14" width="9" style="2949" customWidth="1"/>
    <col min="15" max="17" width="9" style="2934" customWidth="1"/>
    <col min="18" max="18" width="2.375" style="2934" customWidth="1"/>
    <col min="19" max="19" width="7.125" style="2949" customWidth="1"/>
    <col min="20" max="22" width="7.125" style="2934" customWidth="1"/>
    <col min="23" max="23" width="24.25" style="2934" customWidth="1"/>
    <col min="24" max="25" width="9" style="2934"/>
    <col min="26" max="27" width="11.625" style="2934" customWidth="1"/>
    <col min="28" max="28" width="9" style="2934"/>
    <col min="29" max="29" width="2" style="2934" customWidth="1"/>
    <col min="30" max="16384" width="9" style="2934"/>
  </cols>
  <sheetData>
    <row r="1" spans="1:34" s="2903" customFormat="1">
      <c r="B1" s="3902" t="s">
        <v>2713</v>
      </c>
      <c r="C1" s="3902"/>
      <c r="D1" s="3902"/>
      <c r="E1" s="3902"/>
      <c r="F1" s="3902"/>
      <c r="G1" s="3901" t="s">
        <v>2714</v>
      </c>
      <c r="H1" s="3901"/>
      <c r="I1" s="3901"/>
      <c r="J1" s="3901"/>
      <c r="K1" s="3901"/>
      <c r="L1" s="3901"/>
      <c r="N1" s="3901" t="s">
        <v>2715</v>
      </c>
      <c r="O1" s="3901"/>
      <c r="P1" s="3901"/>
      <c r="Q1" s="3901"/>
      <c r="R1" s="2904"/>
      <c r="S1" s="3901" t="s">
        <v>2716</v>
      </c>
      <c r="T1" s="3901"/>
      <c r="U1" s="3901"/>
      <c r="V1" s="3901"/>
      <c r="X1" s="3900" t="s">
        <v>2717</v>
      </c>
      <c r="Y1" s="3901"/>
      <c r="Z1" s="3901"/>
      <c r="AA1" s="3901"/>
      <c r="AB1" s="3901"/>
      <c r="AD1" s="3900" t="s">
        <v>2718</v>
      </c>
      <c r="AE1" s="3901"/>
      <c r="AF1" s="3901"/>
      <c r="AG1" s="3901"/>
      <c r="AH1" s="3901"/>
    </row>
    <row r="2" spans="1:34" s="2905" customFormat="1" ht="14.25" thickBot="1">
      <c r="B2" s="2906" t="s">
        <v>2719</v>
      </c>
      <c r="C2" s="2906" t="s">
        <v>2720</v>
      </c>
      <c r="D2" s="2907" t="s">
        <v>2721</v>
      </c>
      <c r="E2" s="2907" t="s">
        <v>2722</v>
      </c>
      <c r="F2" s="2906" t="s">
        <v>2723</v>
      </c>
      <c r="G2" s="2908"/>
      <c r="H2" s="2909"/>
      <c r="I2" s="2909"/>
      <c r="J2" s="2909"/>
      <c r="K2" s="2909"/>
      <c r="L2" s="2909"/>
      <c r="N2" s="2908"/>
      <c r="O2" s="2909"/>
      <c r="P2" s="2909"/>
      <c r="Q2" s="2909"/>
      <c r="R2" s="2910"/>
      <c r="S2" s="2908"/>
      <c r="T2" s="2909"/>
      <c r="U2" s="2909"/>
      <c r="V2" s="2909"/>
      <c r="X2" s="2906" t="s">
        <v>2719</v>
      </c>
      <c r="Y2" s="2906" t="s">
        <v>2720</v>
      </c>
      <c r="Z2" s="2907" t="s">
        <v>2721</v>
      </c>
      <c r="AA2" s="2907" t="s">
        <v>2722</v>
      </c>
      <c r="AB2" s="2906" t="s">
        <v>2723</v>
      </c>
      <c r="AD2" s="2906" t="s">
        <v>2719</v>
      </c>
      <c r="AE2" s="2906" t="s">
        <v>2720</v>
      </c>
      <c r="AF2" s="2907" t="s">
        <v>2721</v>
      </c>
      <c r="AG2" s="2907" t="s">
        <v>2722</v>
      </c>
      <c r="AH2" s="2906" t="s">
        <v>2723</v>
      </c>
    </row>
    <row r="3" spans="1:34" s="2911" customFormat="1" ht="15" thickBot="1">
      <c r="B3" s="2912"/>
      <c r="C3" s="2912"/>
      <c r="D3" s="2913"/>
      <c r="E3" s="2913"/>
      <c r="F3" s="2912"/>
      <c r="G3" s="2914"/>
      <c r="H3" s="2915"/>
      <c r="I3" s="2915"/>
      <c r="J3" s="2915"/>
      <c r="K3" s="2915"/>
      <c r="L3" s="2915"/>
      <c r="N3" s="2914"/>
      <c r="O3" s="2916"/>
      <c r="P3" s="2916"/>
      <c r="Q3" s="2916"/>
      <c r="R3" s="2916"/>
      <c r="S3" s="2914"/>
      <c r="T3" s="2916"/>
      <c r="U3" s="2916"/>
      <c r="V3" s="2916"/>
      <c r="X3" s="2917">
        <f>ROUND(SUMPRODUCT(PRODUCT(1+N3:N$18)),4)</f>
        <v>1.3494999999999999</v>
      </c>
      <c r="Y3" s="2917">
        <f>ROUND(SUMPRODUCT(PRODUCT(1+O3:O$18)),4)</f>
        <v>1.2154</v>
      </c>
      <c r="Z3" s="2917">
        <f t="shared" ref="Z3:Z16" si="0">Y3</f>
        <v>1.2154</v>
      </c>
      <c r="AA3" s="2917">
        <f>ROUND(SUMPRODUCT(PRODUCT(1+P3:P$18)),4)</f>
        <v>1.3962000000000001</v>
      </c>
      <c r="AB3" s="2917">
        <f>ROUND(SUMPRODUCT(PRODUCT(1+Q3:Q$18)),4)</f>
        <v>1.1890000000000001</v>
      </c>
      <c r="AD3" s="2918">
        <f>ROUND(AVERAGE(I3:I$19)/100,4)</f>
        <v>2.3900000000000001E-2</v>
      </c>
      <c r="AE3" s="2918">
        <f>ROUND(AVERAGE(J3:J$19)/100,4)</f>
        <v>1.5699999999999999E-2</v>
      </c>
      <c r="AF3" s="2918">
        <f t="shared" ref="AF3:AF17" si="1">AE3</f>
        <v>1.5699999999999999E-2</v>
      </c>
      <c r="AG3" s="2918">
        <f>ROUND(AVERAGE(K3:K$19)/100,4)</f>
        <v>2.6599999999999999E-2</v>
      </c>
      <c r="AH3" s="2918">
        <f>ROUND(AVERAGE(L3:L$19)/100,4)</f>
        <v>1.34E-2</v>
      </c>
    </row>
    <row r="4" spans="1:34" s="2903" customFormat="1">
      <c r="A4" s="2919" t="s">
        <v>2724</v>
      </c>
      <c r="B4" s="2920"/>
      <c r="C4" s="2920"/>
      <c r="D4" s="2920"/>
      <c r="E4" s="2920"/>
      <c r="F4" s="2920"/>
      <c r="G4" s="3903">
        <v>2017</v>
      </c>
      <c r="H4" s="2921">
        <v>4</v>
      </c>
      <c r="I4" s="2921"/>
      <c r="J4" s="2921"/>
      <c r="K4" s="2921"/>
      <c r="L4" s="2922"/>
      <c r="N4" s="2923"/>
      <c r="O4" s="2904"/>
      <c r="P4" s="2904"/>
      <c r="Q4" s="2904"/>
      <c r="R4" s="2904"/>
      <c r="S4" s="2923"/>
      <c r="T4" s="2904"/>
      <c r="U4" s="2904"/>
      <c r="V4" s="2904"/>
      <c r="X4" s="2917">
        <f>ROUND(SUMPRODUCT(PRODUCT(1+N4:N$18)),4)</f>
        <v>1.3494999999999999</v>
      </c>
      <c r="Y4" s="2917">
        <f>ROUND(SUMPRODUCT(PRODUCT(1+O4:O$18)),4)</f>
        <v>1.2154</v>
      </c>
      <c r="Z4" s="2917">
        <f t="shared" si="0"/>
        <v>1.2154</v>
      </c>
      <c r="AA4" s="2917">
        <f>ROUND(SUMPRODUCT(PRODUCT(1+P4:P$18)),4)</f>
        <v>1.3962000000000001</v>
      </c>
      <c r="AB4" s="2917">
        <f>ROUND(SUMPRODUCT(PRODUCT(1+Q4:Q$18)),4)</f>
        <v>1.1890000000000001</v>
      </c>
      <c r="AD4" s="2918">
        <f>ROUND(AVERAGE(I4:I$19)/100,4)</f>
        <v>2.3900000000000001E-2</v>
      </c>
      <c r="AE4" s="2918">
        <f>ROUND(AVERAGE(J4:J$19)/100,4)</f>
        <v>1.5699999999999999E-2</v>
      </c>
      <c r="AF4" s="2918">
        <f t="shared" si="1"/>
        <v>1.5699999999999999E-2</v>
      </c>
      <c r="AG4" s="2918">
        <f>ROUND(AVERAGE(K4:K$19)/100,4)</f>
        <v>2.6599999999999999E-2</v>
      </c>
      <c r="AH4" s="2918">
        <f>ROUND(AVERAGE(L4:L$19)/100,4)</f>
        <v>1.34E-2</v>
      </c>
    </row>
    <row r="5" spans="1:34" s="2903" customFormat="1">
      <c r="A5" s="2919" t="s">
        <v>2725</v>
      </c>
      <c r="B5" s="2920"/>
      <c r="C5" s="2920"/>
      <c r="D5" s="2920"/>
      <c r="E5" s="2920"/>
      <c r="F5" s="2920"/>
      <c r="G5" s="3898"/>
      <c r="H5" s="2924">
        <v>3</v>
      </c>
      <c r="I5" s="2920"/>
      <c r="J5" s="2920"/>
      <c r="K5" s="2920"/>
      <c r="L5" s="2920"/>
      <c r="N5" s="2923"/>
      <c r="O5" s="2904"/>
      <c r="P5" s="2904"/>
      <c r="Q5" s="2904"/>
      <c r="R5" s="2904"/>
      <c r="S5" s="2923"/>
      <c r="T5" s="2904"/>
      <c r="U5" s="2904"/>
      <c r="V5" s="2904"/>
      <c r="X5" s="2917">
        <f>ROUND(SUMPRODUCT(PRODUCT(1+N5:N$18)),4)</f>
        <v>1.3494999999999999</v>
      </c>
      <c r="Y5" s="2917">
        <f>ROUND(SUMPRODUCT(PRODUCT(1+O5:O$18)),4)</f>
        <v>1.2154</v>
      </c>
      <c r="Z5" s="2917">
        <f t="shared" si="0"/>
        <v>1.2154</v>
      </c>
      <c r="AA5" s="2917">
        <f>ROUND(SUMPRODUCT(PRODUCT(1+P5:P$18)),4)</f>
        <v>1.3962000000000001</v>
      </c>
      <c r="AB5" s="2917">
        <f>ROUND(SUMPRODUCT(PRODUCT(1+Q5:Q$18)),4)</f>
        <v>1.1890000000000001</v>
      </c>
      <c r="AD5" s="2918">
        <f>ROUND(AVERAGE(I5:I$19)/100,4)</f>
        <v>2.3900000000000001E-2</v>
      </c>
      <c r="AE5" s="2918">
        <f>ROUND(AVERAGE(J5:J$19)/100,4)</f>
        <v>1.5699999999999999E-2</v>
      </c>
      <c r="AF5" s="2918">
        <f t="shared" si="1"/>
        <v>1.5699999999999999E-2</v>
      </c>
      <c r="AG5" s="2918">
        <f>ROUND(AVERAGE(K5:K$19)/100,4)</f>
        <v>2.6599999999999999E-2</v>
      </c>
      <c r="AH5" s="2918">
        <f>ROUND(AVERAGE(L5:L$19)/100,4)</f>
        <v>1.34E-2</v>
      </c>
    </row>
    <row r="6" spans="1:34" s="3245" customFormat="1">
      <c r="A6" s="3243" t="s">
        <v>2726</v>
      </c>
      <c r="B6" s="2926">
        <f>B7*(1+N6)</f>
        <v>415.21602360000003</v>
      </c>
      <c r="C6" s="2926">
        <f>C7*(1+O6)</f>
        <v>312.63083488000001</v>
      </c>
      <c r="D6" s="2926">
        <f>C6</f>
        <v>312.63083488000001</v>
      </c>
      <c r="E6" s="3237">
        <f>E7*(1+P6)</f>
        <v>589.96402416000001</v>
      </c>
      <c r="F6" s="3237">
        <f>F7*(1+Q6)</f>
        <v>273.82351752000005</v>
      </c>
      <c r="G6" s="3898"/>
      <c r="H6" s="3244">
        <v>2</v>
      </c>
      <c r="I6" s="2927">
        <f>ROUND(AVERAGE(I7:I19),2)</f>
        <v>2.39</v>
      </c>
      <c r="J6" s="2927">
        <f t="shared" ref="J6:L6" si="2">ROUND(AVERAGE(J7:J19),2)</f>
        <v>1.57</v>
      </c>
      <c r="K6" s="2927">
        <f t="shared" si="2"/>
        <v>2.66</v>
      </c>
      <c r="L6" s="2927">
        <f t="shared" si="2"/>
        <v>1.34</v>
      </c>
      <c r="N6" s="2929">
        <f>I6/100</f>
        <v>2.3900000000000001E-2</v>
      </c>
      <c r="O6" s="2929">
        <f t="shared" ref="O6" si="3">J6/100</f>
        <v>1.5700000000000002E-2</v>
      </c>
      <c r="P6" s="2929">
        <f t="shared" ref="P6" si="4">K6/100</f>
        <v>2.6600000000000002E-2</v>
      </c>
      <c r="Q6" s="2929">
        <f t="shared" ref="Q6" si="5">L6/100</f>
        <v>1.34E-2</v>
      </c>
      <c r="R6" s="3246"/>
      <c r="S6" s="3247"/>
      <c r="T6" s="3246"/>
      <c r="U6" s="3246"/>
      <c r="V6" s="3246"/>
      <c r="W6" s="2930" t="s">
        <v>2728</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1">
        <f>ROUND(AVERAGE(I6:I$19)/100,4)</f>
        <v>2.3900000000000001E-2</v>
      </c>
      <c r="AE6" s="2931">
        <f>ROUND(AVERAGE(J6:J$19)/100,4)</f>
        <v>1.5699999999999999E-2</v>
      </c>
      <c r="AF6" s="2931">
        <f t="shared" si="1"/>
        <v>1.5699999999999999E-2</v>
      </c>
      <c r="AG6" s="2931">
        <f>ROUND(AVERAGE(K6:K$19)/100,4)</f>
        <v>2.6599999999999999E-2</v>
      </c>
      <c r="AH6" s="2931">
        <f>ROUND(AVERAGE(L6:L$19)/100,4)</f>
        <v>1.34E-2</v>
      </c>
    </row>
    <row r="7" spans="1:34" s="2928" customFormat="1" ht="13.5" thickBot="1">
      <c r="A7" s="2919" t="s">
        <v>2727</v>
      </c>
      <c r="B7" s="2940">
        <f>B8*(1+N7)</f>
        <v>405.524</v>
      </c>
      <c r="C7" s="2940">
        <f>C8*(1+O7)</f>
        <v>307.79840000000002</v>
      </c>
      <c r="D7" s="2940">
        <f>C7</f>
        <v>307.79840000000002</v>
      </c>
      <c r="E7" s="2940">
        <f>E8*(1+P7)</f>
        <v>574.67759999999998</v>
      </c>
      <c r="F7" s="2940">
        <f>F8*(1+Q7)</f>
        <v>270.20280000000002</v>
      </c>
      <c r="G7" s="3899"/>
      <c r="H7" s="2924">
        <v>1</v>
      </c>
      <c r="I7" s="2924">
        <v>3.45</v>
      </c>
      <c r="J7" s="2924">
        <v>1.92</v>
      </c>
      <c r="K7" s="2924">
        <v>3.92</v>
      </c>
      <c r="L7" s="2941">
        <v>1.58</v>
      </c>
      <c r="M7" s="2934"/>
      <c r="N7" s="2935">
        <f>I7/100</f>
        <v>3.4500000000000003E-2</v>
      </c>
      <c r="O7" s="2936">
        <f t="shared" ref="O7:Q22" si="6">J7/100</f>
        <v>1.9199999999999998E-2</v>
      </c>
      <c r="P7" s="2936">
        <f t="shared" si="6"/>
        <v>3.9199999999999999E-2</v>
      </c>
      <c r="Q7" s="2936">
        <f t="shared" si="6"/>
        <v>1.5800000000000002E-2</v>
      </c>
      <c r="R7" s="2937"/>
      <c r="S7" s="2935">
        <f>B7/B8-1</f>
        <v>3.4499999999999975E-2</v>
      </c>
      <c r="T7" s="2936">
        <f t="shared" ref="T7:V7" si="7">C7/C8-1</f>
        <v>1.9200000000000106E-2</v>
      </c>
      <c r="U7" s="2936">
        <f t="shared" si="7"/>
        <v>1.9200000000000106E-2</v>
      </c>
      <c r="V7" s="2936">
        <f t="shared" si="7"/>
        <v>3.9199999999999902E-2</v>
      </c>
      <c r="W7" s="2934"/>
      <c r="X7" s="2917">
        <f>ROUND(SUMPRODUCT(PRODUCT(1+N7:N$18)),4)</f>
        <v>1.3180000000000001</v>
      </c>
      <c r="Y7" s="2917">
        <f>ROUND(SUMPRODUCT(PRODUCT(1+O7:O$18)),4)</f>
        <v>1.1966000000000001</v>
      </c>
      <c r="Z7" s="2917">
        <f t="shared" si="0"/>
        <v>1.1966000000000001</v>
      </c>
      <c r="AA7" s="2917">
        <f>ROUND(SUMPRODUCT(PRODUCT(1+P7:P$18)),4)</f>
        <v>1.36</v>
      </c>
      <c r="AB7" s="2917">
        <f>ROUND(SUMPRODUCT(PRODUCT(1+Q7:Q$18)),4)</f>
        <v>1.1733</v>
      </c>
      <c r="AC7" s="2934"/>
      <c r="AD7" s="2918">
        <f>ROUND(AVERAGE(I7:I$19)/100,4)</f>
        <v>2.3900000000000001E-2</v>
      </c>
      <c r="AE7" s="2918">
        <f>ROUND(AVERAGE(J7:J$19)/100,4)</f>
        <v>1.5699999999999999E-2</v>
      </c>
      <c r="AF7" s="2918">
        <f t="shared" si="1"/>
        <v>1.5699999999999999E-2</v>
      </c>
      <c r="AG7" s="2918">
        <f>ROUND(AVERAGE(K7:K$19)/100,4)</f>
        <v>2.6599999999999999E-2</v>
      </c>
      <c r="AH7" s="2918">
        <f>ROUND(AVERAGE(L7:L$19)/100,4)</f>
        <v>1.34E-2</v>
      </c>
    </row>
    <row r="8" spans="1:34">
      <c r="A8" s="2919" t="s">
        <v>1157</v>
      </c>
      <c r="B8" s="2932">
        <v>392</v>
      </c>
      <c r="C8" s="2932">
        <v>302</v>
      </c>
      <c r="D8" s="2932">
        <f>C8</f>
        <v>302</v>
      </c>
      <c r="E8" s="2932">
        <v>553</v>
      </c>
      <c r="F8" s="2933">
        <v>266</v>
      </c>
      <c r="G8" s="3903">
        <v>2016</v>
      </c>
      <c r="H8" s="2921">
        <v>4</v>
      </c>
      <c r="I8" s="2921">
        <v>4.5599999999999996</v>
      </c>
      <c r="J8" s="2921">
        <v>2.15</v>
      </c>
      <c r="K8" s="2921">
        <v>5.32</v>
      </c>
      <c r="L8" s="2922">
        <v>1.57</v>
      </c>
      <c r="N8" s="2935">
        <f>I8/100</f>
        <v>4.5599999999999995E-2</v>
      </c>
      <c r="O8" s="2936">
        <f t="shared" si="6"/>
        <v>2.1499999999999998E-2</v>
      </c>
      <c r="P8" s="2936">
        <f t="shared" si="6"/>
        <v>5.3200000000000004E-2</v>
      </c>
      <c r="Q8" s="2936">
        <f t="shared" si="6"/>
        <v>1.5700000000000002E-2</v>
      </c>
      <c r="R8" s="2937"/>
      <c r="S8" s="2938"/>
      <c r="T8" s="2939"/>
      <c r="U8" s="2939"/>
      <c r="V8" s="2939"/>
      <c r="X8" s="2917">
        <f>ROUND(SUMPRODUCT(PRODUCT(1+N8:N$18)),4)</f>
        <v>1.274</v>
      </c>
      <c r="Y8" s="2917">
        <f>ROUND(SUMPRODUCT(PRODUCT(1+O8:O$18)),4)</f>
        <v>1.1740999999999999</v>
      </c>
      <c r="Z8" s="2917">
        <f t="shared" si="0"/>
        <v>1.1740999999999999</v>
      </c>
      <c r="AA8" s="2917">
        <f>ROUND(SUMPRODUCT(PRODUCT(1+P8:P$18)),4)</f>
        <v>1.3087</v>
      </c>
      <c r="AB8" s="2917">
        <f>ROUND(SUMPRODUCT(PRODUCT(1+Q8:Q$18)),4)</f>
        <v>1.1551</v>
      </c>
      <c r="AD8" s="2918">
        <f>ROUND(AVERAGE(I8:I$19)/100,4)</f>
        <v>2.3E-2</v>
      </c>
      <c r="AE8" s="2918">
        <f>ROUND(AVERAGE(J8:J$19)/100,4)</f>
        <v>1.55E-2</v>
      </c>
      <c r="AF8" s="2918">
        <f t="shared" si="1"/>
        <v>1.55E-2</v>
      </c>
      <c r="AG8" s="2918">
        <f>ROUND(AVERAGE(K8:K$19)/100,4)</f>
        <v>2.5600000000000001E-2</v>
      </c>
      <c r="AH8" s="2918">
        <f>ROUND(AVERAGE(L8:L$19)/100,4)</f>
        <v>1.32E-2</v>
      </c>
    </row>
    <row r="9" spans="1:34">
      <c r="A9" s="2919" t="s">
        <v>1156</v>
      </c>
      <c r="B9" s="2940">
        <f t="shared" ref="B9:C11" si="8">B8/(1+N8)</f>
        <v>374.90436113236416</v>
      </c>
      <c r="C9" s="2940">
        <f t="shared" si="8"/>
        <v>295.64366128242779</v>
      </c>
      <c r="D9" s="2940">
        <f t="shared" ref="D9:D68" si="9">C9</f>
        <v>295.64366128242779</v>
      </c>
      <c r="E9" s="2940">
        <f t="shared" ref="E9:F11" si="10">E8/(1+P8)</f>
        <v>525.06646410938095</v>
      </c>
      <c r="F9" s="2940">
        <f t="shared" si="10"/>
        <v>261.88835286009646</v>
      </c>
      <c r="G9" s="3898"/>
      <c r="H9" s="2924">
        <v>3</v>
      </c>
      <c r="I9" s="2924">
        <v>4.12</v>
      </c>
      <c r="J9" s="2924">
        <v>2</v>
      </c>
      <c r="K9" s="2924">
        <v>4.79</v>
      </c>
      <c r="L9" s="2941">
        <v>1.97</v>
      </c>
      <c r="N9" s="2935">
        <f t="shared" ref="N9:Q43" si="11">I9/100</f>
        <v>4.1200000000000001E-2</v>
      </c>
      <c r="O9" s="2936">
        <f t="shared" si="6"/>
        <v>0.02</v>
      </c>
      <c r="P9" s="2936">
        <f t="shared" si="6"/>
        <v>4.7899999999999998E-2</v>
      </c>
      <c r="Q9" s="2936">
        <f t="shared" si="6"/>
        <v>1.9699999999999999E-2</v>
      </c>
      <c r="R9" s="2937"/>
      <c r="S9" s="2935"/>
      <c r="T9" s="2936"/>
      <c r="U9" s="2936"/>
      <c r="V9" s="2936"/>
      <c r="X9" s="2917">
        <f>ROUND(SUMPRODUCT(PRODUCT(1+N9:N$18)),4)</f>
        <v>1.2184999999999999</v>
      </c>
      <c r="Y9" s="2917">
        <f>ROUND(SUMPRODUCT(PRODUCT(1+O9:O$18)),4)</f>
        <v>1.1494</v>
      </c>
      <c r="Z9" s="2917">
        <f t="shared" si="0"/>
        <v>1.1494</v>
      </c>
      <c r="AA9" s="2917">
        <f>ROUND(SUMPRODUCT(PRODUCT(1+P9:P$18)),4)</f>
        <v>1.2425999999999999</v>
      </c>
      <c r="AB9" s="2917">
        <f>ROUND(SUMPRODUCT(PRODUCT(1+Q9:Q$18)),4)</f>
        <v>1.1372</v>
      </c>
      <c r="AD9" s="2918">
        <f>ROUND(AVERAGE(I9:I$19)/100,4)</f>
        <v>2.0899999999999998E-2</v>
      </c>
      <c r="AE9" s="2918">
        <f>ROUND(AVERAGE(J9:J$19)/100,4)</f>
        <v>1.49E-2</v>
      </c>
      <c r="AF9" s="2918">
        <f t="shared" si="1"/>
        <v>1.49E-2</v>
      </c>
      <c r="AG9" s="2918">
        <f>ROUND(AVERAGE(K9:K$19)/100,4)</f>
        <v>2.3099999999999999E-2</v>
      </c>
      <c r="AH9" s="2918">
        <f>ROUND(AVERAGE(L9:L$19)/100,4)</f>
        <v>1.2999999999999999E-2</v>
      </c>
    </row>
    <row r="10" spans="1:34">
      <c r="A10" s="2919" t="s">
        <v>1146</v>
      </c>
      <c r="B10" s="2940">
        <f t="shared" si="8"/>
        <v>360.06949782209392</v>
      </c>
      <c r="C10" s="2940">
        <f t="shared" si="8"/>
        <v>289.84672674747821</v>
      </c>
      <c r="D10" s="2940">
        <f t="shared" si="9"/>
        <v>289.84672674747821</v>
      </c>
      <c r="E10" s="2940">
        <f t="shared" si="10"/>
        <v>501.06543001181495</v>
      </c>
      <c r="F10" s="2940">
        <f t="shared" si="10"/>
        <v>256.82882500744967</v>
      </c>
      <c r="G10" s="3898"/>
      <c r="H10" s="2925">
        <v>2</v>
      </c>
      <c r="I10" s="2925">
        <v>3.85</v>
      </c>
      <c r="J10" s="2925">
        <v>1.95</v>
      </c>
      <c r="K10" s="2925">
        <v>4.4800000000000004</v>
      </c>
      <c r="L10" s="2942">
        <v>1.41</v>
      </c>
      <c r="N10" s="2935">
        <f t="shared" si="11"/>
        <v>3.85E-2</v>
      </c>
      <c r="O10" s="2936">
        <f t="shared" si="6"/>
        <v>1.95E-2</v>
      </c>
      <c r="P10" s="2936">
        <f t="shared" si="6"/>
        <v>4.4800000000000006E-2</v>
      </c>
      <c r="Q10" s="2936">
        <f t="shared" si="6"/>
        <v>1.41E-2</v>
      </c>
      <c r="R10" s="2937"/>
      <c r="S10" s="2935"/>
      <c r="T10" s="2936"/>
      <c r="U10" s="2936"/>
      <c r="V10" s="2936"/>
      <c r="X10" s="2917">
        <f>ROUND(SUMPRODUCT(PRODUCT(1+N10:N$18)),4)</f>
        <v>1.1702999999999999</v>
      </c>
      <c r="Y10" s="2917">
        <f>ROUND(SUMPRODUCT(PRODUCT(1+O10:O$18)),4)</f>
        <v>1.1269</v>
      </c>
      <c r="Z10" s="2917">
        <f t="shared" si="0"/>
        <v>1.1269</v>
      </c>
      <c r="AA10" s="2917">
        <f>ROUND(SUMPRODUCT(PRODUCT(1+P10:P$18)),4)</f>
        <v>1.1858</v>
      </c>
      <c r="AB10" s="2917">
        <f>ROUND(SUMPRODUCT(PRODUCT(1+Q10:Q$18)),4)</f>
        <v>1.1152</v>
      </c>
      <c r="AD10" s="2918">
        <f>ROUND(AVERAGE(I10:I$19)/100,4)</f>
        <v>1.89E-2</v>
      </c>
      <c r="AE10" s="2918">
        <f>ROUND(AVERAGE(J10:J$19)/100,4)</f>
        <v>1.44E-2</v>
      </c>
      <c r="AF10" s="2918">
        <f t="shared" si="1"/>
        <v>1.44E-2</v>
      </c>
      <c r="AG10" s="2918">
        <f>ROUND(AVERAGE(K10:K$19)/100,4)</f>
        <v>2.06E-2</v>
      </c>
      <c r="AH10" s="2918">
        <f>ROUND(AVERAGE(L10:L$19)/100,4)</f>
        <v>1.23E-2</v>
      </c>
    </row>
    <row r="11" spans="1:34" ht="13.5" thickBot="1">
      <c r="A11" s="2919" t="s">
        <v>1155</v>
      </c>
      <c r="B11" s="2940">
        <f t="shared" si="8"/>
        <v>346.720748986128</v>
      </c>
      <c r="C11" s="2940">
        <f t="shared" si="8"/>
        <v>284.30282172386285</v>
      </c>
      <c r="D11" s="2940">
        <f t="shared" si="9"/>
        <v>284.30282172386285</v>
      </c>
      <c r="E11" s="2940">
        <f t="shared" si="10"/>
        <v>479.58023546306947</v>
      </c>
      <c r="F11" s="2940">
        <f t="shared" si="10"/>
        <v>253.25788877571213</v>
      </c>
      <c r="G11" s="3899"/>
      <c r="H11" s="2924">
        <v>1</v>
      </c>
      <c r="I11" s="2924">
        <v>4.09</v>
      </c>
      <c r="J11" s="2924">
        <v>2.93</v>
      </c>
      <c r="K11" s="2924">
        <v>4.54</v>
      </c>
      <c r="L11" s="2941">
        <v>1.48</v>
      </c>
      <c r="N11" s="2935">
        <f t="shared" si="11"/>
        <v>4.0899999999999999E-2</v>
      </c>
      <c r="O11" s="2936">
        <f t="shared" si="6"/>
        <v>2.9300000000000003E-2</v>
      </c>
      <c r="P11" s="2936">
        <f t="shared" si="6"/>
        <v>4.5400000000000003E-2</v>
      </c>
      <c r="Q11" s="2936">
        <f t="shared" si="6"/>
        <v>1.4800000000000001E-2</v>
      </c>
      <c r="R11" s="2937"/>
      <c r="S11" s="2943">
        <f>B11/B12-1</f>
        <v>4.1203450408792808E-2</v>
      </c>
      <c r="T11" s="2944">
        <f>C11/C12-1</f>
        <v>2.6363977342465095E-2</v>
      </c>
      <c r="U11" s="2944">
        <f>E11/E12-1</f>
        <v>4.4837114298626357E-2</v>
      </c>
      <c r="V11" s="2944">
        <f>F11/F12-1</f>
        <v>1.7099954922538574E-2</v>
      </c>
      <c r="X11" s="2917">
        <f>ROUND(SUMPRODUCT(PRODUCT(1+N11:N$18)),4)</f>
        <v>1.1269</v>
      </c>
      <c r="Y11" s="2917">
        <f>ROUND(SUMPRODUCT(PRODUCT(1+O11:O$18)),4)</f>
        <v>1.1052999999999999</v>
      </c>
      <c r="Z11" s="2917">
        <f t="shared" si="0"/>
        <v>1.1052999999999999</v>
      </c>
      <c r="AA11" s="2917">
        <f>ROUND(SUMPRODUCT(PRODUCT(1+P11:P$18)),4)</f>
        <v>1.1349</v>
      </c>
      <c r="AB11" s="2917">
        <f>ROUND(SUMPRODUCT(PRODUCT(1+Q11:Q$18)),4)</f>
        <v>1.0996999999999999</v>
      </c>
      <c r="AD11" s="2918">
        <f>ROUND(AVERAGE(I11:I$19)/100,4)</f>
        <v>1.67E-2</v>
      </c>
      <c r="AE11" s="2918">
        <f>ROUND(AVERAGE(J11:J$19)/100,4)</f>
        <v>1.38E-2</v>
      </c>
      <c r="AF11" s="2918">
        <f t="shared" si="1"/>
        <v>1.38E-2</v>
      </c>
      <c r="AG11" s="2918">
        <f>ROUND(AVERAGE(K11:K$19)/100,4)</f>
        <v>1.7899999999999999E-2</v>
      </c>
      <c r="AH11" s="2918">
        <f>ROUND(AVERAGE(L11:L$19)/100,4)</f>
        <v>1.21E-2</v>
      </c>
    </row>
    <row r="12" spans="1:34" ht="13.5" thickBot="1">
      <c r="A12" s="2919" t="s">
        <v>1154</v>
      </c>
      <c r="B12" s="2932">
        <v>333</v>
      </c>
      <c r="C12" s="2932">
        <v>277</v>
      </c>
      <c r="D12" s="2932">
        <f t="shared" si="9"/>
        <v>277</v>
      </c>
      <c r="E12" s="2932">
        <v>459</v>
      </c>
      <c r="F12" s="2933">
        <v>249</v>
      </c>
      <c r="G12" s="3897">
        <v>2015</v>
      </c>
      <c r="H12" s="2945">
        <v>4</v>
      </c>
      <c r="I12" s="2945">
        <v>1.63</v>
      </c>
      <c r="J12" s="2945">
        <v>1.1100000000000001</v>
      </c>
      <c r="K12" s="2945">
        <v>1.77</v>
      </c>
      <c r="L12" s="2946">
        <v>1.89</v>
      </c>
      <c r="N12" s="2947">
        <f t="shared" si="11"/>
        <v>1.6299999999999999E-2</v>
      </c>
      <c r="O12" s="2948">
        <f t="shared" si="6"/>
        <v>1.11E-2</v>
      </c>
      <c r="P12" s="2948">
        <f t="shared" si="6"/>
        <v>1.77E-2</v>
      </c>
      <c r="Q12" s="2948">
        <f t="shared" si="6"/>
        <v>1.89E-2</v>
      </c>
      <c r="R12" s="2937"/>
      <c r="X12" s="2917">
        <f>ROUND(SUMPRODUCT(PRODUCT(1+N12:N$18)),4)</f>
        <v>1.0826</v>
      </c>
      <c r="Y12" s="2917">
        <f>ROUND(SUMPRODUCT(PRODUCT(1+O12:O$18)),4)</f>
        <v>1.0738000000000001</v>
      </c>
      <c r="Z12" s="2917">
        <f t="shared" si="0"/>
        <v>1.0738000000000001</v>
      </c>
      <c r="AA12" s="2917">
        <f>ROUND(SUMPRODUCT(PRODUCT(1+P12:P$18)),4)</f>
        <v>1.0855999999999999</v>
      </c>
      <c r="AB12" s="2917">
        <f>ROUND(SUMPRODUCT(PRODUCT(1+Q12:Q$18)),4)</f>
        <v>1.0837000000000001</v>
      </c>
      <c r="AD12" s="2918">
        <f>ROUND(AVERAGE(I12:I$19)/100,4)</f>
        <v>1.37E-2</v>
      </c>
      <c r="AE12" s="2918">
        <f>ROUND(AVERAGE(J12:J$19)/100,4)</f>
        <v>1.1900000000000001E-2</v>
      </c>
      <c r="AF12" s="2918">
        <f t="shared" si="1"/>
        <v>1.1900000000000001E-2</v>
      </c>
      <c r="AG12" s="2918">
        <f>ROUND(AVERAGE(K12:K$19)/100,4)</f>
        <v>1.4500000000000001E-2</v>
      </c>
      <c r="AH12" s="2918">
        <f>ROUND(AVERAGE(L12:L$19)/100,4)</f>
        <v>1.18E-2</v>
      </c>
    </row>
    <row r="13" spans="1:34">
      <c r="A13" s="2919" t="s">
        <v>1153</v>
      </c>
      <c r="B13" s="2940">
        <f t="shared" ref="B13:C15" si="12">B12/(1+N12)</f>
        <v>327.65915576109415</v>
      </c>
      <c r="C13" s="2940">
        <f t="shared" si="12"/>
        <v>273.95905449510434</v>
      </c>
      <c r="D13" s="2940">
        <f t="shared" si="9"/>
        <v>273.95905449510434</v>
      </c>
      <c r="E13" s="2940">
        <f t="shared" ref="E13:F15" si="13">E12/(1+P12)</f>
        <v>451.01699911565294</v>
      </c>
      <c r="F13" s="2940">
        <f t="shared" si="13"/>
        <v>244.38119540681129</v>
      </c>
      <c r="G13" s="3898"/>
      <c r="H13" s="2950">
        <v>3</v>
      </c>
      <c r="I13" s="2950">
        <v>1.65</v>
      </c>
      <c r="J13" s="2950">
        <v>0.92</v>
      </c>
      <c r="K13" s="2950">
        <v>1.88</v>
      </c>
      <c r="L13" s="2951">
        <v>1.26</v>
      </c>
      <c r="N13" s="2935">
        <f t="shared" si="11"/>
        <v>1.6500000000000001E-2</v>
      </c>
      <c r="O13" s="2952">
        <f t="shared" si="6"/>
        <v>9.1999999999999998E-3</v>
      </c>
      <c r="P13" s="2952">
        <f t="shared" si="6"/>
        <v>1.8799999999999997E-2</v>
      </c>
      <c r="Q13" s="2952">
        <f t="shared" si="6"/>
        <v>1.26E-2</v>
      </c>
      <c r="R13" s="2937"/>
      <c r="S13" s="2935"/>
      <c r="T13" s="2936"/>
      <c r="U13" s="2936"/>
      <c r="V13" s="2936"/>
      <c r="X13" s="2917">
        <f>ROUND(SUMPRODUCT(PRODUCT(1+N13:N$18)),4)</f>
        <v>1.0651999999999999</v>
      </c>
      <c r="Y13" s="2917">
        <f>ROUND(SUMPRODUCT(PRODUCT(1+O13:O$18)),4)</f>
        <v>1.0621</v>
      </c>
      <c r="Z13" s="2917">
        <f t="shared" si="0"/>
        <v>1.0621</v>
      </c>
      <c r="AA13" s="2917">
        <f>ROUND(SUMPRODUCT(PRODUCT(1+P13:P$18)),4)</f>
        <v>1.0668</v>
      </c>
      <c r="AB13" s="2917">
        <f>ROUND(SUMPRODUCT(PRODUCT(1+Q13:Q$18)),4)</f>
        <v>1.0636000000000001</v>
      </c>
      <c r="AD13" s="2918">
        <f>ROUND(AVERAGE(I13:I$19)/100,4)</f>
        <v>1.3299999999999999E-2</v>
      </c>
      <c r="AE13" s="2918">
        <f>ROUND(AVERAGE(J13:J$19)/100,4)</f>
        <v>1.2E-2</v>
      </c>
      <c r="AF13" s="2918">
        <f t="shared" si="1"/>
        <v>1.2E-2</v>
      </c>
      <c r="AG13" s="2918">
        <f>ROUND(AVERAGE(K13:K$19)/100,4)</f>
        <v>1.4E-2</v>
      </c>
      <c r="AH13" s="2918">
        <f>ROUND(AVERAGE(L13:L$19)/100,4)</f>
        <v>1.0800000000000001E-2</v>
      </c>
    </row>
    <row r="14" spans="1:34">
      <c r="A14" s="2919" t="s">
        <v>1152</v>
      </c>
      <c r="B14" s="2940">
        <f t="shared" si="12"/>
        <v>322.34053690220776</v>
      </c>
      <c r="C14" s="2940">
        <f t="shared" si="12"/>
        <v>271.46160770422546</v>
      </c>
      <c r="D14" s="2940">
        <f t="shared" si="9"/>
        <v>271.46160770422546</v>
      </c>
      <c r="E14" s="2940">
        <f t="shared" si="13"/>
        <v>442.69434542172456</v>
      </c>
      <c r="F14" s="2940">
        <f t="shared" si="13"/>
        <v>241.34030753190925</v>
      </c>
      <c r="G14" s="3898"/>
      <c r="H14" s="2925">
        <v>2</v>
      </c>
      <c r="I14" s="2925">
        <v>0.77</v>
      </c>
      <c r="J14" s="2925">
        <v>0.69</v>
      </c>
      <c r="K14" s="2925">
        <v>0.8</v>
      </c>
      <c r="L14" s="2942">
        <v>0.88</v>
      </c>
      <c r="N14" s="2935">
        <f t="shared" si="11"/>
        <v>7.7000000000000002E-3</v>
      </c>
      <c r="O14" s="2952">
        <f t="shared" si="6"/>
        <v>6.8999999999999999E-3</v>
      </c>
      <c r="P14" s="2952">
        <f t="shared" si="6"/>
        <v>8.0000000000000002E-3</v>
      </c>
      <c r="Q14" s="2952">
        <f t="shared" si="6"/>
        <v>8.8000000000000005E-3</v>
      </c>
      <c r="R14" s="2937"/>
      <c r="S14" s="2935"/>
      <c r="T14" s="2936"/>
      <c r="U14" s="2936"/>
      <c r="V14" s="2936"/>
      <c r="X14" s="2917">
        <f>ROUND(SUMPRODUCT(PRODUCT(1+N14:N$18)),4)</f>
        <v>1.048</v>
      </c>
      <c r="Y14" s="2917">
        <f>ROUND(SUMPRODUCT(PRODUCT(1+O14:O$18)),4)</f>
        <v>1.0524</v>
      </c>
      <c r="Z14" s="2917">
        <f t="shared" si="0"/>
        <v>1.0524</v>
      </c>
      <c r="AA14" s="2917">
        <f>ROUND(SUMPRODUCT(PRODUCT(1+P14:P$18)),4)</f>
        <v>1.0470999999999999</v>
      </c>
      <c r="AB14" s="2917">
        <f>ROUND(SUMPRODUCT(PRODUCT(1+Q14:Q$18)),4)</f>
        <v>1.0504</v>
      </c>
      <c r="AD14" s="2918">
        <f>ROUND(AVERAGE(I14:I$19)/100,4)</f>
        <v>1.2800000000000001E-2</v>
      </c>
      <c r="AE14" s="2918">
        <f>ROUND(AVERAGE(J14:J$19)/100,4)</f>
        <v>1.2500000000000001E-2</v>
      </c>
      <c r="AF14" s="2918">
        <f t="shared" si="1"/>
        <v>1.2500000000000001E-2</v>
      </c>
      <c r="AG14" s="2918">
        <f>ROUND(AVERAGE(K14:K$19)/100,4)</f>
        <v>1.32E-2</v>
      </c>
      <c r="AH14" s="2918">
        <f>ROUND(AVERAGE(L14:L$19)/100,4)</f>
        <v>1.0500000000000001E-2</v>
      </c>
    </row>
    <row r="15" spans="1:34">
      <c r="A15" s="2919" t="s">
        <v>1151</v>
      </c>
      <c r="B15" s="2940">
        <f t="shared" si="12"/>
        <v>319.87748030386797</v>
      </c>
      <c r="C15" s="2940">
        <f t="shared" si="12"/>
        <v>269.60135833173649</v>
      </c>
      <c r="D15" s="2940">
        <f t="shared" si="9"/>
        <v>269.60135833173649</v>
      </c>
      <c r="E15" s="2940">
        <f t="shared" si="13"/>
        <v>439.18089823583784</v>
      </c>
      <c r="F15" s="2940">
        <f t="shared" si="13"/>
        <v>239.23503918706311</v>
      </c>
      <c r="G15" s="3899"/>
      <c r="H15" s="2924">
        <v>1</v>
      </c>
      <c r="I15" s="2924">
        <v>0.51</v>
      </c>
      <c r="J15" s="2924">
        <v>0.54</v>
      </c>
      <c r="K15" s="2924">
        <v>0.48</v>
      </c>
      <c r="L15" s="2941">
        <v>0.93</v>
      </c>
      <c r="N15" s="2943">
        <f t="shared" si="11"/>
        <v>5.1000000000000004E-3</v>
      </c>
      <c r="O15" s="2944">
        <f t="shared" si="6"/>
        <v>5.4000000000000003E-3</v>
      </c>
      <c r="P15" s="2944">
        <f t="shared" si="6"/>
        <v>4.7999999999999996E-3</v>
      </c>
      <c r="Q15" s="2944">
        <f t="shared" si="6"/>
        <v>9.300000000000001E-3</v>
      </c>
      <c r="R15" s="2937"/>
      <c r="S15" s="2943">
        <f>B15/B16-1</f>
        <v>5.9040261127922822E-3</v>
      </c>
      <c r="T15" s="2944">
        <f>C15/C16-1</f>
        <v>5.9752176557332781E-3</v>
      </c>
      <c r="U15" s="2944">
        <f>E15/E16-1</f>
        <v>4.9906138119859556E-3</v>
      </c>
      <c r="V15" s="2944">
        <f>F15/F16-1</f>
        <v>9.4305450930933787E-3</v>
      </c>
      <c r="X15" s="2917">
        <f>ROUND(SUMPRODUCT(PRODUCT(1+N15:N$18)),4)</f>
        <v>1.0399</v>
      </c>
      <c r="Y15" s="2917">
        <f>ROUND(SUMPRODUCT(PRODUCT(1+O15:O$18)),4)</f>
        <v>1.0451999999999999</v>
      </c>
      <c r="Z15" s="2917">
        <f t="shared" si="0"/>
        <v>1.0451999999999999</v>
      </c>
      <c r="AA15" s="2917">
        <f>ROUND(SUMPRODUCT(PRODUCT(1+P15:P$18)),4)</f>
        <v>1.0387999999999999</v>
      </c>
      <c r="AB15" s="2917">
        <f>ROUND(SUMPRODUCT(PRODUCT(1+Q15:Q$18)),4)</f>
        <v>1.0411999999999999</v>
      </c>
      <c r="AD15" s="2918">
        <f>ROUND(AVERAGE(I15:I$19)/100,4)</f>
        <v>1.38E-2</v>
      </c>
      <c r="AE15" s="2918">
        <f>ROUND(AVERAGE(J15:J$19)/100,4)</f>
        <v>1.3599999999999999E-2</v>
      </c>
      <c r="AF15" s="2918">
        <f t="shared" si="1"/>
        <v>1.3599999999999999E-2</v>
      </c>
      <c r="AG15" s="2918">
        <f>ROUND(AVERAGE(K15:K$19)/100,4)</f>
        <v>1.4200000000000001E-2</v>
      </c>
      <c r="AH15" s="2918">
        <f>ROUND(AVERAGE(L15:L$19)/100,4)</f>
        <v>1.0800000000000001E-2</v>
      </c>
    </row>
    <row r="16" spans="1:34" ht="13.5" thickBot="1">
      <c r="A16" s="2919" t="s">
        <v>1150</v>
      </c>
      <c r="B16" s="2953">
        <v>318</v>
      </c>
      <c r="C16" s="2953">
        <v>268</v>
      </c>
      <c r="D16" s="2953">
        <f t="shared" si="9"/>
        <v>268</v>
      </c>
      <c r="E16" s="2953">
        <v>437</v>
      </c>
      <c r="F16" s="2954">
        <v>237</v>
      </c>
      <c r="G16" s="3897">
        <v>2014</v>
      </c>
      <c r="H16" s="2945">
        <v>4</v>
      </c>
      <c r="I16" s="2945">
        <v>0.21</v>
      </c>
      <c r="J16" s="2945">
        <v>0.41</v>
      </c>
      <c r="K16" s="2945">
        <v>0.12</v>
      </c>
      <c r="L16" s="2946">
        <v>0.89</v>
      </c>
      <c r="N16" s="2935">
        <f t="shared" si="11"/>
        <v>2.0999999999999999E-3</v>
      </c>
      <c r="O16" s="2936">
        <f t="shared" si="6"/>
        <v>4.0999999999999995E-3</v>
      </c>
      <c r="P16" s="2936">
        <f t="shared" si="6"/>
        <v>1.1999999999999999E-3</v>
      </c>
      <c r="Q16" s="2936">
        <f t="shared" si="6"/>
        <v>8.8999999999999999E-3</v>
      </c>
      <c r="R16" s="2937"/>
      <c r="S16" s="2938"/>
      <c r="T16" s="2939"/>
      <c r="U16" s="2939"/>
      <c r="V16" s="2939"/>
      <c r="X16" s="2917">
        <f>ROUND(SUMPRODUCT(PRODUCT(1+N16:N$18)),4)</f>
        <v>1.0347</v>
      </c>
      <c r="Y16" s="2917">
        <f>ROUND(SUMPRODUCT(PRODUCT(1+O16:O$18)),4)</f>
        <v>1.0395000000000001</v>
      </c>
      <c r="Z16" s="2917">
        <f t="shared" si="0"/>
        <v>1.0395000000000001</v>
      </c>
      <c r="AA16" s="2917">
        <f>ROUND(SUMPRODUCT(PRODUCT(1+P16:P$18)),4)</f>
        <v>1.0338000000000001</v>
      </c>
      <c r="AB16" s="2917">
        <f>ROUND(SUMPRODUCT(PRODUCT(1+Q16:Q$18)),4)</f>
        <v>1.0316000000000001</v>
      </c>
      <c r="AD16" s="2918">
        <f>ROUND(AVERAGE(I16:I$19)/100,4)</f>
        <v>1.6E-2</v>
      </c>
      <c r="AE16" s="2918">
        <f>ROUND(AVERAGE(J16:J$19)/100,4)</f>
        <v>1.5599999999999999E-2</v>
      </c>
      <c r="AF16" s="2918">
        <f t="shared" si="1"/>
        <v>1.5599999999999999E-2</v>
      </c>
      <c r="AG16" s="2918">
        <f>ROUND(AVERAGE(K16:K$19)/100,4)</f>
        <v>1.66E-2</v>
      </c>
      <c r="AH16" s="2918">
        <f>ROUND(AVERAGE(L16:L$19)/100,4)</f>
        <v>1.12E-2</v>
      </c>
    </row>
    <row r="17" spans="1:34">
      <c r="A17" s="2919" t="s">
        <v>1149</v>
      </c>
      <c r="B17" s="2940">
        <f t="shared" ref="B17:C19" si="14">B16/(1+N16)</f>
        <v>317.33359944117353</v>
      </c>
      <c r="C17" s="2940">
        <f t="shared" si="14"/>
        <v>266.90568668459315</v>
      </c>
      <c r="D17" s="2940">
        <f t="shared" si="9"/>
        <v>266.90568668459315</v>
      </c>
      <c r="E17" s="2940">
        <f t="shared" ref="E17:F19" si="15">E16/(1+P16)</f>
        <v>436.47622852576905</v>
      </c>
      <c r="F17" s="2940">
        <f t="shared" si="15"/>
        <v>234.90930716622066</v>
      </c>
      <c r="G17" s="3898"/>
      <c r="H17" s="2955">
        <v>3</v>
      </c>
      <c r="I17" s="2955">
        <v>0.83</v>
      </c>
      <c r="J17" s="2955">
        <v>1.47</v>
      </c>
      <c r="K17" s="2955">
        <v>0.65</v>
      </c>
      <c r="L17" s="2956">
        <v>0.72</v>
      </c>
      <c r="N17" s="2935">
        <f t="shared" si="11"/>
        <v>8.3000000000000001E-3</v>
      </c>
      <c r="O17" s="2936">
        <f t="shared" si="6"/>
        <v>1.47E-2</v>
      </c>
      <c r="P17" s="2936">
        <f t="shared" si="6"/>
        <v>6.5000000000000006E-3</v>
      </c>
      <c r="Q17" s="2936">
        <f t="shared" si="6"/>
        <v>7.1999999999999998E-3</v>
      </c>
      <c r="R17" s="2937"/>
      <c r="S17" s="2935"/>
      <c r="T17" s="2936"/>
      <c r="U17" s="2936"/>
      <c r="V17" s="2936"/>
      <c r="X17" s="2917">
        <f>ROUND(SUMPRODUCT(PRODUCT(1+N17:N$18)),4)</f>
        <v>1.0325</v>
      </c>
      <c r="Y17" s="2917">
        <f>ROUND(SUMPRODUCT(PRODUCT(1+O17:O$18)),4)</f>
        <v>1.0353000000000001</v>
      </c>
      <c r="Z17" s="2917">
        <f t="shared" ref="Z17:Z18" si="16">Y17</f>
        <v>1.0353000000000001</v>
      </c>
      <c r="AA17" s="2917">
        <f>ROUND(SUMPRODUCT(PRODUCT(1+P17:P$18)),4)</f>
        <v>1.0326</v>
      </c>
      <c r="AB17" s="2917">
        <f>ROUND(SUMPRODUCT(PRODUCT(1+Q17:Q$18)),4)</f>
        <v>1.0225</v>
      </c>
      <c r="AD17" s="2918">
        <f>ROUND(AVERAGE(I17:I$19)/100,4)</f>
        <v>2.07E-2</v>
      </c>
      <c r="AE17" s="2918">
        <f>ROUND(AVERAGE(J17:J$19)/100,4)</f>
        <v>1.95E-2</v>
      </c>
      <c r="AF17" s="2918">
        <f t="shared" si="1"/>
        <v>1.95E-2</v>
      </c>
      <c r="AG17" s="2918">
        <f>ROUND(AVERAGE(K17:K$19)/100,4)</f>
        <v>2.1700000000000001E-2</v>
      </c>
      <c r="AH17" s="2918">
        <f>ROUND(AVERAGE(L17:L$19)/100,4)</f>
        <v>1.2E-2</v>
      </c>
    </row>
    <row r="18" spans="1:34" ht="13.5" thickBot="1">
      <c r="A18" s="2919" t="s">
        <v>1148</v>
      </c>
      <c r="B18" s="2940">
        <f t="shared" si="14"/>
        <v>314.72141172386546</v>
      </c>
      <c r="C18" s="2940">
        <f t="shared" si="14"/>
        <v>263.03901319069001</v>
      </c>
      <c r="D18" s="2940">
        <f t="shared" si="9"/>
        <v>263.03901319069001</v>
      </c>
      <c r="E18" s="2940">
        <f t="shared" si="15"/>
        <v>433.65745506782821</v>
      </c>
      <c r="F18" s="2940">
        <f t="shared" si="15"/>
        <v>233.23005080045735</v>
      </c>
      <c r="G18" s="3898"/>
      <c r="H18" s="2945">
        <v>2</v>
      </c>
      <c r="I18" s="2945">
        <v>2.4</v>
      </c>
      <c r="J18" s="2945">
        <v>2.0299999999999998</v>
      </c>
      <c r="K18" s="2945">
        <v>2.59</v>
      </c>
      <c r="L18" s="2946">
        <v>1.52</v>
      </c>
      <c r="N18" s="2935">
        <f t="shared" si="11"/>
        <v>2.4E-2</v>
      </c>
      <c r="O18" s="2936">
        <f t="shared" si="6"/>
        <v>2.0299999999999999E-2</v>
      </c>
      <c r="P18" s="2936">
        <f t="shared" si="6"/>
        <v>2.5899999999999999E-2</v>
      </c>
      <c r="Q18" s="2936">
        <f t="shared" si="6"/>
        <v>1.52E-2</v>
      </c>
      <c r="R18" s="2937"/>
      <c r="S18" s="2935"/>
      <c r="T18" s="2936"/>
      <c r="U18" s="2936"/>
      <c r="V18" s="2936"/>
      <c r="X18" s="2917">
        <f>1+N18</f>
        <v>1.024</v>
      </c>
      <c r="Y18" s="2917">
        <f>1+O18</f>
        <v>1.0203</v>
      </c>
      <c r="Z18" s="2917">
        <f t="shared" si="16"/>
        <v>1.0203</v>
      </c>
      <c r="AA18" s="2917">
        <f>1+P18</f>
        <v>1.0259</v>
      </c>
      <c r="AB18" s="2917">
        <f>1+Q18</f>
        <v>1.0152000000000001</v>
      </c>
      <c r="AD18" s="2918">
        <f>ROUND(AVERAGE(I18:I$19)/100,4)</f>
        <v>2.69E-2</v>
      </c>
      <c r="AE18" s="2918">
        <f>ROUND(AVERAGE(J18:J$19)/100,4)</f>
        <v>2.1899999999999999E-2</v>
      </c>
      <c r="AF18" s="2918">
        <f t="shared" ref="AF18" si="17">AE18</f>
        <v>2.1899999999999999E-2</v>
      </c>
      <c r="AG18" s="2918">
        <f>ROUND(AVERAGE(K18:K$19)/100,4)</f>
        <v>2.9399999999999999E-2</v>
      </c>
      <c r="AH18" s="2918">
        <f>ROUND(AVERAGE(L18:L$19)/100,4)</f>
        <v>1.44E-2</v>
      </c>
    </row>
    <row r="19" spans="1:34" s="2961" customFormat="1" ht="13.5" thickBot="1">
      <c r="A19" s="2957" t="s">
        <v>1147</v>
      </c>
      <c r="B19" s="2958">
        <f t="shared" si="14"/>
        <v>307.34512863658733</v>
      </c>
      <c r="C19" s="2958">
        <f t="shared" si="14"/>
        <v>257.80556031626975</v>
      </c>
      <c r="D19" s="2958">
        <f t="shared" si="9"/>
        <v>257.80556031626975</v>
      </c>
      <c r="E19" s="2958">
        <f t="shared" si="15"/>
        <v>422.70928459677179</v>
      </c>
      <c r="F19" s="2958">
        <f t="shared" si="15"/>
        <v>229.73803270336617</v>
      </c>
      <c r="G19" s="3899"/>
      <c r="H19" s="2959">
        <v>1</v>
      </c>
      <c r="I19" s="2959">
        <v>2.97</v>
      </c>
      <c r="J19" s="2959">
        <v>2.34</v>
      </c>
      <c r="K19" s="2959">
        <v>3.28</v>
      </c>
      <c r="L19" s="2960">
        <v>1.36</v>
      </c>
      <c r="N19" s="2962">
        <f t="shared" si="11"/>
        <v>2.9700000000000001E-2</v>
      </c>
      <c r="O19" s="2963">
        <f t="shared" si="6"/>
        <v>2.3399999999999997E-2</v>
      </c>
      <c r="P19" s="2963">
        <f t="shared" si="6"/>
        <v>3.2799999999999996E-2</v>
      </c>
      <c r="Q19" s="2963">
        <f t="shared" si="6"/>
        <v>1.3600000000000001E-2</v>
      </c>
      <c r="R19" s="2964"/>
      <c r="S19" s="2965">
        <f>B19/B20-1</f>
        <v>2.7910129219355539E-2</v>
      </c>
      <c r="T19" s="2966">
        <f>C19/C20-1</f>
        <v>2.3037937762975247E-2</v>
      </c>
      <c r="U19" s="2966">
        <f>E19/E20-1</f>
        <v>3.3519033243940788E-2</v>
      </c>
      <c r="V19" s="2966">
        <f>F19/F20-1</f>
        <v>1.2061818076502862E-2</v>
      </c>
      <c r="W19" s="2967" t="s">
        <v>2729</v>
      </c>
      <c r="X19" s="2968">
        <v>1</v>
      </c>
      <c r="Y19" s="2968">
        <v>1</v>
      </c>
      <c r="Z19" s="2968">
        <v>1</v>
      </c>
      <c r="AA19" s="2968">
        <v>1</v>
      </c>
      <c r="AB19" s="2968">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19" t="s">
        <v>2730</v>
      </c>
      <c r="B20" s="2932">
        <v>299</v>
      </c>
      <c r="C20" s="2932">
        <v>252</v>
      </c>
      <c r="D20" s="2932">
        <f t="shared" si="9"/>
        <v>252</v>
      </c>
      <c r="E20" s="2932">
        <v>409</v>
      </c>
      <c r="F20" s="2933">
        <v>227</v>
      </c>
      <c r="G20" s="3904">
        <v>2013</v>
      </c>
      <c r="H20" s="2969">
        <v>4</v>
      </c>
      <c r="I20" s="2969">
        <v>1.83</v>
      </c>
      <c r="J20" s="2969">
        <v>1.68</v>
      </c>
      <c r="K20" s="2969">
        <v>1.97</v>
      </c>
      <c r="L20" s="2970">
        <v>0.87</v>
      </c>
      <c r="N20" s="2947">
        <f t="shared" si="11"/>
        <v>1.83E-2</v>
      </c>
      <c r="O20" s="2948">
        <f t="shared" si="6"/>
        <v>1.6799999999999999E-2</v>
      </c>
      <c r="P20" s="2948">
        <f t="shared" si="6"/>
        <v>1.9699999999999999E-2</v>
      </c>
      <c r="Q20" s="2948">
        <f t="shared" si="6"/>
        <v>8.6999999999999994E-3</v>
      </c>
      <c r="R20" s="2937"/>
      <c r="S20" s="2938"/>
      <c r="T20" s="2939"/>
      <c r="U20" s="2939"/>
      <c r="V20" s="2939"/>
      <c r="X20" s="2939"/>
      <c r="Y20" s="2939"/>
      <c r="Z20" s="2939"/>
    </row>
    <row r="21" spans="1:34">
      <c r="A21" s="2919" t="s">
        <v>2731</v>
      </c>
      <c r="B21" s="2940">
        <f t="shared" ref="B21:C23" si="18">B20/(1+N20)</f>
        <v>293.62663262299913</v>
      </c>
      <c r="C21" s="2940">
        <f t="shared" si="18"/>
        <v>247.83634933123525</v>
      </c>
      <c r="D21" s="2940">
        <f t="shared" si="9"/>
        <v>247.83634933123525</v>
      </c>
      <c r="E21" s="2940">
        <f t="shared" ref="E21:F23" si="19">E20/(1+P20)</f>
        <v>401.09836226341076</v>
      </c>
      <c r="F21" s="2940">
        <f t="shared" si="19"/>
        <v>225.04213343908003</v>
      </c>
      <c r="G21" s="3905"/>
      <c r="H21" s="2950">
        <v>3</v>
      </c>
      <c r="I21" s="2950">
        <v>1.86</v>
      </c>
      <c r="J21" s="2950">
        <v>1.72</v>
      </c>
      <c r="K21" s="2950">
        <v>1.98</v>
      </c>
      <c r="L21" s="2951">
        <v>0.88</v>
      </c>
      <c r="N21" s="2935">
        <f t="shared" si="11"/>
        <v>1.8600000000000002E-2</v>
      </c>
      <c r="O21" s="2952">
        <f t="shared" si="6"/>
        <v>1.72E-2</v>
      </c>
      <c r="P21" s="2952">
        <f t="shared" si="6"/>
        <v>1.9799999999999998E-2</v>
      </c>
      <c r="Q21" s="2952">
        <f t="shared" si="6"/>
        <v>8.8000000000000005E-3</v>
      </c>
      <c r="R21" s="2937"/>
      <c r="S21" s="2935"/>
      <c r="T21" s="2936"/>
      <c r="U21" s="2936"/>
      <c r="V21" s="2936"/>
    </row>
    <row r="22" spans="1:34">
      <c r="A22" s="2919" t="s">
        <v>2732</v>
      </c>
      <c r="B22" s="2940">
        <f t="shared" si="18"/>
        <v>288.2649053828776</v>
      </c>
      <c r="C22" s="2940">
        <f t="shared" si="18"/>
        <v>243.64564425013293</v>
      </c>
      <c r="D22" s="2940">
        <f t="shared" si="9"/>
        <v>243.64564425013293</v>
      </c>
      <c r="E22" s="2940">
        <f t="shared" si="19"/>
        <v>393.31080825986544</v>
      </c>
      <c r="F22" s="2940">
        <f t="shared" si="19"/>
        <v>223.07903790551154</v>
      </c>
      <c r="G22" s="3905"/>
      <c r="H22" s="2925">
        <v>2</v>
      </c>
      <c r="I22" s="2925">
        <v>2.04</v>
      </c>
      <c r="J22" s="2925">
        <v>2.33</v>
      </c>
      <c r="K22" s="2925">
        <v>2.0699999999999998</v>
      </c>
      <c r="L22" s="2942">
        <v>0.69</v>
      </c>
      <c r="N22" s="2935">
        <f t="shared" si="11"/>
        <v>2.0400000000000001E-2</v>
      </c>
      <c r="O22" s="2952">
        <f t="shared" si="6"/>
        <v>2.3300000000000001E-2</v>
      </c>
      <c r="P22" s="2952">
        <f t="shared" si="6"/>
        <v>2.07E-2</v>
      </c>
      <c r="Q22" s="2952">
        <f t="shared" si="6"/>
        <v>6.8999999999999999E-3</v>
      </c>
      <c r="R22" s="2937"/>
      <c r="S22" s="2935"/>
      <c r="T22" s="2936"/>
      <c r="U22" s="2936"/>
      <c r="V22" s="2936"/>
      <c r="X22" s="2971"/>
      <c r="Y22" s="2972"/>
    </row>
    <row r="23" spans="1:34">
      <c r="A23" s="2919" t="s">
        <v>2733</v>
      </c>
      <c r="B23" s="2940">
        <f t="shared" si="18"/>
        <v>282.50186729015837</v>
      </c>
      <c r="C23" s="2940">
        <f t="shared" si="18"/>
        <v>238.09796174155468</v>
      </c>
      <c r="D23" s="2940">
        <f t="shared" si="9"/>
        <v>238.09796174155468</v>
      </c>
      <c r="E23" s="2940">
        <f t="shared" si="19"/>
        <v>385.33438646014054</v>
      </c>
      <c r="F23" s="2940">
        <f t="shared" si="19"/>
        <v>221.55034055567739</v>
      </c>
      <c r="G23" s="3906"/>
      <c r="H23" s="2924">
        <v>1</v>
      </c>
      <c r="I23" s="2924">
        <v>1.67</v>
      </c>
      <c r="J23" s="2924">
        <v>1.31</v>
      </c>
      <c r="K23" s="2924">
        <v>1.85</v>
      </c>
      <c r="L23" s="2941">
        <v>0.96</v>
      </c>
      <c r="N23" s="2943">
        <f t="shared" si="11"/>
        <v>1.67E-2</v>
      </c>
      <c r="O23" s="2944">
        <f t="shared" si="11"/>
        <v>1.3100000000000001E-2</v>
      </c>
      <c r="P23" s="2944">
        <f t="shared" si="11"/>
        <v>1.8500000000000003E-2</v>
      </c>
      <c r="Q23" s="2944">
        <f t="shared" si="11"/>
        <v>9.5999999999999992E-3</v>
      </c>
      <c r="R23" s="2937"/>
      <c r="S23" s="2943">
        <f>B23/B24-1</f>
        <v>1.6193767230785472E-2</v>
      </c>
      <c r="T23" s="2944">
        <f>C23/C24-1</f>
        <v>1.7512657015190891E-2</v>
      </c>
      <c r="U23" s="2944">
        <f>E23/E24-1</f>
        <v>1.6713420739157048E-2</v>
      </c>
      <c r="V23" s="2944">
        <f>F23/F24-1</f>
        <v>7.0470025258062563E-3</v>
      </c>
      <c r="X23" s="2973"/>
      <c r="Y23" s="2918"/>
      <c r="Z23" s="2918"/>
    </row>
    <row r="24" spans="1:34" ht="13.5" thickBot="1">
      <c r="A24" s="2919" t="s">
        <v>2734</v>
      </c>
      <c r="B24" s="2974">
        <v>278</v>
      </c>
      <c r="C24" s="2974">
        <v>234</v>
      </c>
      <c r="D24" s="2974">
        <f t="shared" si="9"/>
        <v>234</v>
      </c>
      <c r="E24" s="2974">
        <v>379</v>
      </c>
      <c r="F24" s="2975">
        <v>220</v>
      </c>
      <c r="G24" s="3897">
        <v>2012</v>
      </c>
      <c r="H24" s="2945">
        <v>4</v>
      </c>
      <c r="I24" s="2945">
        <v>0.91</v>
      </c>
      <c r="J24" s="2945">
        <v>0.68</v>
      </c>
      <c r="K24" s="2945">
        <v>0.98</v>
      </c>
      <c r="L24" s="2946">
        <v>0.9</v>
      </c>
      <c r="N24" s="2935">
        <f t="shared" si="11"/>
        <v>9.1000000000000004E-3</v>
      </c>
      <c r="O24" s="2936">
        <f t="shared" si="11"/>
        <v>6.8000000000000005E-3</v>
      </c>
      <c r="P24" s="2936">
        <f t="shared" si="11"/>
        <v>9.7999999999999997E-3</v>
      </c>
      <c r="Q24" s="2936">
        <f t="shared" si="11"/>
        <v>9.0000000000000011E-3</v>
      </c>
      <c r="R24" s="2937"/>
      <c r="S24" s="2938"/>
      <c r="T24" s="2939"/>
      <c r="U24" s="2939"/>
      <c r="V24" s="2939"/>
      <c r="X24" s="2939"/>
      <c r="Y24" s="2939"/>
      <c r="Z24" s="2939"/>
    </row>
    <row r="25" spans="1:34">
      <c r="A25" s="2919" t="s">
        <v>2735</v>
      </c>
      <c r="B25" s="2940">
        <f>B24/(1+N24)</f>
        <v>275.49301357645425</v>
      </c>
      <c r="C25" s="2940">
        <f>C24/(1+O24)</f>
        <v>232.41954707985698</v>
      </c>
      <c r="D25" s="2940">
        <f t="shared" si="9"/>
        <v>232.41954707985698</v>
      </c>
      <c r="E25" s="2940">
        <f t="shared" ref="E25:F27" si="20">E24/(1+P24)</f>
        <v>375.32184591008121</v>
      </c>
      <c r="F25" s="2940">
        <f t="shared" si="20"/>
        <v>218.03766105054513</v>
      </c>
      <c r="G25" s="3898"/>
      <c r="H25" s="2950">
        <v>3</v>
      </c>
      <c r="I25" s="2950">
        <v>0.09</v>
      </c>
      <c r="J25" s="2950">
        <v>0.28999999999999998</v>
      </c>
      <c r="K25" s="2950">
        <v>-0.01</v>
      </c>
      <c r="L25" s="2951">
        <v>0.57999999999999996</v>
      </c>
      <c r="N25" s="2935">
        <f t="shared" si="11"/>
        <v>8.9999999999999998E-4</v>
      </c>
      <c r="O25" s="2936">
        <f t="shared" si="11"/>
        <v>2.8999999999999998E-3</v>
      </c>
      <c r="P25" s="2936">
        <f t="shared" si="11"/>
        <v>-1E-4</v>
      </c>
      <c r="Q25" s="2936">
        <f t="shared" si="11"/>
        <v>5.7999999999999996E-3</v>
      </c>
      <c r="R25" s="2937"/>
      <c r="S25" s="2935"/>
      <c r="T25" s="2936"/>
      <c r="U25" s="2936"/>
      <c r="V25" s="2936"/>
    </row>
    <row r="26" spans="1:34">
      <c r="A26" s="2919" t="s">
        <v>2736</v>
      </c>
      <c r="B26" s="2940">
        <f>B25/(1+N25)</f>
        <v>275.24529281292263</v>
      </c>
      <c r="C26" s="2940">
        <f>C25/(1+O25)</f>
        <v>231.74747938962707</v>
      </c>
      <c r="D26" s="2940">
        <f t="shared" si="9"/>
        <v>231.74747938962707</v>
      </c>
      <c r="E26" s="2940">
        <f t="shared" si="20"/>
        <v>375.35938184826603</v>
      </c>
      <c r="F26" s="2940">
        <f t="shared" si="20"/>
        <v>216.78033510692495</v>
      </c>
      <c r="G26" s="3898"/>
      <c r="H26" s="2925">
        <v>2</v>
      </c>
      <c r="I26" s="2925">
        <v>0.02</v>
      </c>
      <c r="J26" s="2925">
        <v>0.12</v>
      </c>
      <c r="K26" s="2925">
        <v>-0.08</v>
      </c>
      <c r="L26" s="2942">
        <v>1.24</v>
      </c>
      <c r="N26" s="2935">
        <f t="shared" si="11"/>
        <v>2.0000000000000001E-4</v>
      </c>
      <c r="O26" s="2936">
        <f t="shared" si="11"/>
        <v>1.1999999999999999E-3</v>
      </c>
      <c r="P26" s="2936">
        <f t="shared" si="11"/>
        <v>-8.0000000000000004E-4</v>
      </c>
      <c r="Q26" s="2936">
        <f t="shared" si="11"/>
        <v>1.24E-2</v>
      </c>
      <c r="R26" s="2937"/>
      <c r="S26" s="2935"/>
      <c r="T26" s="2936"/>
      <c r="U26" s="2936"/>
      <c r="V26" s="2936"/>
    </row>
    <row r="27" spans="1:34" ht="13.5" thickBot="1">
      <c r="A27" s="2919" t="s">
        <v>2737</v>
      </c>
      <c r="B27" s="2940">
        <f>B26/(1+N26)</f>
        <v>275.19025476197027</v>
      </c>
      <c r="C27" s="2976">
        <v>232</v>
      </c>
      <c r="D27" s="2976">
        <f t="shared" si="9"/>
        <v>232</v>
      </c>
      <c r="E27" s="2940">
        <f t="shared" si="20"/>
        <v>375.65990977608692</v>
      </c>
      <c r="F27" s="2940">
        <f t="shared" si="20"/>
        <v>214.12518283971252</v>
      </c>
      <c r="G27" s="3899"/>
      <c r="H27" s="2924">
        <v>1</v>
      </c>
      <c r="I27" s="2924">
        <v>0.02</v>
      </c>
      <c r="J27" s="2924">
        <v>0.13</v>
      </c>
      <c r="K27" s="2924">
        <v>-0.04</v>
      </c>
      <c r="L27" s="2941">
        <v>0.46</v>
      </c>
      <c r="N27" s="2935">
        <f t="shared" si="11"/>
        <v>2.0000000000000001E-4</v>
      </c>
      <c r="O27" s="2936">
        <f t="shared" si="11"/>
        <v>1.2999999999999999E-3</v>
      </c>
      <c r="P27" s="2936">
        <f t="shared" si="11"/>
        <v>-4.0000000000000002E-4</v>
      </c>
      <c r="Q27" s="2936">
        <f t="shared" si="11"/>
        <v>4.5999999999999999E-3</v>
      </c>
      <c r="R27" s="2937"/>
      <c r="S27" s="2943">
        <f>B27/B28-1</f>
        <v>6.9183549807361189E-4</v>
      </c>
      <c r="T27" s="2944">
        <f>C27/C28-1</f>
        <v>0</v>
      </c>
      <c r="U27" s="2944">
        <f>E27/E28-1</f>
        <v>-9.0449527636460303E-4</v>
      </c>
      <c r="V27" s="2944">
        <f>F27/F28-1</f>
        <v>5.2825485432512753E-3</v>
      </c>
      <c r="X27" s="2918"/>
      <c r="Y27" s="2918"/>
      <c r="Z27" s="2918"/>
    </row>
    <row r="28" spans="1:34" ht="13.5" thickBot="1">
      <c r="A28" s="2919" t="s">
        <v>2738</v>
      </c>
      <c r="B28" s="2932">
        <v>275</v>
      </c>
      <c r="C28" s="2932">
        <v>232</v>
      </c>
      <c r="D28" s="2932">
        <f t="shared" si="9"/>
        <v>232</v>
      </c>
      <c r="E28" s="2932">
        <v>376</v>
      </c>
      <c r="F28" s="2933">
        <v>213</v>
      </c>
      <c r="G28" s="3897">
        <v>2011</v>
      </c>
      <c r="H28" s="2945">
        <v>4</v>
      </c>
      <c r="I28" s="2945">
        <v>-0.2</v>
      </c>
      <c r="J28" s="2945">
        <v>0.04</v>
      </c>
      <c r="K28" s="2945">
        <v>-0.34</v>
      </c>
      <c r="L28" s="2946">
        <v>0.46</v>
      </c>
      <c r="N28" s="2947">
        <f t="shared" si="11"/>
        <v>-2E-3</v>
      </c>
      <c r="O28" s="2948">
        <f t="shared" si="11"/>
        <v>4.0000000000000002E-4</v>
      </c>
      <c r="P28" s="2948">
        <f t="shared" si="11"/>
        <v>-3.4000000000000002E-3</v>
      </c>
      <c r="Q28" s="2948">
        <f t="shared" si="11"/>
        <v>4.5999999999999999E-3</v>
      </c>
      <c r="R28" s="2937"/>
      <c r="S28" s="2938"/>
      <c r="T28" s="2939"/>
      <c r="U28" s="2939"/>
      <c r="V28" s="2939"/>
      <c r="X28" s="2939"/>
      <c r="Y28" s="2939"/>
      <c r="Z28" s="2939"/>
    </row>
    <row r="29" spans="1:34">
      <c r="A29" s="2919" t="s">
        <v>2739</v>
      </c>
      <c r="B29" s="2940">
        <f t="shared" ref="B29:C31" si="21">B28/(1+N28)</f>
        <v>275.55110220440883</v>
      </c>
      <c r="C29" s="2940">
        <f t="shared" si="21"/>
        <v>231.90723710515795</v>
      </c>
      <c r="D29" s="2940">
        <f t="shared" si="9"/>
        <v>231.90723710515795</v>
      </c>
      <c r="E29" s="2940">
        <f t="shared" ref="E29:F31" si="22">E28/(1+P28)</f>
        <v>377.28276138872161</v>
      </c>
      <c r="F29" s="2940">
        <f t="shared" si="22"/>
        <v>212.02468644236512</v>
      </c>
      <c r="G29" s="3898">
        <v>2011</v>
      </c>
      <c r="H29" s="2950">
        <v>3</v>
      </c>
      <c r="I29" s="2950">
        <v>0.13</v>
      </c>
      <c r="J29" s="2950">
        <v>0.75</v>
      </c>
      <c r="K29" s="2950">
        <v>-0.08</v>
      </c>
      <c r="L29" s="2951">
        <v>0.53</v>
      </c>
      <c r="N29" s="2935">
        <f t="shared" si="11"/>
        <v>1.2999999999999999E-3</v>
      </c>
      <c r="O29" s="2952">
        <f t="shared" si="11"/>
        <v>7.4999999999999997E-3</v>
      </c>
      <c r="P29" s="2952">
        <f t="shared" si="11"/>
        <v>-8.0000000000000004E-4</v>
      </c>
      <c r="Q29" s="2952">
        <f t="shared" si="11"/>
        <v>5.3E-3</v>
      </c>
      <c r="R29" s="2937"/>
      <c r="S29" s="2935"/>
      <c r="T29" s="2936"/>
      <c r="U29" s="2936"/>
      <c r="V29" s="2936"/>
    </row>
    <row r="30" spans="1:34">
      <c r="A30" s="2919" t="s">
        <v>2740</v>
      </c>
      <c r="B30" s="2940">
        <f t="shared" si="21"/>
        <v>275.19335084830601</v>
      </c>
      <c r="C30" s="2940">
        <f t="shared" si="21"/>
        <v>230.18088050139744</v>
      </c>
      <c r="D30" s="2940">
        <f t="shared" si="9"/>
        <v>230.18088050139744</v>
      </c>
      <c r="E30" s="2940">
        <f t="shared" si="22"/>
        <v>377.58482925212331</v>
      </c>
      <c r="F30" s="2940">
        <f t="shared" si="22"/>
        <v>210.90687997847917</v>
      </c>
      <c r="G30" s="3898">
        <v>2011</v>
      </c>
      <c r="H30" s="2925">
        <v>2</v>
      </c>
      <c r="I30" s="2925">
        <v>-0.4</v>
      </c>
      <c r="J30" s="2925">
        <v>0.17</v>
      </c>
      <c r="K30" s="2925">
        <v>-0.57999999999999996</v>
      </c>
      <c r="L30" s="2942">
        <v>-0.2</v>
      </c>
      <c r="N30" s="2935">
        <f t="shared" si="11"/>
        <v>-4.0000000000000001E-3</v>
      </c>
      <c r="O30" s="2952">
        <f t="shared" si="11"/>
        <v>1.7000000000000001E-3</v>
      </c>
      <c r="P30" s="2952">
        <f t="shared" si="11"/>
        <v>-5.7999999999999996E-3</v>
      </c>
      <c r="Q30" s="2952">
        <f t="shared" si="11"/>
        <v>-2E-3</v>
      </c>
      <c r="R30" s="2937"/>
      <c r="S30" s="2935"/>
      <c r="T30" s="2936"/>
      <c r="U30" s="2936"/>
      <c r="V30" s="2936"/>
    </row>
    <row r="31" spans="1:34" ht="13.5" thickBot="1">
      <c r="A31" s="2919" t="s">
        <v>2741</v>
      </c>
      <c r="B31" s="2940">
        <f t="shared" si="21"/>
        <v>276.29854502841971</v>
      </c>
      <c r="C31" s="2940">
        <f t="shared" si="21"/>
        <v>229.79023709833027</v>
      </c>
      <c r="D31" s="2940">
        <f t="shared" si="9"/>
        <v>229.79023709833027</v>
      </c>
      <c r="E31" s="2940">
        <f t="shared" si="22"/>
        <v>379.78759731655936</v>
      </c>
      <c r="F31" s="2940">
        <f t="shared" si="22"/>
        <v>211.32953905659235</v>
      </c>
      <c r="G31" s="3899">
        <v>2011</v>
      </c>
      <c r="H31" s="2924">
        <v>1</v>
      </c>
      <c r="I31" s="2924">
        <v>2.65</v>
      </c>
      <c r="J31" s="2924">
        <v>3.76</v>
      </c>
      <c r="K31" s="2924">
        <v>1.89</v>
      </c>
      <c r="L31" s="2941">
        <v>7.95</v>
      </c>
      <c r="N31" s="2943">
        <f t="shared" si="11"/>
        <v>2.6499999999999999E-2</v>
      </c>
      <c r="O31" s="2944">
        <f t="shared" si="11"/>
        <v>3.7599999999999995E-2</v>
      </c>
      <c r="P31" s="2944">
        <f t="shared" si="11"/>
        <v>1.89E-2</v>
      </c>
      <c r="Q31" s="2944">
        <f t="shared" si="11"/>
        <v>7.9500000000000001E-2</v>
      </c>
      <c r="R31" s="2937"/>
      <c r="S31" s="2943">
        <f>B31/B32-1</f>
        <v>2.713213765211786E-2</v>
      </c>
      <c r="T31" s="2944">
        <f>C31/C32-1</f>
        <v>3.9774828499231862E-2</v>
      </c>
      <c r="U31" s="2944">
        <f>E31/E32-1</f>
        <v>1.8197311840641772E-2</v>
      </c>
      <c r="V31" s="2944">
        <f>F31/F32-1</f>
        <v>7.8211933962205826E-2</v>
      </c>
      <c r="X31" s="2918"/>
      <c r="Y31" s="2918"/>
      <c r="Z31" s="2918"/>
    </row>
    <row r="32" spans="1:34" ht="13.5" thickBot="1">
      <c r="A32" s="2919" t="s">
        <v>2742</v>
      </c>
      <c r="B32" s="2932">
        <v>269</v>
      </c>
      <c r="C32" s="2932">
        <v>221</v>
      </c>
      <c r="D32" s="2932">
        <f t="shared" si="9"/>
        <v>221</v>
      </c>
      <c r="E32" s="2932">
        <v>373</v>
      </c>
      <c r="F32" s="2933">
        <v>196</v>
      </c>
      <c r="G32" s="3897">
        <v>2010</v>
      </c>
      <c r="H32" s="2945">
        <v>4</v>
      </c>
      <c r="I32" s="2945">
        <v>5.72</v>
      </c>
      <c r="J32" s="2945">
        <v>6.57</v>
      </c>
      <c r="K32" s="2945">
        <v>5.72</v>
      </c>
      <c r="L32" s="2946">
        <v>2.72</v>
      </c>
      <c r="N32" s="2935">
        <f t="shared" si="11"/>
        <v>5.7200000000000001E-2</v>
      </c>
      <c r="O32" s="2936">
        <f t="shared" si="11"/>
        <v>6.5700000000000008E-2</v>
      </c>
      <c r="P32" s="2936">
        <f t="shared" si="11"/>
        <v>5.7200000000000001E-2</v>
      </c>
      <c r="Q32" s="2936">
        <f t="shared" si="11"/>
        <v>2.7200000000000002E-2</v>
      </c>
      <c r="R32" s="2937"/>
      <c r="S32" s="2938"/>
      <c r="T32" s="2939"/>
      <c r="U32" s="2939"/>
      <c r="V32" s="2939"/>
      <c r="X32" s="2939"/>
      <c r="Y32" s="2939"/>
      <c r="Z32" s="2939"/>
    </row>
    <row r="33" spans="1:26">
      <c r="A33" s="2919" t="s">
        <v>2743</v>
      </c>
      <c r="B33" s="2940">
        <f t="shared" ref="B33:C35" si="23">B32/(1+N32)</f>
        <v>254.44570563753314</v>
      </c>
      <c r="C33" s="2940">
        <f t="shared" si="23"/>
        <v>207.37543398705074</v>
      </c>
      <c r="D33" s="2940">
        <f t="shared" si="9"/>
        <v>207.37543398705074</v>
      </c>
      <c r="E33" s="2940">
        <f t="shared" ref="E33:F35" si="24">E32/(1+P32)</f>
        <v>352.81876655315932</v>
      </c>
      <c r="F33" s="2940">
        <f t="shared" si="24"/>
        <v>190.809968847352</v>
      </c>
      <c r="G33" s="3898">
        <v>2010</v>
      </c>
      <c r="H33" s="2950">
        <v>3</v>
      </c>
      <c r="I33" s="2950">
        <v>4.7300000000000004</v>
      </c>
      <c r="J33" s="2950">
        <v>3.9</v>
      </c>
      <c r="K33" s="2950">
        <v>5.03</v>
      </c>
      <c r="L33" s="2951">
        <v>4.21</v>
      </c>
      <c r="N33" s="2935">
        <f t="shared" si="11"/>
        <v>4.7300000000000002E-2</v>
      </c>
      <c r="O33" s="2936">
        <f t="shared" si="11"/>
        <v>3.9E-2</v>
      </c>
      <c r="P33" s="2936">
        <f t="shared" si="11"/>
        <v>5.0300000000000004E-2</v>
      </c>
      <c r="Q33" s="2936">
        <f t="shared" si="11"/>
        <v>4.2099999999999999E-2</v>
      </c>
      <c r="R33" s="2937"/>
      <c r="S33" s="2935"/>
      <c r="T33" s="2936"/>
      <c r="U33" s="2936"/>
      <c r="V33" s="2936"/>
    </row>
    <row r="34" spans="1:26">
      <c r="A34" s="2919" t="s">
        <v>2744</v>
      </c>
      <c r="B34" s="2940">
        <f t="shared" si="23"/>
        <v>242.95398227588385</v>
      </c>
      <c r="C34" s="2940">
        <f t="shared" si="23"/>
        <v>199.59137053614126</v>
      </c>
      <c r="D34" s="2940">
        <f t="shared" si="9"/>
        <v>199.59137053614126</v>
      </c>
      <c r="E34" s="2940">
        <f t="shared" si="24"/>
        <v>335.92189522342125</v>
      </c>
      <c r="F34" s="2940">
        <f t="shared" si="24"/>
        <v>183.10139991109489</v>
      </c>
      <c r="G34" s="3898">
        <v>2010</v>
      </c>
      <c r="H34" s="2925">
        <v>2</v>
      </c>
      <c r="I34" s="2925">
        <v>4.6900000000000004</v>
      </c>
      <c r="J34" s="2925">
        <v>3.55</v>
      </c>
      <c r="K34" s="2925">
        <v>5.07</v>
      </c>
      <c r="L34" s="2942">
        <v>4.2300000000000004</v>
      </c>
      <c r="N34" s="2935">
        <f t="shared" si="11"/>
        <v>4.6900000000000004E-2</v>
      </c>
      <c r="O34" s="2936">
        <f t="shared" si="11"/>
        <v>3.5499999999999997E-2</v>
      </c>
      <c r="P34" s="2936">
        <f t="shared" si="11"/>
        <v>5.0700000000000002E-2</v>
      </c>
      <c r="Q34" s="2936">
        <f t="shared" si="11"/>
        <v>4.2300000000000004E-2</v>
      </c>
      <c r="R34" s="2937"/>
      <c r="S34" s="2935"/>
      <c r="T34" s="2936"/>
      <c r="U34" s="2936"/>
      <c r="V34" s="2936"/>
    </row>
    <row r="35" spans="1:26" ht="13.5" thickBot="1">
      <c r="A35" s="2919" t="s">
        <v>2745</v>
      </c>
      <c r="B35" s="2940">
        <f t="shared" si="23"/>
        <v>232.06990378821649</v>
      </c>
      <c r="C35" s="2940">
        <f t="shared" si="23"/>
        <v>192.74878854286936</v>
      </c>
      <c r="D35" s="2940">
        <f t="shared" si="9"/>
        <v>192.74878854286936</v>
      </c>
      <c r="E35" s="2940">
        <f t="shared" si="24"/>
        <v>319.71247284992984</v>
      </c>
      <c r="F35" s="2940">
        <f t="shared" si="24"/>
        <v>175.67053622862409</v>
      </c>
      <c r="G35" s="3899">
        <v>2010</v>
      </c>
      <c r="H35" s="2924">
        <v>1</v>
      </c>
      <c r="I35" s="2924">
        <v>5.4</v>
      </c>
      <c r="J35" s="2924">
        <v>3.2</v>
      </c>
      <c r="K35" s="2924">
        <v>6.16</v>
      </c>
      <c r="L35" s="2941">
        <v>4.51</v>
      </c>
      <c r="N35" s="2935">
        <f t="shared" si="11"/>
        <v>5.4000000000000006E-2</v>
      </c>
      <c r="O35" s="2936">
        <f t="shared" si="11"/>
        <v>3.2000000000000001E-2</v>
      </c>
      <c r="P35" s="2936">
        <f t="shared" si="11"/>
        <v>6.1600000000000002E-2</v>
      </c>
      <c r="Q35" s="2936">
        <f t="shared" si="11"/>
        <v>4.5100000000000001E-2</v>
      </c>
      <c r="R35" s="2937"/>
      <c r="S35" s="2943">
        <f>B35/B36-1</f>
        <v>5.4863199037347599E-2</v>
      </c>
      <c r="T35" s="2944">
        <f>C35/C36-1</f>
        <v>3.0742184721226584E-2</v>
      </c>
      <c r="U35" s="2944">
        <f>E35/E36-1</f>
        <v>6.2167683886810154E-2</v>
      </c>
      <c r="V35" s="2944">
        <f>F35/F36-1</f>
        <v>4.5657953741810031E-2</v>
      </c>
      <c r="X35" s="2918"/>
      <c r="Y35" s="2918"/>
      <c r="Z35" s="2918"/>
    </row>
    <row r="36" spans="1:26" ht="13.5" thickBot="1">
      <c r="A36" s="2919" t="s">
        <v>2746</v>
      </c>
      <c r="B36" s="2932">
        <v>220</v>
      </c>
      <c r="C36" s="2932">
        <v>187</v>
      </c>
      <c r="D36" s="2932">
        <f t="shared" si="9"/>
        <v>187</v>
      </c>
      <c r="E36" s="2932">
        <v>301</v>
      </c>
      <c r="F36" s="2933">
        <v>168</v>
      </c>
      <c r="G36" s="3897">
        <v>2009</v>
      </c>
      <c r="H36" s="2945">
        <v>4</v>
      </c>
      <c r="I36" s="2945">
        <v>2.2999999999999998</v>
      </c>
      <c r="J36" s="2945">
        <v>1.04</v>
      </c>
      <c r="K36" s="2945">
        <v>2.84</v>
      </c>
      <c r="L36" s="2946">
        <v>0.67</v>
      </c>
      <c r="N36" s="2947">
        <f t="shared" si="11"/>
        <v>2.3E-2</v>
      </c>
      <c r="O36" s="2948">
        <f t="shared" si="11"/>
        <v>1.04E-2</v>
      </c>
      <c r="P36" s="2948">
        <f t="shared" si="11"/>
        <v>2.8399999999999998E-2</v>
      </c>
      <c r="Q36" s="2948">
        <f t="shared" si="11"/>
        <v>6.7000000000000002E-3</v>
      </c>
      <c r="R36" s="2937"/>
      <c r="S36" s="2938"/>
      <c r="T36" s="2939"/>
      <c r="U36" s="2939"/>
      <c r="V36" s="2939"/>
      <c r="X36" s="2939"/>
      <c r="Y36" s="2939"/>
      <c r="Z36" s="2939"/>
    </row>
    <row r="37" spans="1:26">
      <c r="A37" s="2919" t="s">
        <v>2747</v>
      </c>
      <c r="B37" s="2940">
        <f t="shared" ref="B37:C39" si="25">B36/(1+N36)</f>
        <v>215.05376344086022</v>
      </c>
      <c r="C37" s="2940">
        <f t="shared" si="25"/>
        <v>185.0752177355503</v>
      </c>
      <c r="D37" s="2940">
        <f t="shared" si="9"/>
        <v>185.0752177355503</v>
      </c>
      <c r="E37" s="2940">
        <f t="shared" ref="E37:F39" si="26">E36/(1+P36)</f>
        <v>292.68767016725008</v>
      </c>
      <c r="F37" s="2940">
        <f t="shared" si="26"/>
        <v>166.88189132810174</v>
      </c>
      <c r="G37" s="3898">
        <v>2009</v>
      </c>
      <c r="H37" s="2950">
        <v>3</v>
      </c>
      <c r="I37" s="2950">
        <v>2.1</v>
      </c>
      <c r="J37" s="2950">
        <v>1.86</v>
      </c>
      <c r="K37" s="2950">
        <v>2.29</v>
      </c>
      <c r="L37" s="2951">
        <v>0.85</v>
      </c>
      <c r="N37" s="2935">
        <f t="shared" si="11"/>
        <v>2.1000000000000001E-2</v>
      </c>
      <c r="O37" s="2952">
        <f t="shared" si="11"/>
        <v>1.8600000000000002E-2</v>
      </c>
      <c r="P37" s="2952">
        <f t="shared" si="11"/>
        <v>2.29E-2</v>
      </c>
      <c r="Q37" s="2952">
        <f t="shared" si="11"/>
        <v>8.5000000000000006E-3</v>
      </c>
      <c r="R37" s="2937"/>
      <c r="S37" s="2935"/>
      <c r="T37" s="2936"/>
      <c r="U37" s="2936"/>
      <c r="V37" s="2936"/>
    </row>
    <row r="38" spans="1:26">
      <c r="A38" s="2919" t="s">
        <v>2748</v>
      </c>
      <c r="B38" s="2940">
        <f t="shared" si="25"/>
        <v>210.630522469011</v>
      </c>
      <c r="C38" s="2940">
        <f t="shared" si="25"/>
        <v>181.69567812247232</v>
      </c>
      <c r="D38" s="2940">
        <f t="shared" si="9"/>
        <v>181.69567812247232</v>
      </c>
      <c r="E38" s="2940">
        <f t="shared" si="26"/>
        <v>286.13517466736738</v>
      </c>
      <c r="F38" s="2940">
        <f t="shared" si="26"/>
        <v>165.47535084591149</v>
      </c>
      <c r="G38" s="3898">
        <v>2009</v>
      </c>
      <c r="H38" s="2925">
        <v>2</v>
      </c>
      <c r="I38" s="2925">
        <v>0.86</v>
      </c>
      <c r="J38" s="2925">
        <v>-1.1299999999999999</v>
      </c>
      <c r="K38" s="2925">
        <v>1.79</v>
      </c>
      <c r="L38" s="2942">
        <v>-2.0699999999999998</v>
      </c>
      <c r="N38" s="2935">
        <f t="shared" si="11"/>
        <v>8.6E-3</v>
      </c>
      <c r="O38" s="2952">
        <f t="shared" si="11"/>
        <v>-1.1299999999999999E-2</v>
      </c>
      <c r="P38" s="2952">
        <f t="shared" si="11"/>
        <v>1.7899999999999999E-2</v>
      </c>
      <c r="Q38" s="2952">
        <f t="shared" si="11"/>
        <v>-2.07E-2</v>
      </c>
      <c r="R38" s="2937"/>
      <c r="S38" s="2935"/>
      <c r="T38" s="2936"/>
      <c r="U38" s="2936"/>
      <c r="V38" s="2936"/>
    </row>
    <row r="39" spans="1:26">
      <c r="A39" s="2919" t="s">
        <v>2749</v>
      </c>
      <c r="B39" s="2940">
        <f t="shared" si="25"/>
        <v>208.83454537875372</v>
      </c>
      <c r="C39" s="2940">
        <f t="shared" si="25"/>
        <v>183.77230517090351</v>
      </c>
      <c r="D39" s="2940">
        <f t="shared" si="9"/>
        <v>183.77230517090351</v>
      </c>
      <c r="E39" s="2940">
        <f t="shared" si="26"/>
        <v>281.10342338870947</v>
      </c>
      <c r="F39" s="2940">
        <f t="shared" si="26"/>
        <v>168.97309388942256</v>
      </c>
      <c r="G39" s="3899">
        <v>2009</v>
      </c>
      <c r="H39" s="2924">
        <v>1</v>
      </c>
      <c r="I39" s="2924">
        <v>-2.64</v>
      </c>
      <c r="J39" s="2924">
        <v>-2.5299999999999998</v>
      </c>
      <c r="K39" s="2924">
        <v>-3.02</v>
      </c>
      <c r="L39" s="2941">
        <v>1.52</v>
      </c>
      <c r="N39" s="2943">
        <f t="shared" si="11"/>
        <v>-2.64E-2</v>
      </c>
      <c r="O39" s="2944">
        <f t="shared" si="11"/>
        <v>-2.53E-2</v>
      </c>
      <c r="P39" s="2944">
        <f t="shared" si="11"/>
        <v>-3.0200000000000001E-2</v>
      </c>
      <c r="Q39" s="2944">
        <f t="shared" si="11"/>
        <v>1.52E-2</v>
      </c>
      <c r="R39" s="2937"/>
      <c r="S39" s="2943">
        <f>B39/B40-1</f>
        <v>-2.4137638417038754E-2</v>
      </c>
      <c r="T39" s="2944">
        <f>C39/C40-1</f>
        <v>-2.248773845264096E-2</v>
      </c>
      <c r="U39" s="2944">
        <f>E39/E40-1</f>
        <v>-2.7323794502735366E-2</v>
      </c>
      <c r="V39" s="2944">
        <f>F39/F40-1</f>
        <v>1.7910204153148035E-2</v>
      </c>
      <c r="X39" s="2918"/>
      <c r="Y39" s="2918"/>
      <c r="Z39" s="2918"/>
    </row>
    <row r="40" spans="1:26" ht="13.5" thickBot="1">
      <c r="A40" s="2919" t="s">
        <v>2750</v>
      </c>
      <c r="B40" s="2974">
        <v>214</v>
      </c>
      <c r="C40" s="2974">
        <v>188</v>
      </c>
      <c r="D40" s="2974">
        <f t="shared" si="9"/>
        <v>188</v>
      </c>
      <c r="E40" s="2974">
        <v>289</v>
      </c>
      <c r="F40" s="2975">
        <v>166</v>
      </c>
      <c r="G40" s="3897">
        <v>2008</v>
      </c>
      <c r="H40" s="2945">
        <v>4</v>
      </c>
      <c r="I40" s="2945">
        <v>1.73</v>
      </c>
      <c r="J40" s="2945">
        <v>0.03</v>
      </c>
      <c r="K40" s="2945">
        <v>2.59</v>
      </c>
      <c r="L40" s="2946">
        <v>-1.66</v>
      </c>
      <c r="N40" s="2935">
        <f t="shared" si="11"/>
        <v>1.7299999999999999E-2</v>
      </c>
      <c r="O40" s="2936">
        <f t="shared" si="11"/>
        <v>2.9999999999999997E-4</v>
      </c>
      <c r="P40" s="2936">
        <f t="shared" si="11"/>
        <v>2.5899999999999999E-2</v>
      </c>
      <c r="Q40" s="2936">
        <f t="shared" si="11"/>
        <v>-1.66E-2</v>
      </c>
      <c r="R40" s="2937"/>
      <c r="S40" s="2938"/>
      <c r="T40" s="2939"/>
      <c r="U40" s="2939"/>
      <c r="V40" s="2939"/>
      <c r="X40" s="2939"/>
      <c r="Y40" s="2939"/>
      <c r="Z40" s="2939"/>
    </row>
    <row r="41" spans="1:26">
      <c r="A41" s="2919" t="s">
        <v>2751</v>
      </c>
      <c r="B41" s="2940">
        <f t="shared" ref="B41:C43" si="27">B40/(1+N40)</f>
        <v>210.36075887152265</v>
      </c>
      <c r="C41" s="2940">
        <f t="shared" si="27"/>
        <v>187.94361691492554</v>
      </c>
      <c r="D41" s="2940">
        <f t="shared" si="9"/>
        <v>187.94361691492554</v>
      </c>
      <c r="E41" s="2940">
        <f t="shared" ref="E41:F43" si="28">E40/(1+P40)</f>
        <v>281.70386977288234</v>
      </c>
      <c r="F41" s="2940">
        <f t="shared" si="28"/>
        <v>168.80211511083994</v>
      </c>
      <c r="G41" s="3898">
        <v>2008</v>
      </c>
      <c r="H41" s="2950">
        <v>3</v>
      </c>
      <c r="I41" s="2950">
        <v>1.96</v>
      </c>
      <c r="J41" s="2950">
        <v>2.36</v>
      </c>
      <c r="K41" s="2950">
        <v>1.82</v>
      </c>
      <c r="L41" s="2951">
        <v>2.2200000000000002</v>
      </c>
      <c r="N41" s="2935">
        <f t="shared" si="11"/>
        <v>1.9599999999999999E-2</v>
      </c>
      <c r="O41" s="2936">
        <f t="shared" si="11"/>
        <v>2.3599999999999999E-2</v>
      </c>
      <c r="P41" s="2936">
        <f t="shared" si="11"/>
        <v>1.8200000000000001E-2</v>
      </c>
      <c r="Q41" s="2936">
        <f t="shared" si="11"/>
        <v>2.2200000000000001E-2</v>
      </c>
      <c r="R41" s="2937"/>
      <c r="S41" s="2935"/>
      <c r="T41" s="2936"/>
      <c r="U41" s="2936"/>
      <c r="V41" s="2936"/>
    </row>
    <row r="42" spans="1:26">
      <c r="A42" s="2919" t="s">
        <v>2752</v>
      </c>
      <c r="B42" s="2940">
        <f t="shared" si="27"/>
        <v>206.31694671589116</v>
      </c>
      <c r="C42" s="2940">
        <f t="shared" si="27"/>
        <v>183.61041121036101</v>
      </c>
      <c r="D42" s="2940">
        <f t="shared" si="9"/>
        <v>183.61041121036101</v>
      </c>
      <c r="E42" s="2940">
        <f t="shared" si="28"/>
        <v>276.66850301795557</v>
      </c>
      <c r="F42" s="2940">
        <f t="shared" si="28"/>
        <v>165.1360938278614</v>
      </c>
      <c r="G42" s="3898">
        <v>2008</v>
      </c>
      <c r="H42" s="2925">
        <v>2</v>
      </c>
      <c r="I42" s="2925">
        <v>4.93</v>
      </c>
      <c r="J42" s="2925">
        <v>7.38</v>
      </c>
      <c r="K42" s="2925">
        <v>3.98</v>
      </c>
      <c r="L42" s="2942">
        <v>6.86</v>
      </c>
      <c r="N42" s="2935">
        <f t="shared" si="11"/>
        <v>4.9299999999999997E-2</v>
      </c>
      <c r="O42" s="2936">
        <f t="shared" si="11"/>
        <v>7.3800000000000004E-2</v>
      </c>
      <c r="P42" s="2936">
        <f t="shared" si="11"/>
        <v>3.9800000000000002E-2</v>
      </c>
      <c r="Q42" s="2936">
        <f t="shared" si="11"/>
        <v>6.8600000000000008E-2</v>
      </c>
      <c r="R42" s="2937"/>
      <c r="S42" s="2935"/>
      <c r="T42" s="2936"/>
      <c r="U42" s="2936"/>
      <c r="V42" s="2936"/>
    </row>
    <row r="43" spans="1:26" s="2980" customFormat="1" ht="13.5" thickBot="1">
      <c r="A43" s="2919" t="s">
        <v>2753</v>
      </c>
      <c r="B43" s="2977">
        <f t="shared" si="27"/>
        <v>196.62341248059772</v>
      </c>
      <c r="C43" s="2977">
        <f t="shared" si="27"/>
        <v>170.99125648199012</v>
      </c>
      <c r="D43" s="2977">
        <f t="shared" si="9"/>
        <v>170.99125648199012</v>
      </c>
      <c r="E43" s="2977">
        <f t="shared" si="28"/>
        <v>266.07857570490052</v>
      </c>
      <c r="F43" s="2977">
        <f t="shared" si="28"/>
        <v>154.53499328828505</v>
      </c>
      <c r="G43" s="3899">
        <v>2008</v>
      </c>
      <c r="H43" s="2978">
        <v>1</v>
      </c>
      <c r="I43" s="2978">
        <v>4.1399999999999997</v>
      </c>
      <c r="J43" s="2978">
        <v>3.45</v>
      </c>
      <c r="K43" s="2978">
        <v>4.95</v>
      </c>
      <c r="L43" s="2979">
        <v>4.82</v>
      </c>
      <c r="N43" s="2981">
        <f t="shared" si="11"/>
        <v>4.1399999999999999E-2</v>
      </c>
      <c r="O43" s="2982">
        <f t="shared" si="11"/>
        <v>3.4500000000000003E-2</v>
      </c>
      <c r="P43" s="2982">
        <f t="shared" si="11"/>
        <v>4.9500000000000002E-2</v>
      </c>
      <c r="Q43" s="2982">
        <f t="shared" si="11"/>
        <v>4.82E-2</v>
      </c>
      <c r="R43" s="2983"/>
      <c r="S43" s="2981">
        <f>B43/B44-1</f>
        <v>4.5869215322328349E-2</v>
      </c>
      <c r="T43" s="2982">
        <f>C43/C44-1</f>
        <v>3.6310645345394743E-2</v>
      </c>
      <c r="U43" s="2982">
        <f>E43/E44-1</f>
        <v>4.7553447657088688E-2</v>
      </c>
      <c r="V43" s="2982">
        <f>F43/F44-1</f>
        <v>4.4155360055980086E-2</v>
      </c>
      <c r="X43" s="2984"/>
      <c r="Y43" s="2984"/>
      <c r="Z43" s="2984"/>
    </row>
    <row r="44" spans="1:26" ht="13.5" thickBot="1">
      <c r="A44" s="2919" t="s">
        <v>2754</v>
      </c>
      <c r="B44" s="2932">
        <v>188</v>
      </c>
      <c r="C44" s="2932">
        <v>165</v>
      </c>
      <c r="D44" s="2932">
        <f t="shared" si="9"/>
        <v>165</v>
      </c>
      <c r="E44" s="2932">
        <v>254</v>
      </c>
      <c r="F44" s="2933">
        <v>148</v>
      </c>
      <c r="G44" s="3897">
        <v>2007</v>
      </c>
      <c r="H44" s="2985">
        <v>4</v>
      </c>
      <c r="I44" s="2985">
        <v>5.51</v>
      </c>
      <c r="J44" s="2985">
        <v>4.8899999999999997</v>
      </c>
      <c r="K44" s="2985">
        <v>6.43</v>
      </c>
      <c r="L44" s="2986">
        <v>5.36</v>
      </c>
      <c r="N44" s="2987">
        <f t="shared" ref="N44:O47" si="29">B44/B45-1</f>
        <v>4.1339718365245526E-2</v>
      </c>
      <c r="O44" s="2988">
        <f t="shared" si="29"/>
        <v>4.0324492593776018E-2</v>
      </c>
      <c r="P44" s="2988">
        <f t="shared" ref="P44:Q47" si="30">E44/E45-1</f>
        <v>6.1625555347990968E-2</v>
      </c>
      <c r="Q44" s="2988">
        <f t="shared" si="30"/>
        <v>4.6757569250590603E-2</v>
      </c>
      <c r="R44" s="2937"/>
      <c r="S44" s="2938"/>
      <c r="T44" s="2939"/>
      <c r="U44" s="2939"/>
      <c r="V44" s="2939"/>
      <c r="X44" s="2939"/>
      <c r="Y44" s="2939"/>
      <c r="Z44" s="2939"/>
    </row>
    <row r="45" spans="1:26">
      <c r="A45" s="2919" t="s">
        <v>2755</v>
      </c>
      <c r="B45" s="2940">
        <f t="shared" ref="B45:C47" si="31">B46+(B$44-B$48)*I45/SUM(I$44:I$47)</f>
        <v>180.5366651097618</v>
      </c>
      <c r="C45" s="2940">
        <f t="shared" si="31"/>
        <v>158.60435967302453</v>
      </c>
      <c r="D45" s="2940">
        <f t="shared" si="9"/>
        <v>158.60435967302453</v>
      </c>
      <c r="E45" s="2940">
        <f t="shared" ref="E45:F47" si="32">E46+(E$44-E$48)*K45/SUM(K$44:K$47)</f>
        <v>239.25573260785075</v>
      </c>
      <c r="F45" s="2940">
        <f t="shared" si="32"/>
        <v>141.38899430740037</v>
      </c>
      <c r="G45" s="3898">
        <v>2007</v>
      </c>
      <c r="H45" s="2950">
        <v>3</v>
      </c>
      <c r="I45" s="2950">
        <v>8.65</v>
      </c>
      <c r="J45" s="2950">
        <v>8.06</v>
      </c>
      <c r="K45" s="2950">
        <v>9.94</v>
      </c>
      <c r="L45" s="2951">
        <v>5.8</v>
      </c>
      <c r="N45" s="2987">
        <f t="shared" si="29"/>
        <v>6.940217571740015E-2</v>
      </c>
      <c r="O45" s="2988">
        <f t="shared" si="29"/>
        <v>7.1197482471153428E-2</v>
      </c>
      <c r="P45" s="2988">
        <f t="shared" si="30"/>
        <v>0.10529679922579582</v>
      </c>
      <c r="Q45" s="2988">
        <f t="shared" si="30"/>
        <v>5.3292245059512133E-2</v>
      </c>
      <c r="R45" s="2937"/>
      <c r="S45" s="2935"/>
      <c r="T45" s="2936"/>
      <c r="U45" s="2936"/>
      <c r="V45" s="2936"/>
      <c r="X45" s="2989"/>
      <c r="Y45" s="2989"/>
      <c r="Z45" s="2989"/>
    </row>
    <row r="46" spans="1:26">
      <c r="A46" s="2919" t="s">
        <v>2756</v>
      </c>
      <c r="B46" s="2940">
        <f t="shared" si="31"/>
        <v>168.82017748715555</v>
      </c>
      <c r="C46" s="2940">
        <f t="shared" si="31"/>
        <v>148.06267029972753</v>
      </c>
      <c r="D46" s="2940">
        <f t="shared" si="9"/>
        <v>148.06267029972753</v>
      </c>
      <c r="E46" s="2940">
        <f t="shared" si="32"/>
        <v>216.46288379323747</v>
      </c>
      <c r="F46" s="2940">
        <f t="shared" si="32"/>
        <v>134.23529411764704</v>
      </c>
      <c r="G46" s="3898">
        <v>2007</v>
      </c>
      <c r="H46" s="2925">
        <v>2</v>
      </c>
      <c r="I46" s="2925">
        <v>3.67</v>
      </c>
      <c r="J46" s="2925">
        <v>2.3199999999999998</v>
      </c>
      <c r="K46" s="2925">
        <v>5.0199999999999996</v>
      </c>
      <c r="L46" s="2942">
        <v>6.71</v>
      </c>
      <c r="N46" s="2987">
        <f t="shared" si="29"/>
        <v>3.0339138143848032E-2</v>
      </c>
      <c r="O46" s="2988">
        <f t="shared" si="29"/>
        <v>2.0922341588790472E-2</v>
      </c>
      <c r="P46" s="2988">
        <f t="shared" si="30"/>
        <v>5.6164796592717003E-2</v>
      </c>
      <c r="Q46" s="2988">
        <f t="shared" si="30"/>
        <v>6.5704536723887319E-2</v>
      </c>
      <c r="R46" s="2937"/>
      <c r="S46" s="2935"/>
      <c r="T46" s="2936"/>
      <c r="U46" s="2936"/>
      <c r="V46" s="2936"/>
      <c r="X46" s="2989"/>
      <c r="Y46" s="2989"/>
      <c r="Z46" s="2989"/>
    </row>
    <row r="47" spans="1:26">
      <c r="A47" s="2919" t="s">
        <v>2757</v>
      </c>
      <c r="B47" s="2940">
        <f t="shared" si="31"/>
        <v>163.84913591779542</v>
      </c>
      <c r="C47" s="2940">
        <f t="shared" si="31"/>
        <v>145.0283378746594</v>
      </c>
      <c r="D47" s="2940">
        <f t="shared" si="9"/>
        <v>145.0283378746594</v>
      </c>
      <c r="E47" s="2940">
        <f t="shared" si="32"/>
        <v>204.95180722891567</v>
      </c>
      <c r="F47" s="2940">
        <f t="shared" si="32"/>
        <v>125.95920303605313</v>
      </c>
      <c r="G47" s="3899">
        <v>2007</v>
      </c>
      <c r="H47" s="2924">
        <v>1</v>
      </c>
      <c r="I47" s="2924">
        <v>3.58</v>
      </c>
      <c r="J47" s="2924">
        <v>3.08</v>
      </c>
      <c r="K47" s="2924">
        <v>4.34</v>
      </c>
      <c r="L47" s="2941">
        <v>3.21</v>
      </c>
      <c r="N47" s="2990">
        <f t="shared" si="29"/>
        <v>3.0497710174814063E-2</v>
      </c>
      <c r="O47" s="2991">
        <f t="shared" si="29"/>
        <v>2.8569772160704998E-2</v>
      </c>
      <c r="P47" s="2991">
        <f t="shared" si="30"/>
        <v>5.1034908866234296E-2</v>
      </c>
      <c r="Q47" s="2991">
        <f t="shared" si="30"/>
        <v>3.245248390207478E-2</v>
      </c>
      <c r="R47" s="2937"/>
      <c r="S47" s="2943">
        <f>B47/B48-1</f>
        <v>3.0497710174814063E-2</v>
      </c>
      <c r="T47" s="2944">
        <f>C47/C48-1</f>
        <v>2.8569772160704998E-2</v>
      </c>
      <c r="U47" s="2944">
        <f>E47/E48-1</f>
        <v>5.1034908866234296E-2</v>
      </c>
      <c r="V47" s="2944">
        <f>F47/F48-1</f>
        <v>3.245248390207478E-2</v>
      </c>
      <c r="X47" s="2989"/>
      <c r="Y47" s="2989"/>
      <c r="Z47" s="2989"/>
    </row>
    <row r="48" spans="1:26" ht="13.5" thickBot="1">
      <c r="A48" s="2919" t="s">
        <v>2758</v>
      </c>
      <c r="B48" s="2953">
        <v>159</v>
      </c>
      <c r="C48" s="2953">
        <v>141</v>
      </c>
      <c r="D48" s="2953">
        <f t="shared" si="9"/>
        <v>141</v>
      </c>
      <c r="E48" s="2953">
        <v>195</v>
      </c>
      <c r="F48" s="2954">
        <v>122</v>
      </c>
      <c r="G48" s="3897">
        <v>2006</v>
      </c>
      <c r="H48" s="2945">
        <v>4</v>
      </c>
      <c r="I48" s="2945">
        <v>3.79</v>
      </c>
      <c r="J48" s="2945">
        <v>2.21</v>
      </c>
      <c r="K48" s="2945">
        <v>5.65</v>
      </c>
      <c r="L48" s="2946">
        <v>5.41</v>
      </c>
      <c r="N48" s="2987">
        <f t="shared" ref="N48:O51" si="33">I48/SUM(I$48:I$51)*(B$48/B$52-1)</f>
        <v>7.245466462748526E-2</v>
      </c>
      <c r="O48" s="2988">
        <f t="shared" si="33"/>
        <v>2.3237230038062766E-2</v>
      </c>
      <c r="P48" s="2988">
        <f t="shared" ref="P48:Q51" si="34">K48/SUM(K$48:K$51)*(E$48/E$52-1)</f>
        <v>0.16146893866323722</v>
      </c>
      <c r="Q48" s="2988">
        <f t="shared" si="34"/>
        <v>5.0755230321793784E-2</v>
      </c>
      <c r="R48" s="2937"/>
      <c r="S48" s="2938"/>
      <c r="T48" s="2939"/>
      <c r="U48" s="2939"/>
      <c r="V48" s="2939"/>
      <c r="X48" s="2989"/>
      <c r="Y48" s="2989"/>
      <c r="Z48" s="2989"/>
    </row>
    <row r="49" spans="1:26">
      <c r="A49" s="2919" t="s">
        <v>2759</v>
      </c>
      <c r="B49" s="2940">
        <f t="shared" ref="B49:C51" si="35">B50+(B$48-B$52)*I49/SUM(I$48:I$51)</f>
        <v>149.00125628140702</v>
      </c>
      <c r="C49" s="2940">
        <f t="shared" si="35"/>
        <v>137.95592286501378</v>
      </c>
      <c r="D49" s="2940">
        <f t="shared" si="9"/>
        <v>137.95592286501378</v>
      </c>
      <c r="E49" s="2940">
        <f t="shared" ref="E49:F51" si="36">E50+(E$48-E$52)*K49/SUM(K$48:K$51)</f>
        <v>169.97231450719823</v>
      </c>
      <c r="F49" s="2940">
        <f t="shared" si="36"/>
        <v>116.21390374331551</v>
      </c>
      <c r="G49" s="3898">
        <v>2006</v>
      </c>
      <c r="H49" s="2950">
        <v>3</v>
      </c>
      <c r="I49" s="2950">
        <v>0.92</v>
      </c>
      <c r="J49" s="2950">
        <v>1.08</v>
      </c>
      <c r="K49" s="2950">
        <v>0.73</v>
      </c>
      <c r="L49" s="2951">
        <v>1.08</v>
      </c>
      <c r="N49" s="2987">
        <f t="shared" si="33"/>
        <v>1.7587939698492462E-2</v>
      </c>
      <c r="O49" s="2988">
        <f t="shared" si="33"/>
        <v>1.1355750425840628E-2</v>
      </c>
      <c r="P49" s="2988">
        <f t="shared" si="34"/>
        <v>2.0862358446754544E-2</v>
      </c>
      <c r="Q49" s="2988">
        <f t="shared" si="34"/>
        <v>1.0132282578103011E-2</v>
      </c>
      <c r="R49" s="2937"/>
      <c r="S49" s="2935"/>
      <c r="T49" s="2936"/>
      <c r="U49" s="2936"/>
      <c r="V49" s="2936"/>
      <c r="X49" s="2989"/>
      <c r="Y49" s="2989"/>
      <c r="Z49" s="2989"/>
    </row>
    <row r="50" spans="1:26">
      <c r="A50" s="2919" t="s">
        <v>2760</v>
      </c>
      <c r="B50" s="2940">
        <f t="shared" si="35"/>
        <v>146.57412060301507</v>
      </c>
      <c r="C50" s="2940">
        <f t="shared" si="35"/>
        <v>136.46831955922866</v>
      </c>
      <c r="D50" s="2940">
        <f t="shared" si="9"/>
        <v>136.46831955922866</v>
      </c>
      <c r="E50" s="2940">
        <f t="shared" si="36"/>
        <v>166.73864894795128</v>
      </c>
      <c r="F50" s="2940">
        <f t="shared" si="36"/>
        <v>115.05882352941177</v>
      </c>
      <c r="G50" s="3898">
        <v>2006</v>
      </c>
      <c r="H50" s="2925">
        <v>2</v>
      </c>
      <c r="I50" s="2925">
        <v>0.96</v>
      </c>
      <c r="J50" s="2925">
        <v>0.25</v>
      </c>
      <c r="K50" s="2925">
        <v>1.9</v>
      </c>
      <c r="L50" s="2942">
        <v>0.95</v>
      </c>
      <c r="N50" s="2987">
        <f t="shared" si="33"/>
        <v>1.8352632728861701E-2</v>
      </c>
      <c r="O50" s="2988">
        <f t="shared" si="33"/>
        <v>2.6286459319075526E-3</v>
      </c>
      <c r="P50" s="2988">
        <f t="shared" si="34"/>
        <v>5.4299289107991269E-2</v>
      </c>
      <c r="Q50" s="2988">
        <f t="shared" si="34"/>
        <v>8.9126559714794995E-3</v>
      </c>
      <c r="R50" s="2937"/>
      <c r="S50" s="2935"/>
      <c r="T50" s="2936"/>
      <c r="U50" s="2936"/>
      <c r="V50" s="2936"/>
      <c r="X50" s="2989"/>
      <c r="Y50" s="2989"/>
      <c r="Z50" s="2989"/>
    </row>
    <row r="51" spans="1:26">
      <c r="A51" s="2919" t="s">
        <v>2761</v>
      </c>
      <c r="B51" s="2940">
        <f t="shared" si="35"/>
        <v>144.04145728643215</v>
      </c>
      <c r="C51" s="2940">
        <f t="shared" si="35"/>
        <v>136.12396694214877</v>
      </c>
      <c r="D51" s="2940">
        <f t="shared" si="9"/>
        <v>136.12396694214877</v>
      </c>
      <c r="E51" s="2940">
        <f t="shared" si="36"/>
        <v>158.32225913621264</v>
      </c>
      <c r="F51" s="2940">
        <f t="shared" si="36"/>
        <v>114.04278074866311</v>
      </c>
      <c r="G51" s="3899">
        <v>2006</v>
      </c>
      <c r="H51" s="2924">
        <v>1</v>
      </c>
      <c r="I51" s="2924">
        <v>2.29</v>
      </c>
      <c r="J51" s="2924">
        <v>3.72</v>
      </c>
      <c r="K51" s="2924">
        <v>0.75</v>
      </c>
      <c r="L51" s="2941">
        <v>0.04</v>
      </c>
      <c r="N51" s="2990">
        <f t="shared" si="33"/>
        <v>4.3778675988638847E-2</v>
      </c>
      <c r="O51" s="2991">
        <f t="shared" si="33"/>
        <v>3.9114251466784385E-2</v>
      </c>
      <c r="P51" s="2991">
        <f t="shared" si="34"/>
        <v>2.1433929911049188E-2</v>
      </c>
      <c r="Q51" s="2991">
        <f t="shared" si="34"/>
        <v>3.7526972511492629E-4</v>
      </c>
      <c r="R51" s="2937"/>
      <c r="S51" s="2943">
        <f>B51/B52-1</f>
        <v>4.3778675988638716E-2</v>
      </c>
      <c r="T51" s="2944">
        <f>C51/C52-1</f>
        <v>3.91142514667846E-2</v>
      </c>
      <c r="U51" s="2944">
        <f>E51/E52-1</f>
        <v>2.143392991104931E-2</v>
      </c>
      <c r="V51" s="2944">
        <f>F51/F52-1</f>
        <v>3.7526972511492396E-4</v>
      </c>
      <c r="X51" s="2989"/>
      <c r="Y51" s="2989"/>
      <c r="Z51" s="2989"/>
    </row>
    <row r="52" spans="1:26" ht="13.5" thickBot="1">
      <c r="A52" s="2919" t="s">
        <v>2762</v>
      </c>
      <c r="B52" s="2953">
        <v>138</v>
      </c>
      <c r="C52" s="2953">
        <v>131</v>
      </c>
      <c r="D52" s="2953">
        <f t="shared" si="9"/>
        <v>131</v>
      </c>
      <c r="E52" s="2953">
        <v>155</v>
      </c>
      <c r="F52" s="2954">
        <v>114</v>
      </c>
      <c r="G52" s="3897">
        <v>2005</v>
      </c>
      <c r="H52" s="2945">
        <v>4</v>
      </c>
      <c r="I52" s="2945">
        <v>3.29</v>
      </c>
      <c r="J52" s="2945">
        <v>1.44</v>
      </c>
      <c r="K52" s="2945">
        <v>0.66</v>
      </c>
      <c r="L52" s="2946">
        <v>7.78</v>
      </c>
      <c r="N52" s="2987">
        <f t="shared" ref="N52:O55" si="37">I52/SUM(I$52:I$55)*(B$52/B$56-1)</f>
        <v>9.9404603216919935E-2</v>
      </c>
      <c r="O52" s="2988">
        <f t="shared" si="37"/>
        <v>4.7636550760861554E-2</v>
      </c>
      <c r="P52" s="2988">
        <f t="shared" ref="P52:Q55" si="38">K52/SUM(K$52:K$55)*(E$52/E$56-1)</f>
        <v>8.3756345177664976E-2</v>
      </c>
      <c r="Q52" s="2988">
        <f t="shared" si="38"/>
        <v>5.2148766661559584E-2</v>
      </c>
      <c r="R52" s="2937"/>
      <c r="S52" s="2938"/>
      <c r="T52" s="2939"/>
      <c r="U52" s="2939"/>
      <c r="V52" s="2939"/>
      <c r="X52" s="2989"/>
      <c r="Y52" s="2989"/>
      <c r="Z52" s="2989"/>
    </row>
    <row r="53" spans="1:26">
      <c r="A53" s="2919" t="s">
        <v>2763</v>
      </c>
      <c r="B53" s="2940">
        <f t="shared" ref="B53:C55" si="39">B54+(B$52-B$56)*I53/SUM(I$52:I$55)</f>
        <v>125.9720430107527</v>
      </c>
      <c r="C53" s="2940">
        <f t="shared" si="39"/>
        <v>125.1883408071749</v>
      </c>
      <c r="D53" s="2940">
        <f t="shared" si="9"/>
        <v>125.1883408071749</v>
      </c>
      <c r="E53" s="2940">
        <f t="shared" ref="E53:F55" si="40">E54+(E$52-E$56)*K53/SUM(K$52:K$55)</f>
        <v>144.61421319796952</v>
      </c>
      <c r="F53" s="2940">
        <f t="shared" si="40"/>
        <v>108.42008196721311</v>
      </c>
      <c r="G53" s="3898">
        <v>2005</v>
      </c>
      <c r="H53" s="2950">
        <v>3</v>
      </c>
      <c r="I53" s="2950">
        <v>0.46</v>
      </c>
      <c r="J53" s="2950">
        <v>0.32</v>
      </c>
      <c r="K53" s="2950">
        <v>0.42</v>
      </c>
      <c r="L53" s="2951">
        <v>0.64</v>
      </c>
      <c r="N53" s="2987">
        <f t="shared" si="37"/>
        <v>1.3898515951301874E-2</v>
      </c>
      <c r="O53" s="2988">
        <f t="shared" si="37"/>
        <v>1.0585900169080346E-2</v>
      </c>
      <c r="P53" s="2988">
        <f t="shared" si="38"/>
        <v>5.3299492385786795E-2</v>
      </c>
      <c r="Q53" s="2988">
        <f t="shared" si="38"/>
        <v>4.2898728359123568E-3</v>
      </c>
      <c r="R53" s="2937"/>
      <c r="S53" s="2935"/>
      <c r="T53" s="2936"/>
      <c r="U53" s="2936"/>
      <c r="V53" s="2936"/>
      <c r="X53" s="2989"/>
      <c r="Y53" s="2989"/>
      <c r="Z53" s="2989"/>
    </row>
    <row r="54" spans="1:26">
      <c r="A54" s="2919" t="s">
        <v>2764</v>
      </c>
      <c r="B54" s="2940">
        <f t="shared" si="39"/>
        <v>124.29032258064517</v>
      </c>
      <c r="C54" s="2940">
        <f t="shared" si="39"/>
        <v>123.8968609865471</v>
      </c>
      <c r="D54" s="2940">
        <f t="shared" si="9"/>
        <v>123.8968609865471</v>
      </c>
      <c r="E54" s="2940">
        <f t="shared" si="40"/>
        <v>138.00507614213197</v>
      </c>
      <c r="F54" s="2940">
        <f t="shared" si="40"/>
        <v>107.96106557377048</v>
      </c>
      <c r="G54" s="3898">
        <v>2005</v>
      </c>
      <c r="H54" s="2925">
        <v>2</v>
      </c>
      <c r="I54" s="2925">
        <v>0.47</v>
      </c>
      <c r="J54" s="2925">
        <v>0.1</v>
      </c>
      <c r="K54" s="2925">
        <v>0.52</v>
      </c>
      <c r="L54" s="2942">
        <v>0.79</v>
      </c>
      <c r="N54" s="2987">
        <f t="shared" si="37"/>
        <v>1.420065760241713E-2</v>
      </c>
      <c r="O54" s="2988">
        <f t="shared" si="37"/>
        <v>3.3080938028376083E-3</v>
      </c>
      <c r="P54" s="2988">
        <f t="shared" si="38"/>
        <v>6.598984771573603E-2</v>
      </c>
      <c r="Q54" s="2988">
        <f t="shared" si="38"/>
        <v>5.2953117818293153E-3</v>
      </c>
      <c r="R54" s="2937"/>
      <c r="S54" s="2935"/>
      <c r="T54" s="2936"/>
      <c r="U54" s="2936"/>
      <c r="V54" s="2936"/>
      <c r="X54" s="2989"/>
      <c r="Y54" s="2989"/>
      <c r="Z54" s="2989"/>
    </row>
    <row r="55" spans="1:26">
      <c r="A55" s="2919" t="s">
        <v>2765</v>
      </c>
      <c r="B55" s="2940">
        <f t="shared" si="39"/>
        <v>122.57204301075269</v>
      </c>
      <c r="C55" s="2940">
        <f t="shared" si="39"/>
        <v>123.4932735426009</v>
      </c>
      <c r="D55" s="2940">
        <f t="shared" si="9"/>
        <v>123.4932735426009</v>
      </c>
      <c r="E55" s="2940">
        <f t="shared" si="40"/>
        <v>129.82233502538071</v>
      </c>
      <c r="F55" s="2940">
        <f t="shared" si="40"/>
        <v>107.39446721311475</v>
      </c>
      <c r="G55" s="3899">
        <v>2005</v>
      </c>
      <c r="H55" s="2924">
        <v>1</v>
      </c>
      <c r="I55" s="2924">
        <v>0.43</v>
      </c>
      <c r="J55" s="2924">
        <v>0.37</v>
      </c>
      <c r="K55" s="2924">
        <v>0.37</v>
      </c>
      <c r="L55" s="2941">
        <v>0.55000000000000004</v>
      </c>
      <c r="N55" s="2990">
        <f t="shared" si="37"/>
        <v>1.2992090997956099E-2</v>
      </c>
      <c r="O55" s="2991">
        <f t="shared" si="37"/>
        <v>1.2239947070499151E-2</v>
      </c>
      <c r="P55" s="2991">
        <f t="shared" si="38"/>
        <v>4.6954314720812178E-2</v>
      </c>
      <c r="Q55" s="2991">
        <f t="shared" si="38"/>
        <v>3.6866094683621815E-3</v>
      </c>
      <c r="R55" s="2937"/>
      <c r="S55" s="2943">
        <f>B55/B56-1</f>
        <v>1.2992090997956174E-2</v>
      </c>
      <c r="T55" s="2944">
        <f>C55/C56-1</f>
        <v>1.2239947070499246E-2</v>
      </c>
      <c r="U55" s="2944">
        <f>E55/E56-1</f>
        <v>4.695431472081224E-2</v>
      </c>
      <c r="V55" s="2944">
        <f>F55/F56-1</f>
        <v>3.6866094683620787E-3</v>
      </c>
      <c r="X55" s="2989"/>
      <c r="Y55" s="2989"/>
      <c r="Z55" s="2989"/>
    </row>
    <row r="56" spans="1:26" ht="13.5" thickBot="1">
      <c r="A56" s="2919" t="s">
        <v>2766</v>
      </c>
      <c r="B56" s="2974">
        <v>121</v>
      </c>
      <c r="C56" s="2974">
        <v>122</v>
      </c>
      <c r="D56" s="2974">
        <f t="shared" si="9"/>
        <v>122</v>
      </c>
      <c r="E56" s="2974">
        <v>124</v>
      </c>
      <c r="F56" s="2975">
        <v>107</v>
      </c>
      <c r="G56" s="3897">
        <v>2004</v>
      </c>
      <c r="H56" s="2945">
        <v>4</v>
      </c>
      <c r="I56" s="2945">
        <v>0.33</v>
      </c>
      <c r="J56" s="2945">
        <v>0.5</v>
      </c>
      <c r="K56" s="2945">
        <v>0.5</v>
      </c>
      <c r="L56" s="2946">
        <v>0</v>
      </c>
      <c r="N56" s="2987">
        <f t="shared" ref="N56:O59" si="41">I56/SUM(I$56:I$59)*(B$56/B$60-1)</f>
        <v>1.3391770148526898E-2</v>
      </c>
      <c r="O56" s="2988">
        <f t="shared" si="41"/>
        <v>1.063264221158958E-2</v>
      </c>
      <c r="P56" s="2988">
        <f t="shared" ref="P56:Q59" si="42">K56/SUM(K$56:K$59)*(E$56/E$60-1)</f>
        <v>2.2244466688911134E-2</v>
      </c>
      <c r="Q56" s="2988">
        <f t="shared" si="42"/>
        <v>0</v>
      </c>
      <c r="R56" s="2937"/>
      <c r="S56" s="2938"/>
      <c r="T56" s="2939"/>
      <c r="U56" s="2939"/>
      <c r="V56" s="2939"/>
      <c r="X56" s="2989"/>
      <c r="Y56" s="2989"/>
      <c r="Z56" s="2989"/>
    </row>
    <row r="57" spans="1:26">
      <c r="A57" s="2919" t="s">
        <v>2767</v>
      </c>
      <c r="B57" s="2940">
        <f t="shared" ref="B57:C59" si="43">B58+(B$56-B$60)*I57/SUM(I$56:I$59)</f>
        <v>119.51351351351352</v>
      </c>
      <c r="C57" s="2940">
        <f t="shared" si="43"/>
        <v>120.7878787878788</v>
      </c>
      <c r="D57" s="2940">
        <f t="shared" si="9"/>
        <v>120.7878787878788</v>
      </c>
      <c r="E57" s="2940">
        <f t="shared" ref="E57:F59" si="44">E58+(E$56-E$60)*K57/SUM(K$56:K$59)</f>
        <v>121.5975975975976</v>
      </c>
      <c r="F57" s="2940">
        <f t="shared" si="44"/>
        <v>107</v>
      </c>
      <c r="G57" s="3898">
        <v>2004</v>
      </c>
      <c r="H57" s="2950">
        <v>3</v>
      </c>
      <c r="I57" s="2950">
        <v>0.56000000000000005</v>
      </c>
      <c r="J57" s="2950">
        <v>0.8</v>
      </c>
      <c r="K57" s="2950">
        <v>0.83</v>
      </c>
      <c r="L57" s="2951">
        <v>0.06</v>
      </c>
      <c r="N57" s="2987">
        <f t="shared" si="41"/>
        <v>2.2725428130833527E-2</v>
      </c>
      <c r="O57" s="2988">
        <f t="shared" si="41"/>
        <v>1.7012227538543329E-2</v>
      </c>
      <c r="P57" s="2988">
        <f t="shared" si="42"/>
        <v>3.6925814703592477E-2</v>
      </c>
      <c r="Q57" s="2988">
        <f t="shared" si="42"/>
        <v>2.8846153846153744E-2</v>
      </c>
      <c r="R57" s="2937"/>
      <c r="S57" s="2935"/>
      <c r="T57" s="2936"/>
      <c r="U57" s="2936"/>
      <c r="V57" s="2936"/>
      <c r="X57" s="2989"/>
      <c r="Y57" s="2989"/>
      <c r="Z57" s="2989"/>
    </row>
    <row r="58" spans="1:26">
      <c r="A58" s="2919" t="s">
        <v>2768</v>
      </c>
      <c r="B58" s="2940">
        <f t="shared" si="43"/>
        <v>116.99099099099099</v>
      </c>
      <c r="C58" s="2940">
        <f t="shared" si="43"/>
        <v>118.84848484848486</v>
      </c>
      <c r="D58" s="2940">
        <f t="shared" si="9"/>
        <v>118.84848484848486</v>
      </c>
      <c r="E58" s="2940">
        <f t="shared" si="44"/>
        <v>117.60960960960961</v>
      </c>
      <c r="F58" s="2940">
        <f t="shared" si="44"/>
        <v>104</v>
      </c>
      <c r="G58" s="3898">
        <v>2004</v>
      </c>
      <c r="H58" s="2925">
        <v>2</v>
      </c>
      <c r="I58" s="2925">
        <v>1</v>
      </c>
      <c r="J58" s="2925">
        <v>1.5</v>
      </c>
      <c r="K58" s="2925">
        <v>1.5</v>
      </c>
      <c r="L58" s="2942">
        <v>0</v>
      </c>
      <c r="N58" s="2987">
        <f t="shared" si="41"/>
        <v>4.0581121662202721E-2</v>
      </c>
      <c r="O58" s="2988">
        <f t="shared" si="41"/>
        <v>3.1897926634768738E-2</v>
      </c>
      <c r="P58" s="2988">
        <f t="shared" si="42"/>
        <v>6.6733400066733395E-2</v>
      </c>
      <c r="Q58" s="2988">
        <f t="shared" si="42"/>
        <v>0</v>
      </c>
      <c r="R58" s="2937"/>
      <c r="S58" s="2935"/>
      <c r="T58" s="2936"/>
      <c r="U58" s="2936"/>
      <c r="V58" s="2936"/>
      <c r="X58" s="2989"/>
      <c r="Y58" s="2989"/>
      <c r="Z58" s="2989"/>
    </row>
    <row r="59" spans="1:26" s="2980" customFormat="1" ht="13.5" thickBot="1">
      <c r="A59" s="2919" t="s">
        <v>2769</v>
      </c>
      <c r="B59" s="2977">
        <f t="shared" si="43"/>
        <v>112.48648648648648</v>
      </c>
      <c r="C59" s="2977">
        <f t="shared" si="43"/>
        <v>115.21212121212122</v>
      </c>
      <c r="D59" s="2977">
        <f t="shared" si="9"/>
        <v>115.21212121212122</v>
      </c>
      <c r="E59" s="2977">
        <f t="shared" si="44"/>
        <v>110.4024024024024</v>
      </c>
      <c r="F59" s="2977">
        <f t="shared" si="44"/>
        <v>104</v>
      </c>
      <c r="G59" s="3899">
        <v>2004</v>
      </c>
      <c r="H59" s="2978">
        <v>1</v>
      </c>
      <c r="I59" s="2978">
        <v>0.33</v>
      </c>
      <c r="J59" s="2978">
        <v>0.5</v>
      </c>
      <c r="K59" s="2978">
        <v>0.5</v>
      </c>
      <c r="L59" s="2979">
        <v>0</v>
      </c>
      <c r="N59" s="2992">
        <f t="shared" si="41"/>
        <v>1.3391770148526898E-2</v>
      </c>
      <c r="O59" s="2993">
        <f t="shared" si="41"/>
        <v>1.063264221158958E-2</v>
      </c>
      <c r="P59" s="2993">
        <f t="shared" si="42"/>
        <v>2.2244466688911134E-2</v>
      </c>
      <c r="Q59" s="2993">
        <f t="shared" si="42"/>
        <v>0</v>
      </c>
      <c r="R59" s="2983"/>
      <c r="S59" s="2981">
        <f>B59/B60-1</f>
        <v>1.3391770148526883E-2</v>
      </c>
      <c r="T59" s="2982">
        <f>C59/C60-1</f>
        <v>1.063264221158966E-2</v>
      </c>
      <c r="U59" s="2982">
        <f>E59/E60-1</f>
        <v>2.2244466688911224E-2</v>
      </c>
      <c r="V59" s="2982">
        <f>F59/F60-1</f>
        <v>0</v>
      </c>
      <c r="X59" s="2994"/>
      <c r="Y59" s="2994"/>
      <c r="Z59" s="2994"/>
    </row>
    <row r="60" spans="1:26" ht="13.5" thickBot="1">
      <c r="A60" s="2919" t="s">
        <v>2770</v>
      </c>
      <c r="B60" s="2995">
        <v>111</v>
      </c>
      <c r="C60" s="2995">
        <v>114</v>
      </c>
      <c r="D60" s="2995">
        <f t="shared" si="9"/>
        <v>114</v>
      </c>
      <c r="E60" s="2995">
        <v>108</v>
      </c>
      <c r="F60" s="2996">
        <v>104</v>
      </c>
      <c r="G60" s="3897">
        <v>2003</v>
      </c>
      <c r="H60" s="2985">
        <v>4</v>
      </c>
      <c r="I60" s="2997"/>
      <c r="J60" s="2997"/>
      <c r="K60" s="2997"/>
      <c r="L60" s="2997"/>
      <c r="N60" s="2998"/>
      <c r="O60" s="2997"/>
      <c r="P60" s="2997"/>
      <c r="Q60" s="2997"/>
      <c r="S60" s="2998"/>
      <c r="T60" s="2997"/>
      <c r="U60" s="2997"/>
      <c r="V60" s="2997"/>
      <c r="X60" s="2989"/>
      <c r="Y60" s="2989"/>
      <c r="Z60" s="2989"/>
    </row>
    <row r="61" spans="1:26">
      <c r="A61" s="2919" t="s">
        <v>2771</v>
      </c>
      <c r="B61" s="2999">
        <f t="shared" ref="B61:C63" si="45">B62+(B$60-B$64)/4</f>
        <v>109.75</v>
      </c>
      <c r="C61" s="2999">
        <f t="shared" si="45"/>
        <v>112.25</v>
      </c>
      <c r="D61" s="2999">
        <f t="shared" si="9"/>
        <v>112.25</v>
      </c>
      <c r="E61" s="2999">
        <f t="shared" ref="E61:F63" si="46">E62+(E$60-E$64)/4</f>
        <v>107.25</v>
      </c>
      <c r="F61" s="2999">
        <f t="shared" si="46"/>
        <v>103.5</v>
      </c>
      <c r="G61" s="3898">
        <v>2003</v>
      </c>
      <c r="H61" s="2950">
        <v>3</v>
      </c>
      <c r="I61" s="2997"/>
      <c r="J61" s="2997"/>
      <c r="K61" s="2997"/>
      <c r="L61" s="2997"/>
      <c r="X61" s="2989"/>
      <c r="Y61" s="2989"/>
      <c r="Z61" s="2989"/>
    </row>
    <row r="62" spans="1:26">
      <c r="A62" s="2919" t="s">
        <v>2772</v>
      </c>
      <c r="B62" s="2999">
        <f t="shared" si="45"/>
        <v>108.5</v>
      </c>
      <c r="C62" s="2999">
        <f t="shared" si="45"/>
        <v>110.5</v>
      </c>
      <c r="D62" s="2999">
        <f t="shared" si="9"/>
        <v>110.5</v>
      </c>
      <c r="E62" s="2999">
        <f t="shared" si="46"/>
        <v>106.5</v>
      </c>
      <c r="F62" s="2999">
        <f t="shared" si="46"/>
        <v>103</v>
      </c>
      <c r="G62" s="3898">
        <v>2003</v>
      </c>
      <c r="H62" s="2925">
        <v>2</v>
      </c>
      <c r="I62" s="2997"/>
      <c r="J62" s="2997"/>
      <c r="K62" s="2997"/>
      <c r="L62" s="2997"/>
      <c r="X62" s="2989"/>
      <c r="Y62" s="2989"/>
      <c r="Z62" s="2989"/>
    </row>
    <row r="63" spans="1:26" ht="13.5" thickBot="1">
      <c r="A63" s="2919" t="s">
        <v>2773</v>
      </c>
      <c r="B63" s="2999">
        <f t="shared" si="45"/>
        <v>107.25</v>
      </c>
      <c r="C63" s="2999">
        <f t="shared" si="45"/>
        <v>108.75</v>
      </c>
      <c r="D63" s="2999">
        <f t="shared" si="9"/>
        <v>108.75</v>
      </c>
      <c r="E63" s="2999">
        <f t="shared" si="46"/>
        <v>105.75</v>
      </c>
      <c r="F63" s="2999">
        <f t="shared" si="46"/>
        <v>102.5</v>
      </c>
      <c r="G63" s="3899">
        <v>2003</v>
      </c>
      <c r="H63" s="3000">
        <v>1</v>
      </c>
      <c r="I63" s="2997"/>
      <c r="J63" s="2997"/>
      <c r="K63" s="2997"/>
      <c r="L63" s="2997"/>
      <c r="S63" s="2935"/>
      <c r="T63" s="2936"/>
      <c r="U63" s="2936"/>
      <c r="X63" s="2989"/>
      <c r="Y63" s="2989"/>
      <c r="Z63" s="2989"/>
    </row>
    <row r="64" spans="1:26" ht="13.5" thickBot="1">
      <c r="A64" s="2919" t="s">
        <v>2774</v>
      </c>
      <c r="B64" s="3001">
        <v>106</v>
      </c>
      <c r="C64" s="3001">
        <v>107</v>
      </c>
      <c r="D64" s="3001">
        <f t="shared" si="9"/>
        <v>107</v>
      </c>
      <c r="E64" s="3001">
        <v>105</v>
      </c>
      <c r="F64" s="3002">
        <v>102</v>
      </c>
      <c r="G64" s="3897">
        <v>2002</v>
      </c>
      <c r="H64" s="2945">
        <v>4</v>
      </c>
      <c r="I64" s="2997"/>
      <c r="J64" s="2997"/>
      <c r="K64" s="2997"/>
      <c r="L64" s="2997"/>
      <c r="N64" s="2998"/>
      <c r="O64" s="2997"/>
      <c r="P64" s="2997"/>
      <c r="Q64" s="2997"/>
      <c r="S64" s="2998"/>
      <c r="T64" s="2997"/>
      <c r="U64" s="2997"/>
      <c r="V64" s="2997"/>
      <c r="X64" s="2989"/>
      <c r="Y64" s="2989"/>
      <c r="Z64" s="2989"/>
    </row>
    <row r="65" spans="1:26">
      <c r="A65" s="2919" t="s">
        <v>2775</v>
      </c>
      <c r="B65" s="2999">
        <f t="shared" ref="B65:C67" si="47">B66+(B$64-B$68)/4</f>
        <v>105</v>
      </c>
      <c r="C65" s="2999">
        <f t="shared" si="47"/>
        <v>106</v>
      </c>
      <c r="D65" s="2999">
        <f t="shared" si="9"/>
        <v>106</v>
      </c>
      <c r="E65" s="2999">
        <f t="shared" ref="E65:F67" si="48">E66+(E$64-E$68)/4</f>
        <v>104.5</v>
      </c>
      <c r="F65" s="2999">
        <f t="shared" si="48"/>
        <v>101.5</v>
      </c>
      <c r="G65" s="3898">
        <v>2002</v>
      </c>
      <c r="H65" s="2950">
        <v>3</v>
      </c>
      <c r="I65" s="2997"/>
      <c r="J65" s="2997"/>
      <c r="K65" s="2997"/>
      <c r="L65" s="2997"/>
      <c r="X65" s="2989"/>
      <c r="Y65" s="2989"/>
      <c r="Z65" s="2989"/>
    </row>
    <row r="66" spans="1:26">
      <c r="A66" s="2919" t="s">
        <v>2776</v>
      </c>
      <c r="B66" s="2999">
        <f t="shared" si="47"/>
        <v>104</v>
      </c>
      <c r="C66" s="2999">
        <f t="shared" si="47"/>
        <v>105</v>
      </c>
      <c r="D66" s="2999">
        <f t="shared" si="9"/>
        <v>105</v>
      </c>
      <c r="E66" s="2999">
        <f t="shared" si="48"/>
        <v>104</v>
      </c>
      <c r="F66" s="2999">
        <f t="shared" si="48"/>
        <v>101</v>
      </c>
      <c r="G66" s="3898">
        <v>2002</v>
      </c>
      <c r="H66" s="2925">
        <v>2</v>
      </c>
      <c r="I66" s="2997"/>
      <c r="J66" s="2997"/>
      <c r="K66" s="2997"/>
      <c r="L66" s="2997"/>
      <c r="X66" s="2989"/>
      <c r="Y66" s="2989"/>
      <c r="Z66" s="2989"/>
    </row>
    <row r="67" spans="1:26" s="2961" customFormat="1" ht="13.5" thickBot="1">
      <c r="A67" s="2957" t="s">
        <v>2777</v>
      </c>
      <c r="B67" s="3003">
        <f t="shared" si="47"/>
        <v>103</v>
      </c>
      <c r="C67" s="3003">
        <f t="shared" si="47"/>
        <v>104</v>
      </c>
      <c r="D67" s="3003">
        <f t="shared" si="9"/>
        <v>104</v>
      </c>
      <c r="E67" s="3003">
        <f t="shared" si="48"/>
        <v>103.5</v>
      </c>
      <c r="F67" s="3003">
        <f t="shared" si="48"/>
        <v>100.5</v>
      </c>
      <c r="G67" s="3899">
        <v>2002</v>
      </c>
      <c r="H67" s="3004">
        <v>1</v>
      </c>
      <c r="I67" s="3005"/>
      <c r="J67" s="3005"/>
      <c r="K67" s="3005"/>
      <c r="L67" s="3005"/>
      <c r="N67" s="3006"/>
      <c r="S67" s="3006"/>
      <c r="X67" s="3007"/>
      <c r="Y67" s="3007"/>
      <c r="Z67" s="3007"/>
    </row>
    <row r="68" spans="1:26" ht="13.5" thickBot="1">
      <c r="B68" s="3008">
        <v>102</v>
      </c>
      <c r="C68" s="3009">
        <v>103</v>
      </c>
      <c r="D68" s="3009">
        <f t="shared" si="9"/>
        <v>103</v>
      </c>
      <c r="E68" s="3009">
        <v>103</v>
      </c>
      <c r="F68" s="3010">
        <v>100</v>
      </c>
      <c r="I68" s="2997"/>
      <c r="J68" s="2997"/>
      <c r="K68" s="2997"/>
      <c r="L68" s="2997"/>
      <c r="N68" s="2998"/>
      <c r="O68" s="2997"/>
      <c r="P68" s="2997"/>
      <c r="Q68" s="2997"/>
      <c r="S68" s="2998"/>
      <c r="T68" s="2997"/>
      <c r="U68" s="2997"/>
      <c r="V68" s="2997"/>
      <c r="X68" s="2939"/>
      <c r="Y68" s="2939"/>
      <c r="Z68" s="2939"/>
    </row>
    <row r="70" spans="1:26" s="3012" customFormat="1">
      <c r="A70" s="3011" t="s">
        <v>2778</v>
      </c>
      <c r="G70" s="3013"/>
      <c r="N70" s="3013"/>
      <c r="S70" s="3013"/>
    </row>
    <row r="71" spans="1:26" s="3012" customFormat="1">
      <c r="A71" s="3012" t="s">
        <v>2779</v>
      </c>
      <c r="G71" s="3013"/>
      <c r="N71" s="3013"/>
      <c r="S71" s="3013"/>
    </row>
    <row r="72" spans="1:26" s="3012" customFormat="1">
      <c r="A72" s="3012" t="s">
        <v>2780</v>
      </c>
      <c r="G72" s="3013"/>
      <c r="I72" s="3014"/>
      <c r="J72" s="3014"/>
      <c r="K72" s="3014"/>
      <c r="L72" s="3014"/>
      <c r="N72" s="3015"/>
      <c r="O72" s="3014"/>
      <c r="P72" s="3014"/>
      <c r="Q72" s="3014"/>
      <c r="S72" s="3015"/>
      <c r="T72" s="3014"/>
      <c r="U72" s="3014"/>
      <c r="V72" s="3014"/>
    </row>
    <row r="73" spans="1:26" s="3012" customFormat="1">
      <c r="A73" s="3012" t="s">
        <v>2781</v>
      </c>
      <c r="G73" s="3013"/>
      <c r="N73" s="3013"/>
      <c r="S73" s="3013"/>
    </row>
    <row r="80" spans="1:26" ht="13.5" thickBot="1"/>
    <row r="81" spans="14:22" s="2934" customFormat="1">
      <c r="N81" s="2949"/>
      <c r="S81" s="3016" t="s">
        <v>2782</v>
      </c>
      <c r="T81" s="3017" t="s">
        <v>2783</v>
      </c>
      <c r="U81" s="3017" t="s">
        <v>2784</v>
      </c>
      <c r="V81" s="3017" t="s">
        <v>2785</v>
      </c>
    </row>
    <row r="82" spans="14:22" s="2934" customFormat="1">
      <c r="N82" s="2938"/>
      <c r="O82" s="2939"/>
      <c r="P82" s="2939"/>
      <c r="Q82" s="2939"/>
      <c r="S82" s="3018">
        <v>2006</v>
      </c>
      <c r="T82" s="3019">
        <v>15.1</v>
      </c>
      <c r="U82" s="3019">
        <v>7.43</v>
      </c>
      <c r="V82" s="3019">
        <v>26.26</v>
      </c>
    </row>
    <row r="83" spans="14:22" s="2934" customFormat="1">
      <c r="N83" s="2938"/>
      <c r="O83" s="2939"/>
      <c r="P83" s="2939"/>
      <c r="Q83" s="2939"/>
      <c r="S83" s="3020">
        <v>2005</v>
      </c>
      <c r="T83" s="3021">
        <v>13.9</v>
      </c>
      <c r="U83" s="3021">
        <v>7.49</v>
      </c>
      <c r="V83" s="3021">
        <v>24.92</v>
      </c>
    </row>
    <row r="84" spans="14:22" s="2934" customFormat="1">
      <c r="N84" s="2938"/>
      <c r="O84" s="2939"/>
      <c r="P84" s="2939"/>
      <c r="Q84" s="2939"/>
      <c r="S84" s="3018">
        <v>2004</v>
      </c>
      <c r="T84" s="3019">
        <v>9.48</v>
      </c>
      <c r="U84" s="3019">
        <v>7.2</v>
      </c>
      <c r="V84" s="3019">
        <v>14.68</v>
      </c>
    </row>
    <row r="85" spans="14:22" s="2934" customFormat="1">
      <c r="N85" s="2938"/>
      <c r="O85" s="2939"/>
      <c r="P85" s="2939"/>
      <c r="Q85" s="2939"/>
      <c r="S85" s="3020">
        <v>2003</v>
      </c>
      <c r="T85" s="3021">
        <v>4.5</v>
      </c>
      <c r="U85" s="3021">
        <v>6.12</v>
      </c>
      <c r="V85" s="3021">
        <v>2.34</v>
      </c>
    </row>
    <row r="86" spans="14:22" s="2934" customFormat="1" ht="13.5" thickBot="1">
      <c r="N86" s="2938"/>
      <c r="O86" s="2939"/>
      <c r="P86" s="2939"/>
      <c r="Q86" s="2939"/>
      <c r="S86" s="3022">
        <v>2002</v>
      </c>
      <c r="T86" s="3023">
        <v>3.59</v>
      </c>
      <c r="U86" s="3023">
        <v>4.54</v>
      </c>
      <c r="V86" s="3023">
        <v>2.5499999999999998</v>
      </c>
    </row>
    <row r="87" spans="14:22" s="2934" customFormat="1">
      <c r="N87" s="2938"/>
      <c r="O87" s="2939"/>
      <c r="P87" s="2939"/>
      <c r="Q87" s="2939"/>
      <c r="S87" s="2949"/>
    </row>
    <row r="88" spans="14:22" s="2934" customFormat="1">
      <c r="N88" s="2938"/>
      <c r="O88" s="2939"/>
      <c r="P88" s="2939"/>
      <c r="Q88" s="2939"/>
      <c r="S88" s="2949"/>
    </row>
    <row r="89" spans="14:22" s="2934" customFormat="1">
      <c r="N89" s="2938"/>
      <c r="O89" s="2939"/>
      <c r="P89" s="2939"/>
      <c r="Q89" s="2939"/>
      <c r="S89" s="2949"/>
    </row>
    <row r="90" spans="14:22" s="2934" customFormat="1">
      <c r="N90" s="2938"/>
      <c r="O90" s="2939"/>
      <c r="P90" s="2939"/>
      <c r="Q90" s="2939"/>
      <c r="S90" s="2949"/>
    </row>
    <row r="91" spans="14:22" s="2934" customFormat="1">
      <c r="N91" s="2938"/>
      <c r="O91" s="2939"/>
      <c r="P91" s="2939"/>
      <c r="Q91" s="2939"/>
      <c r="S91" s="2949"/>
    </row>
    <row r="92" spans="14:22" s="2934" customFormat="1">
      <c r="N92" s="2938"/>
      <c r="O92" s="2939"/>
      <c r="P92" s="2939"/>
      <c r="Q92" s="2939"/>
      <c r="S92" s="2949"/>
    </row>
    <row r="93" spans="14:22" s="2934" customFormat="1">
      <c r="N93" s="2938"/>
      <c r="O93" s="2939"/>
      <c r="P93" s="2939"/>
      <c r="Q93" s="2939"/>
      <c r="S93" s="2949"/>
    </row>
    <row r="94" spans="14:22" s="2934" customFormat="1">
      <c r="N94" s="2938"/>
      <c r="O94" s="2939"/>
      <c r="P94" s="2939"/>
      <c r="Q94" s="2939"/>
      <c r="S94" s="2949"/>
    </row>
    <row r="95" spans="14:22" s="2934" customFormat="1">
      <c r="N95" s="2938"/>
      <c r="O95" s="2939"/>
      <c r="P95" s="2939"/>
      <c r="Q95" s="2939"/>
      <c r="S95" s="2949"/>
    </row>
    <row r="96" spans="14:22" s="2934" customFormat="1">
      <c r="N96" s="2938"/>
      <c r="O96" s="2939"/>
      <c r="P96" s="2939"/>
      <c r="Q96" s="2939"/>
      <c r="S96" s="2949"/>
    </row>
    <row r="97" spans="14:17" s="2934" customFormat="1">
      <c r="N97" s="2938"/>
      <c r="O97" s="2939"/>
      <c r="P97" s="2939"/>
      <c r="Q97" s="2939"/>
    </row>
    <row r="98" spans="14:17" s="2934" customFormat="1">
      <c r="N98" s="2938"/>
      <c r="O98" s="2939"/>
      <c r="P98" s="2939"/>
      <c r="Q98" s="2939"/>
    </row>
    <row r="99" spans="14:17" s="2934" customFormat="1">
      <c r="N99" s="2938"/>
      <c r="O99" s="2939"/>
      <c r="P99" s="2939"/>
      <c r="Q99" s="2939"/>
    </row>
    <row r="100" spans="14:17" s="2934" customFormat="1">
      <c r="N100" s="2938"/>
      <c r="O100" s="2939"/>
      <c r="P100" s="2939"/>
      <c r="Q100" s="2939"/>
    </row>
    <row r="101" spans="14:17" s="2934" customFormat="1">
      <c r="N101" s="2938"/>
      <c r="O101" s="2939"/>
      <c r="P101" s="2939"/>
      <c r="Q101" s="2939"/>
    </row>
    <row r="102" spans="14:17" s="2934" customFormat="1">
      <c r="N102" s="2938"/>
      <c r="O102" s="2939"/>
      <c r="P102" s="2939"/>
      <c r="Q102" s="2939"/>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2384</v>
      </c>
      <c r="C1" s="3910" t="s">
        <v>2385</v>
      </c>
      <c r="D1" s="3911"/>
      <c r="E1" s="3911"/>
      <c r="F1" s="3911"/>
      <c r="G1" s="3911"/>
      <c r="H1" s="3911"/>
      <c r="I1" s="3911"/>
      <c r="J1" s="3911"/>
      <c r="K1" s="3911"/>
      <c r="L1" s="3911"/>
      <c r="M1" s="3911"/>
      <c r="N1" s="3911"/>
      <c r="O1" s="3911"/>
      <c r="P1" s="3911"/>
      <c r="Q1" s="3911"/>
      <c r="R1" s="3911"/>
      <c r="S1" s="3912"/>
      <c r="T1" s="2442" t="s">
        <v>2386</v>
      </c>
    </row>
    <row r="2" spans="1:45" s="1116" customFormat="1">
      <c r="A2" s="2443"/>
      <c r="B2" s="1112" t="s">
        <v>2387</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13"/>
      <c r="G3" s="3213"/>
      <c r="H3" s="3213"/>
      <c r="I3" s="3213"/>
      <c r="J3" s="3213"/>
      <c r="K3" s="3213"/>
      <c r="L3" s="3214"/>
      <c r="M3" s="3215"/>
      <c r="N3" s="3215"/>
      <c r="O3" s="3213"/>
      <c r="P3" s="3213"/>
      <c r="Q3" s="3213"/>
      <c r="R3" s="3213"/>
      <c r="S3" s="3216"/>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7"/>
      <c r="G4" s="3217"/>
      <c r="H4" s="3217"/>
      <c r="I4" s="3217"/>
      <c r="J4" s="3217"/>
      <c r="K4" s="3217"/>
      <c r="L4" s="3217"/>
      <c r="M4" s="3218"/>
      <c r="N4" s="3218"/>
      <c r="O4" s="3217"/>
      <c r="P4" s="3217"/>
      <c r="Q4" s="3217"/>
      <c r="R4" s="3217"/>
      <c r="S4" s="3219"/>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08" t="s">
        <v>3034</v>
      </c>
      <c r="C5" s="2454"/>
      <c r="D5" s="2455"/>
      <c r="E5" s="2455"/>
      <c r="F5" s="3220"/>
      <c r="G5" s="3220"/>
      <c r="H5" s="3220"/>
      <c r="I5" s="3220"/>
      <c r="J5" s="3220"/>
      <c r="K5" s="3220"/>
      <c r="L5" s="3221"/>
      <c r="M5" s="3222"/>
      <c r="N5" s="3222"/>
      <c r="O5" s="3220"/>
      <c r="P5" s="3220"/>
      <c r="Q5" s="3220"/>
      <c r="R5" s="3220"/>
      <c r="S5" s="3223"/>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9" t="s">
        <v>3033</v>
      </c>
      <c r="C7" s="2209"/>
      <c r="D7" s="2203"/>
      <c r="E7" s="2203"/>
      <c r="F7" s="3225"/>
      <c r="G7" s="3225"/>
      <c r="H7" s="3225"/>
      <c r="I7" s="3225"/>
      <c r="J7" s="3225"/>
      <c r="K7" s="3225"/>
      <c r="L7" s="3225"/>
      <c r="M7" s="3226"/>
      <c r="N7" s="3227"/>
      <c r="O7" s="3228"/>
      <c r="P7" s="3229"/>
      <c r="Q7" s="3230"/>
      <c r="R7" s="3231"/>
      <c r="S7" s="3232"/>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9" t="s">
        <v>3032</v>
      </c>
      <c r="C9" s="2209"/>
      <c r="D9" s="2203"/>
      <c r="E9" s="2203"/>
      <c r="F9" s="3225"/>
      <c r="G9" s="3225"/>
      <c r="H9" s="3225"/>
      <c r="I9" s="3225"/>
      <c r="J9" s="3225"/>
      <c r="K9" s="3225"/>
      <c r="L9" s="3233"/>
      <c r="M9" s="3226"/>
      <c r="N9" s="3227"/>
      <c r="O9" s="3228"/>
      <c r="P9" s="3229"/>
      <c r="Q9" s="3230"/>
      <c r="R9" s="3231"/>
      <c r="S9" s="3232"/>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8" t="s">
        <v>3031</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8" t="s">
        <v>3030</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8" t="s">
        <v>3029</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2388</v>
      </c>
      <c r="B17" s="2486" t="s">
        <v>2389</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519</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520</v>
      </c>
      <c r="B21" s="673">
        <f>R22</f>
        <v>10000</v>
      </c>
      <c r="C21" s="500"/>
      <c r="D21" s="500"/>
      <c r="E21" s="500"/>
      <c r="F21" s="500"/>
      <c r="G21" s="500"/>
      <c r="H21" s="500"/>
      <c r="I21" s="500"/>
      <c r="J21" s="500"/>
      <c r="K21" s="500"/>
      <c r="L21" s="500"/>
      <c r="M21" s="500"/>
      <c r="N21" s="500"/>
      <c r="O21" s="500"/>
      <c r="P21" s="500"/>
      <c r="Q21" s="500"/>
      <c r="R21" s="1416"/>
      <c r="S21" s="469"/>
    </row>
    <row r="22" spans="1:45">
      <c r="A22" s="698" t="s">
        <v>521</v>
      </c>
      <c r="B22" s="313">
        <f>SUM(B24:B10000)</f>
        <v>100</v>
      </c>
      <c r="C22" s="3907" t="s">
        <v>169</v>
      </c>
      <c r="D22" s="3908"/>
      <c r="E22" s="3908"/>
      <c r="F22" s="3908"/>
      <c r="G22" s="3908"/>
      <c r="H22" s="3908"/>
      <c r="I22" s="3908"/>
      <c r="J22" s="3908"/>
      <c r="K22" s="3908"/>
      <c r="L22" s="3908"/>
      <c r="M22" s="3908"/>
      <c r="N22" s="3908"/>
      <c r="O22" s="3908"/>
      <c r="P22" s="3908"/>
      <c r="Q22" s="3909"/>
      <c r="R22" s="1125">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6" t="s">
        <v>525</v>
      </c>
      <c r="S23" s="299" t="s">
        <v>526</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527</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812</v>
      </c>
      <c r="B1" s="573"/>
      <c r="C1" s="574"/>
      <c r="D1" s="574"/>
      <c r="E1" s="574"/>
      <c r="F1" s="574"/>
      <c r="G1" s="575"/>
    </row>
    <row r="2" spans="1:7" s="576" customFormat="1" ht="18" customHeight="1">
      <c r="A2" s="577" t="s">
        <v>813</v>
      </c>
      <c r="B2" s="578">
        <f ca="1">C52</f>
        <v>438482</v>
      </c>
      <c r="C2" s="85" t="s">
        <v>862</v>
      </c>
      <c r="D2" s="575"/>
      <c r="E2" s="575"/>
      <c r="F2" s="575"/>
      <c r="G2" s="575"/>
    </row>
    <row r="3" spans="1:7" s="576" customFormat="1" ht="18" customHeight="1" thickBot="1">
      <c r="A3" s="579" t="s">
        <v>814</v>
      </c>
      <c r="B3" s="580">
        <f ca="1">ROUND(B2*10000/'数据-汇总表'!E3,0)</f>
        <v>13448</v>
      </c>
      <c r="C3" s="85" t="s">
        <v>863</v>
      </c>
      <c r="D3" s="575"/>
      <c r="E3" s="575"/>
      <c r="F3" s="575"/>
      <c r="G3" s="575"/>
    </row>
    <row r="4" spans="1:7" s="584" customFormat="1" ht="15.75">
      <c r="A4" s="581" t="s">
        <v>815</v>
      </c>
      <c r="B4" s="582"/>
      <c r="C4" s="582"/>
      <c r="D4" s="582"/>
      <c r="E4" s="582"/>
      <c r="F4" s="582"/>
      <c r="G4" s="583"/>
    </row>
    <row r="5" spans="1:7" s="590" customFormat="1" ht="13.5" customHeight="1">
      <c r="A5" s="631" t="s">
        <v>2506</v>
      </c>
      <c r="B5" s="586" t="s">
        <v>816</v>
      </c>
      <c r="C5" s="587">
        <f>C6+C7+C8</f>
        <v>20610</v>
      </c>
      <c r="D5" s="587" t="s">
        <v>817</v>
      </c>
      <c r="E5" s="588" t="s">
        <v>818</v>
      </c>
      <c r="F5" s="588" t="s">
        <v>819</v>
      </c>
      <c r="G5" s="589"/>
    </row>
    <row r="6" spans="1:7" s="590" customFormat="1" ht="13.5" customHeight="1">
      <c r="A6" s="1804" t="s">
        <v>1918</v>
      </c>
      <c r="B6" s="591" t="s">
        <v>820</v>
      </c>
      <c r="C6" s="592">
        <v>20000</v>
      </c>
      <c r="D6" s="593"/>
      <c r="E6" s="594"/>
      <c r="F6" s="594"/>
      <c r="G6" s="595"/>
    </row>
    <row r="7" spans="1:7" s="590" customFormat="1" ht="13.5" customHeight="1">
      <c r="A7" s="1804" t="s">
        <v>1919</v>
      </c>
      <c r="B7" s="591" t="s">
        <v>345</v>
      </c>
      <c r="C7" s="596">
        <f>ROUND(C6*F7,0)</f>
        <v>610</v>
      </c>
      <c r="D7" s="596"/>
      <c r="E7" s="594"/>
      <c r="F7" s="597">
        <f>'数据-取费表'!B48+'数据-取费表'!B49</f>
        <v>3.0499999999999999E-2</v>
      </c>
      <c r="G7" s="595"/>
    </row>
    <row r="8" spans="1:7" s="599" customFormat="1">
      <c r="A8" s="1804" t="s">
        <v>1920</v>
      </c>
      <c r="B8" s="591" t="s">
        <v>821</v>
      </c>
      <c r="C8" s="596" t="str">
        <f>IF(G8="已包含在土地购买价格中","0",'数据-取费表'!B29)</f>
        <v>0</v>
      </c>
      <c r="D8" s="598"/>
      <c r="E8" s="596"/>
      <c r="F8" s="597"/>
      <c r="G8" s="84" t="s">
        <v>2684</v>
      </c>
    </row>
    <row r="9" spans="1:7" s="590" customFormat="1" ht="13.5" customHeight="1">
      <c r="A9" s="1805" t="s">
        <v>1927</v>
      </c>
      <c r="B9" s="600" t="s">
        <v>822</v>
      </c>
      <c r="C9" s="601">
        <f>ROUND(D9*E9/10000,0)</f>
        <v>0</v>
      </c>
      <c r="D9" s="1909">
        <f>'数据-汇总表'!E5</f>
        <v>0</v>
      </c>
      <c r="E9" s="601">
        <f>'数据-取费表'!B27</f>
        <v>100</v>
      </c>
      <c r="F9" s="597"/>
      <c r="G9" s="602"/>
    </row>
    <row r="10" spans="1:7" s="590" customFormat="1" ht="13.5" customHeight="1">
      <c r="A10" s="1805" t="s">
        <v>1928</v>
      </c>
      <c r="B10" s="600" t="s">
        <v>823</v>
      </c>
      <c r="C10" s="601">
        <f>ROUND(D10*E10/10000,0)</f>
        <v>2445</v>
      </c>
      <c r="D10" s="1909">
        <f>'数据-汇总表'!E6</f>
        <v>326059.4499999999</v>
      </c>
      <c r="E10" s="601">
        <f>'数据-取费表'!B28</f>
        <v>75</v>
      </c>
      <c r="F10" s="597"/>
      <c r="G10" s="602"/>
    </row>
    <row r="11" spans="1:7" s="590" customFormat="1" ht="13.5" hidden="1" customHeight="1">
      <c r="A11" s="603" t="s">
        <v>42</v>
      </c>
      <c r="B11" s="591" t="s">
        <v>824</v>
      </c>
      <c r="C11" s="587"/>
      <c r="D11" s="1911"/>
      <c r="E11" s="594"/>
      <c r="F11" s="594"/>
      <c r="G11" s="595"/>
    </row>
    <row r="12" spans="1:7" s="590" customFormat="1" ht="13.5" hidden="1" customHeight="1">
      <c r="A12" s="603" t="s">
        <v>43</v>
      </c>
      <c r="B12" s="591" t="s">
        <v>825</v>
      </c>
      <c r="C12" s="587">
        <v>0</v>
      </c>
      <c r="D12" s="1911"/>
      <c r="E12" s="604"/>
      <c r="F12" s="597">
        <v>3.0499999999999999E-2</v>
      </c>
      <c r="G12" s="595"/>
    </row>
    <row r="13" spans="1:7" s="590" customFormat="1" ht="13.5" hidden="1" customHeight="1">
      <c r="A13" s="603" t="s">
        <v>44</v>
      </c>
      <c r="B13" s="591" t="s">
        <v>826</v>
      </c>
      <c r="C13" s="587"/>
      <c r="D13" s="1911"/>
      <c r="E13" s="594"/>
      <c r="F13" s="594"/>
      <c r="G13" s="595"/>
    </row>
    <row r="14" spans="1:7" s="590" customFormat="1" ht="13.5" hidden="1" customHeight="1">
      <c r="A14" s="603" t="s">
        <v>45</v>
      </c>
      <c r="B14" s="591" t="s">
        <v>821</v>
      </c>
      <c r="C14" s="587"/>
      <c r="D14" s="1911"/>
      <c r="E14" s="594"/>
      <c r="F14" s="594"/>
      <c r="G14" s="595" t="s">
        <v>827</v>
      </c>
    </row>
    <row r="15" spans="1:7" s="590" customFormat="1" ht="13.5" hidden="1" customHeight="1">
      <c r="A15" s="603" t="s">
        <v>46</v>
      </c>
      <c r="B15" s="591" t="s">
        <v>828</v>
      </c>
      <c r="C15" s="596"/>
      <c r="D15" s="1911"/>
      <c r="E15" s="594"/>
      <c r="F15" s="594"/>
      <c r="G15" s="595" t="s">
        <v>829</v>
      </c>
    </row>
    <row r="16" spans="1:7" s="590" customFormat="1" ht="13.5" hidden="1" customHeight="1">
      <c r="A16" s="603" t="s">
        <v>47</v>
      </c>
      <c r="B16" s="591" t="s">
        <v>821</v>
      </c>
      <c r="C16" s="596"/>
      <c r="D16" s="1911"/>
      <c r="E16" s="594"/>
      <c r="F16" s="594"/>
      <c r="G16" s="595"/>
    </row>
    <row r="17" spans="1:7" s="590" customFormat="1" ht="13.5" hidden="1" customHeight="1">
      <c r="A17" s="603" t="s">
        <v>48</v>
      </c>
      <c r="B17" s="591" t="s">
        <v>830</v>
      </c>
      <c r="C17" s="605"/>
      <c r="D17" s="1912"/>
      <c r="E17" s="605"/>
      <c r="F17" s="605"/>
      <c r="G17" s="595" t="s">
        <v>829</v>
      </c>
    </row>
    <row r="18" spans="1:7" s="590" customFormat="1" ht="13.5" hidden="1" customHeight="1">
      <c r="A18" s="603" t="s">
        <v>49</v>
      </c>
      <c r="B18" s="591" t="s">
        <v>831</v>
      </c>
      <c r="C18" s="596">
        <v>0</v>
      </c>
      <c r="D18" s="1911"/>
      <c r="E18" s="594"/>
      <c r="F18" s="597">
        <v>3.0499999999999999E-2</v>
      </c>
      <c r="G18" s="595" t="s">
        <v>832</v>
      </c>
    </row>
    <row r="19" spans="1:7" s="599" customFormat="1" ht="13.5" customHeight="1">
      <c r="A19" s="1803" t="s">
        <v>2507</v>
      </c>
      <c r="B19" s="586" t="s">
        <v>840</v>
      </c>
      <c r="C19" s="587">
        <f>IF(G19="已包含在土地取得成本中","0",ROUND(D19*E19/10000,0))</f>
        <v>16303</v>
      </c>
      <c r="D19" s="1913">
        <f>'数据-汇总表'!E3</f>
        <v>326059.4499999999</v>
      </c>
      <c r="E19" s="587">
        <f>'数据-取费表'!B31</f>
        <v>500</v>
      </c>
      <c r="F19" s="607"/>
      <c r="G19" s="84" t="s">
        <v>2529</v>
      </c>
    </row>
    <row r="20" spans="1:7" s="590" customFormat="1" ht="13.5" customHeight="1">
      <c r="A20" s="1803" t="s">
        <v>2509</v>
      </c>
      <c r="B20" s="586" t="s">
        <v>833</v>
      </c>
      <c r="C20" s="608">
        <f>ROUND((C5+C19)*F20,0)</f>
        <v>1107</v>
      </c>
      <c r="D20" s="608"/>
      <c r="E20" s="608"/>
      <c r="F20" s="609">
        <f>'数据-取费表'!B37</f>
        <v>0.03</v>
      </c>
      <c r="G20" s="2621" t="s">
        <v>2520</v>
      </c>
    </row>
    <row r="21" spans="1:7" s="590" customFormat="1" ht="13.5" customHeight="1">
      <c r="A21" s="1803" t="s">
        <v>2511</v>
      </c>
      <c r="B21" s="586" t="s">
        <v>834</v>
      </c>
      <c r="C21" s="611">
        <f>F21</f>
        <v>0.03</v>
      </c>
      <c r="D21" s="612" t="s">
        <v>855</v>
      </c>
      <c r="E21" s="608"/>
      <c r="F21" s="609">
        <f>'数据-取费表'!B38</f>
        <v>0.03</v>
      </c>
      <c r="G21" s="610" t="s">
        <v>835</v>
      </c>
    </row>
    <row r="22" spans="1:7" s="590" customFormat="1" ht="13.5" customHeight="1">
      <c r="A22" s="1803" t="s">
        <v>1913</v>
      </c>
      <c r="B22" s="586" t="s">
        <v>836</v>
      </c>
      <c r="C22" s="2700">
        <f ca="1">ROUND(SUM(C23:C25),0)</f>
        <v>7428</v>
      </c>
      <c r="D22" s="611">
        <f ca="1">C26</f>
        <v>2.8E-3</v>
      </c>
      <c r="E22" s="612" t="s">
        <v>855</v>
      </c>
      <c r="F22" s="613">
        <f ca="1">'数据-取费表'!B40</f>
        <v>4.7500000000000001E-2</v>
      </c>
      <c r="G22" s="2621" t="str">
        <f>IF('数据-取费表'!B22&lt;=1,"单利计息","复利计息")</f>
        <v>复利计息</v>
      </c>
    </row>
    <row r="23" spans="1:7" s="590" customFormat="1" ht="13.5" customHeight="1">
      <c r="A23" s="1806" t="s">
        <v>1921</v>
      </c>
      <c r="B23" s="591" t="s">
        <v>2513</v>
      </c>
      <c r="C23" s="2701">
        <f ca="1">ROUND(IF('数据-取费表'!B22&lt;=1,C5*F22*'数据-取费表'!B23,C5*(POWER((1+F22),'数据-取费表'!B23)-1)),0)</f>
        <v>4089</v>
      </c>
      <c r="D23" s="614"/>
      <c r="E23" s="614"/>
      <c r="F23" s="615"/>
      <c r="G23" s="616" t="s">
        <v>837</v>
      </c>
    </row>
    <row r="24" spans="1:7" s="590" customFormat="1" ht="13.5" customHeight="1">
      <c r="A24" s="1806" t="s">
        <v>1919</v>
      </c>
      <c r="B24" s="591" t="s">
        <v>2508</v>
      </c>
      <c r="C24" s="2701">
        <f ca="1">ROUND(IF('数据-取费表'!B22&lt;=1,C19*F22*('数据-取费表'!B19/2+'数据-取费表'!B21),C19*(POWER((1+F22),('数据-取费表'!B19/2+'数据-取费表'!B21))-1)),0)</f>
        <v>3234</v>
      </c>
      <c r="D24" s="614"/>
      <c r="E24" s="614"/>
      <c r="F24" s="615"/>
      <c r="G24" s="616" t="s">
        <v>838</v>
      </c>
    </row>
    <row r="25" spans="1:7" s="590" customFormat="1" ht="24">
      <c r="A25" s="1806" t="s">
        <v>1920</v>
      </c>
      <c r="B25" s="591" t="s">
        <v>2510</v>
      </c>
      <c r="C25" s="2701">
        <f ca="1">ROUND(IF('数据-取费表'!B22&lt;=1,C20*F22*'数据-取费表'!B23/2,C20*(POWER((1+F22),'数据-取费表'!B23/2)-1)),0)</f>
        <v>105</v>
      </c>
      <c r="D25" s="614"/>
      <c r="E25" s="617"/>
      <c r="F25" s="615"/>
      <c r="G25" s="618" t="s">
        <v>839</v>
      </c>
    </row>
    <row r="26" spans="1:7" s="590" customFormat="1">
      <c r="A26" s="1806" t="s">
        <v>1922</v>
      </c>
      <c r="B26" s="591" t="s">
        <v>2512</v>
      </c>
      <c r="C26" s="614">
        <f ca="1">ROUND(IF('数据-取费表'!B22&lt;=1,F21*F22*'数据-取费表'!B23/2,F21*(POWER((1+F22),'数据-取费表'!B23/2)-1)),4)</f>
        <v>2.8E-3</v>
      </c>
      <c r="D26" s="614"/>
      <c r="E26" s="617"/>
      <c r="F26" s="615"/>
      <c r="G26" s="619"/>
    </row>
    <row r="27" spans="1:7" s="590" customFormat="1" ht="24.75">
      <c r="A27" s="1803" t="s">
        <v>1914</v>
      </c>
      <c r="B27" s="620" t="s">
        <v>841</v>
      </c>
      <c r="C27" s="621">
        <f>C28</f>
        <v>13716</v>
      </c>
      <c r="D27" s="611">
        <f>C29</f>
        <v>1.0800000000000001E-2</v>
      </c>
      <c r="E27" s="612" t="s">
        <v>855</v>
      </c>
      <c r="F27" s="622">
        <f>'数据-取费表'!Q16</f>
        <v>0.37</v>
      </c>
      <c r="G27" s="623" t="s">
        <v>2521</v>
      </c>
    </row>
    <row r="28" spans="1:7" s="590" customFormat="1" ht="13.5" customHeight="1">
      <c r="A28" s="1806" t="s">
        <v>1921</v>
      </c>
      <c r="B28" s="624" t="s">
        <v>2514</v>
      </c>
      <c r="C28" s="625">
        <f>ROUND((C5+C19+C20)*F27*'数据-取费表'!B21/'数据-取费表'!B20,0)</f>
        <v>13716</v>
      </c>
      <c r="D28" s="611"/>
      <c r="E28" s="612"/>
      <c r="F28" s="622"/>
      <c r="G28" s="623"/>
    </row>
    <row r="29" spans="1:7" s="590" customFormat="1" ht="13.5" customHeight="1">
      <c r="A29" s="1806" t="s">
        <v>1919</v>
      </c>
      <c r="B29" s="624" t="s">
        <v>2515</v>
      </c>
      <c r="C29" s="614">
        <f>ROUND(C21*F27*'数据-取费表'!B21/'数据-取费表'!B20,4)</f>
        <v>1.0800000000000001E-2</v>
      </c>
      <c r="D29" s="611"/>
      <c r="E29" s="612"/>
      <c r="F29" s="622"/>
      <c r="G29" s="623"/>
    </row>
    <row r="30" spans="1:7" s="590" customFormat="1" ht="13.5" customHeight="1">
      <c r="A30" s="1803" t="s">
        <v>1915</v>
      </c>
      <c r="B30" s="586" t="s">
        <v>346</v>
      </c>
      <c r="C30" s="611">
        <f>F30</f>
        <v>5.5000000000000007E-2</v>
      </c>
      <c r="D30" s="612" t="s">
        <v>856</v>
      </c>
      <c r="E30" s="617"/>
      <c r="F30" s="613">
        <f>'数据-取费表'!B41</f>
        <v>5.5000000000000007E-2</v>
      </c>
      <c r="G30" s="610" t="s">
        <v>842</v>
      </c>
    </row>
    <row r="31" spans="1:7" ht="16.5" customHeight="1">
      <c r="A31" s="585">
        <v>1</v>
      </c>
      <c r="B31" s="586" t="s">
        <v>857</v>
      </c>
      <c r="C31" s="587">
        <f ca="1">ROUND((C5+C19+C20+C22+C27)/(1-C21-D22-D27-C30/(1+'数据-取费表'!B42)),0)</f>
        <v>65446</v>
      </c>
      <c r="D31" s="606"/>
      <c r="E31" s="587"/>
      <c r="F31" s="626"/>
      <c r="G31" s="610" t="s">
        <v>2522</v>
      </c>
    </row>
    <row r="32" spans="1:7" s="584" customFormat="1" ht="15.75">
      <c r="A32" s="628" t="s">
        <v>843</v>
      </c>
      <c r="B32" s="629"/>
      <c r="C32" s="629"/>
      <c r="D32" s="629"/>
      <c r="E32" s="629"/>
      <c r="F32" s="629"/>
      <c r="G32" s="630"/>
    </row>
    <row r="33" spans="1:7" s="590" customFormat="1" ht="13.5" customHeight="1">
      <c r="A33" s="631" t="s">
        <v>1909</v>
      </c>
      <c r="B33" s="586" t="s">
        <v>844</v>
      </c>
      <c r="C33" s="632">
        <f>SUM(C34:C38)</f>
        <v>223457</v>
      </c>
      <c r="D33" s="608"/>
      <c r="E33" s="588"/>
      <c r="F33" s="617"/>
      <c r="G33" s="610"/>
    </row>
    <row r="34" spans="1:7" s="634" customFormat="1" ht="13.5" customHeight="1">
      <c r="A34" s="1806" t="s">
        <v>1921</v>
      </c>
      <c r="B34" s="591" t="s">
        <v>347</v>
      </c>
      <c r="C34" s="596">
        <f>IF(F34=100%,'数据-取费表'!M16-SUMIF('数据-取费表'!C:C,"公共配套",'数据-取费表'!M:M),'数据-取费表'!O16-SUMIF('数据-取费表'!C:C,"公共配套",'数据-取费表'!O:O))</f>
        <v>186081</v>
      </c>
      <c r="D34" s="593"/>
      <c r="E34" s="596"/>
      <c r="F34" s="633">
        <f>IF('数据-取费表'!B24=0,1,'数据-取费表'!N16)</f>
        <v>0.98</v>
      </c>
      <c r="G34" s="595" t="s">
        <v>845</v>
      </c>
    </row>
    <row r="35" spans="1:7" ht="13.5" customHeight="1">
      <c r="A35" s="1806" t="s">
        <v>1923</v>
      </c>
      <c r="B35" s="591" t="s">
        <v>348</v>
      </c>
      <c r="C35" s="596">
        <f>ROUND(C34*F35,0)</f>
        <v>18608</v>
      </c>
      <c r="D35" s="596"/>
      <c r="E35" s="596"/>
      <c r="F35" s="635">
        <f>'数据-取费表'!B33</f>
        <v>0.1</v>
      </c>
      <c r="G35" s="595" t="s">
        <v>846</v>
      </c>
    </row>
    <row r="36" spans="1:7" ht="24">
      <c r="A36" s="1806" t="s">
        <v>1924</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6" t="s">
        <v>1925</v>
      </c>
      <c r="B37" s="591" t="s">
        <v>847</v>
      </c>
      <c r="C37" s="625">
        <f>ROUND(E37*D37*F34/10000,0)</f>
        <v>15977</v>
      </c>
      <c r="D37" s="593">
        <f>'数据-汇总表'!E3</f>
        <v>326059.4499999999</v>
      </c>
      <c r="E37" s="625">
        <f>'数据-取费表'!B35</f>
        <v>500</v>
      </c>
      <c r="F37" s="635"/>
      <c r="G37" s="637" t="s">
        <v>848</v>
      </c>
    </row>
    <row r="38" spans="1:7" ht="13.5" customHeight="1">
      <c r="A38" s="1806" t="s">
        <v>1926</v>
      </c>
      <c r="B38" s="591" t="s">
        <v>351</v>
      </c>
      <c r="C38" s="596">
        <f>ROUND(C34*F38,0)</f>
        <v>2791</v>
      </c>
      <c r="D38" s="596"/>
      <c r="E38" s="596"/>
      <c r="F38" s="635">
        <f>'数据-取费表'!B36</f>
        <v>1.4999999999999999E-2</v>
      </c>
      <c r="G38" s="595" t="s">
        <v>846</v>
      </c>
    </row>
    <row r="39" spans="1:7" s="590" customFormat="1" ht="13.5" customHeight="1">
      <c r="A39" s="1803" t="s">
        <v>1910</v>
      </c>
      <c r="B39" s="586" t="s">
        <v>833</v>
      </c>
      <c r="C39" s="608">
        <f>ROUND(C33*F20,0)</f>
        <v>6704</v>
      </c>
      <c r="D39" s="608"/>
      <c r="E39" s="608"/>
      <c r="F39" s="609"/>
      <c r="G39" s="2621" t="s">
        <v>2523</v>
      </c>
    </row>
    <row r="40" spans="1:7" s="590" customFormat="1" ht="13.5" customHeight="1">
      <c r="A40" s="1803" t="s">
        <v>1911</v>
      </c>
      <c r="B40" s="586" t="s">
        <v>834</v>
      </c>
      <c r="C40" s="638">
        <f>F21</f>
        <v>0.03</v>
      </c>
      <c r="D40" s="612" t="s">
        <v>858</v>
      </c>
      <c r="E40" s="608"/>
      <c r="F40" s="609"/>
      <c r="G40" s="610" t="s">
        <v>849</v>
      </c>
    </row>
    <row r="41" spans="1:7" s="590" customFormat="1" ht="13.5" customHeight="1">
      <c r="A41" s="1803" t="s">
        <v>1912</v>
      </c>
      <c r="B41" s="586" t="s">
        <v>836</v>
      </c>
      <c r="C41" s="608">
        <f ca="1">ROUND(SUM(C42:C43),0)</f>
        <v>21799</v>
      </c>
      <c r="D41" s="611">
        <f ca="1">C44</f>
        <v>2.8E-3</v>
      </c>
      <c r="E41" s="612" t="s">
        <v>858</v>
      </c>
      <c r="F41" s="613"/>
      <c r="G41" s="2621" t="str">
        <f>IF('数据-取费表'!B22&lt;=1,"单利计息","复利计息")</f>
        <v>复利计息</v>
      </c>
    </row>
    <row r="42" spans="1:7" ht="13.5" customHeight="1">
      <c r="A42" s="1806" t="s">
        <v>1921</v>
      </c>
      <c r="B42" s="591" t="s">
        <v>2513</v>
      </c>
      <c r="C42" s="614">
        <f ca="1">ROUND(IF('数据-取费表'!B22&lt;=1,C33*F22*'数据-取费表'!B21/2,C33*(POWER((1+F22),'数据-取费表'!B21/2)-1)),0)</f>
        <v>21164</v>
      </c>
      <c r="D42" s="614"/>
      <c r="E42" s="614"/>
      <c r="F42" s="615"/>
      <c r="G42" s="3734" t="s">
        <v>850</v>
      </c>
    </row>
    <row r="43" spans="1:7" ht="13.5" customHeight="1">
      <c r="A43" s="1806" t="s">
        <v>1919</v>
      </c>
      <c r="B43" s="591" t="s">
        <v>2516</v>
      </c>
      <c r="C43" s="614">
        <f ca="1">ROUND(IF('数据-取费表'!B22&lt;=1,C39*F22*'数据-取费表'!B21/2,C39*(POWER((1+F22),'数据-取费表'!B21/2)-1)),0)</f>
        <v>635</v>
      </c>
      <c r="D43" s="614"/>
      <c r="E43" s="614"/>
      <c r="F43" s="615"/>
      <c r="G43" s="3735"/>
    </row>
    <row r="44" spans="1:7" ht="13.5" customHeight="1">
      <c r="A44" s="1806" t="s">
        <v>1920</v>
      </c>
      <c r="B44" s="591" t="s">
        <v>2518</v>
      </c>
      <c r="C44" s="614">
        <f ca="1">ROUND(IF('数据-取费表'!B22&lt;=1,C40*F22*'数据-取费表'!B21/2,C40*(POWER((1+F22),'数据-取费表'!B21/2)-1)),4)</f>
        <v>2.8E-3</v>
      </c>
      <c r="D44" s="614"/>
      <c r="E44" s="614"/>
      <c r="F44" s="615"/>
      <c r="G44" s="3736"/>
    </row>
    <row r="45" spans="1:7" s="590" customFormat="1" ht="13.5" customHeight="1">
      <c r="A45" s="1803" t="s">
        <v>1913</v>
      </c>
      <c r="B45" s="620" t="s">
        <v>841</v>
      </c>
      <c r="C45" s="621">
        <f>C46</f>
        <v>85160</v>
      </c>
      <c r="D45" s="611">
        <f>C47</f>
        <v>1.11E-2</v>
      </c>
      <c r="E45" s="612" t="s">
        <v>858</v>
      </c>
      <c r="F45" s="622"/>
      <c r="G45" s="623" t="s">
        <v>2524</v>
      </c>
    </row>
    <row r="46" spans="1:7" s="590" customFormat="1" ht="13.5" customHeight="1">
      <c r="A46" s="1806" t="s">
        <v>1921</v>
      </c>
      <c r="B46" s="624" t="s">
        <v>2517</v>
      </c>
      <c r="C46" s="625">
        <f>ROUND((C33+C39)*F27,0)</f>
        <v>85160</v>
      </c>
      <c r="D46" s="639"/>
      <c r="E46" s="612"/>
      <c r="F46" s="622"/>
      <c r="G46" s="623"/>
    </row>
    <row r="47" spans="1:7" s="590" customFormat="1" ht="13.5" customHeight="1">
      <c r="A47" s="1806" t="s">
        <v>1919</v>
      </c>
      <c r="B47" s="624" t="s">
        <v>2519</v>
      </c>
      <c r="C47" s="614">
        <f>ROUND(C40*F27,4)</f>
        <v>1.11E-2</v>
      </c>
      <c r="D47" s="639"/>
      <c r="E47" s="612"/>
      <c r="F47" s="622"/>
      <c r="G47" s="623"/>
    </row>
    <row r="48" spans="1:7" s="590" customFormat="1" ht="13.5" customHeight="1">
      <c r="A48" s="1803" t="s">
        <v>1914</v>
      </c>
      <c r="B48" s="586" t="s">
        <v>851</v>
      </c>
      <c r="C48" s="638">
        <f>F30</f>
        <v>5.5000000000000007E-2</v>
      </c>
      <c r="D48" s="612" t="s">
        <v>859</v>
      </c>
      <c r="E48" s="608"/>
      <c r="F48" s="613"/>
      <c r="G48" s="610" t="s">
        <v>852</v>
      </c>
    </row>
    <row r="49" spans="1:7" ht="16.5" customHeight="1">
      <c r="A49" s="1803" t="s">
        <v>1915</v>
      </c>
      <c r="B49" s="586" t="s">
        <v>860</v>
      </c>
      <c r="C49" s="608">
        <f ca="1">ROUND((C33+C39+C41+C45)/(1-C40-D41-D45-C48/(1+'数据-取费表'!B42)),0)</f>
        <v>373036</v>
      </c>
      <c r="D49" s="608"/>
      <c r="E49" s="608"/>
      <c r="F49" s="640"/>
      <c r="G49" s="610" t="s">
        <v>2525</v>
      </c>
    </row>
    <row r="50" spans="1:7" s="634" customFormat="1" ht="24">
      <c r="A50" s="1803" t="s">
        <v>1916</v>
      </c>
      <c r="B50" s="586" t="s">
        <v>853</v>
      </c>
      <c r="C50" s="608"/>
      <c r="D50" s="608"/>
      <c r="E50" s="608"/>
      <c r="F50" s="640">
        <f>IF('数据-取费表'!B24=0,'数据-取费表'!N16,1)</f>
        <v>1</v>
      </c>
      <c r="G50" s="623" t="s">
        <v>854</v>
      </c>
    </row>
    <row r="51" spans="1:7" ht="16.5" customHeight="1">
      <c r="A51" s="1803" t="s">
        <v>1917</v>
      </c>
      <c r="B51" s="586" t="s">
        <v>861</v>
      </c>
      <c r="C51" s="608">
        <f ca="1">ROUND(C49*F50,0)</f>
        <v>373036</v>
      </c>
      <c r="D51" s="608"/>
      <c r="E51" s="608"/>
      <c r="F51" s="640"/>
      <c r="G51" s="610" t="s">
        <v>352</v>
      </c>
    </row>
    <row r="52" spans="1:7" s="584" customFormat="1" ht="16.5" thickBot="1">
      <c r="A52" s="641" t="s">
        <v>353</v>
      </c>
      <c r="B52" s="642"/>
      <c r="C52" s="643">
        <f ca="1">C31+C51</f>
        <v>438482</v>
      </c>
      <c r="D52" s="642"/>
      <c r="E52" s="642"/>
      <c r="F52" s="642"/>
      <c r="G52" s="644"/>
    </row>
    <row r="55" spans="1:7" ht="15">
      <c r="B55" s="646" t="s">
        <v>354</v>
      </c>
      <c r="C55" s="647"/>
    </row>
    <row r="56" spans="1:7">
      <c r="B56" s="649" t="s">
        <v>355</v>
      </c>
      <c r="C56" s="650">
        <f ca="1">ROUND(C51/C52,3)</f>
        <v>0.85099999999999998</v>
      </c>
    </row>
    <row r="57" spans="1:7">
      <c r="B57" s="649" t="s">
        <v>356</v>
      </c>
      <c r="C57" s="651">
        <f ca="1">1-C56</f>
        <v>0.14900000000000002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913" t="s">
        <v>1167</v>
      </c>
      <c r="B1" s="3913"/>
      <c r="C1" s="3913"/>
      <c r="D1" s="3913"/>
      <c r="E1" s="3913"/>
      <c r="F1" s="3913"/>
      <c r="H1" s="1521" t="s">
        <v>1168</v>
      </c>
      <c r="I1" s="1522" t="s">
        <v>1169</v>
      </c>
      <c r="J1" s="1522" t="s">
        <v>1170</v>
      </c>
      <c r="K1" s="1522" t="s">
        <v>1171</v>
      </c>
      <c r="L1" s="1522" t="s">
        <v>1172</v>
      </c>
      <c r="M1" s="1522" t="s">
        <v>1173</v>
      </c>
      <c r="N1" s="1522" t="s">
        <v>1174</v>
      </c>
      <c r="O1" s="1522" t="s">
        <v>1175</v>
      </c>
      <c r="P1" s="1522" t="s">
        <v>1176</v>
      </c>
      <c r="Q1" s="1522" t="s">
        <v>1177</v>
      </c>
      <c r="R1" s="1522" t="s">
        <v>1178</v>
      </c>
      <c r="S1" s="1523" t="s">
        <v>1179</v>
      </c>
    </row>
    <row r="2" spans="1:19" ht="14.25" thickBot="1">
      <c r="A2" s="3914" t="s">
        <v>1180</v>
      </c>
      <c r="B2" s="3914"/>
      <c r="C2" s="3914"/>
      <c r="D2" s="3914"/>
      <c r="E2" s="3914"/>
      <c r="F2" s="3914"/>
      <c r="H2" s="1524" t="s">
        <v>1181</v>
      </c>
      <c r="I2" s="1525" t="s">
        <v>1182</v>
      </c>
      <c r="J2" s="1525" t="s">
        <v>1183</v>
      </c>
      <c r="K2" s="1525" t="s">
        <v>1184</v>
      </c>
      <c r="L2" s="1525" t="s">
        <v>1185</v>
      </c>
      <c r="M2" s="1525" t="s">
        <v>1186</v>
      </c>
      <c r="N2" s="1525" t="s">
        <v>1187</v>
      </c>
      <c r="O2" s="1525" t="s">
        <v>1188</v>
      </c>
      <c r="P2" s="1525" t="s">
        <v>1189</v>
      </c>
      <c r="Q2" s="1525" t="s">
        <v>1190</v>
      </c>
      <c r="R2" s="1525" t="s">
        <v>1191</v>
      </c>
      <c r="S2" s="1525" t="s">
        <v>1192</v>
      </c>
    </row>
    <row r="3" spans="1:19" s="1520" customFormat="1" ht="19.5" customHeight="1">
      <c r="A3" s="3915" t="s">
        <v>1193</v>
      </c>
      <c r="B3" s="1526"/>
      <c r="C3" s="1527" t="s">
        <v>1194</v>
      </c>
      <c r="D3" s="1527" t="s">
        <v>1195</v>
      </c>
      <c r="E3" s="1527" t="s">
        <v>1842</v>
      </c>
      <c r="F3" s="1527" t="s">
        <v>1197</v>
      </c>
      <c r="G3" s="1528"/>
      <c r="H3" s="1524" t="s">
        <v>1198</v>
      </c>
      <c r="I3" s="1525" t="s">
        <v>1199</v>
      </c>
      <c r="J3" s="1525" t="s">
        <v>1200</v>
      </c>
      <c r="K3" s="1525" t="s">
        <v>1201</v>
      </c>
      <c r="L3" s="1525" t="s">
        <v>1202</v>
      </c>
      <c r="M3" s="1525" t="s">
        <v>1203</v>
      </c>
      <c r="N3" s="1525" t="s">
        <v>1204</v>
      </c>
      <c r="O3" s="1525" t="s">
        <v>1205</v>
      </c>
      <c r="P3" s="1525" t="s">
        <v>1206</v>
      </c>
      <c r="Q3" s="1525" t="s">
        <v>1207</v>
      </c>
      <c r="R3" s="1525" t="s">
        <v>1208</v>
      </c>
      <c r="S3" s="1525" t="s">
        <v>1209</v>
      </c>
    </row>
    <row r="4" spans="1:19" s="1520" customFormat="1" ht="19.5" customHeight="1" thickBot="1">
      <c r="A4" s="3916"/>
      <c r="B4" s="1529" t="s">
        <v>1210</v>
      </c>
      <c r="C4" s="1529" t="s">
        <v>1211</v>
      </c>
      <c r="D4" s="1529" t="s">
        <v>1211</v>
      </c>
      <c r="E4" s="1529" t="s">
        <v>1211</v>
      </c>
      <c r="F4" s="1530" t="s">
        <v>1211</v>
      </c>
      <c r="G4" s="1528"/>
      <c r="H4" s="1524" t="s">
        <v>1212</v>
      </c>
      <c r="I4" s="1525" t="s">
        <v>1135</v>
      </c>
      <c r="J4" s="1525" t="s">
        <v>1213</v>
      </c>
      <c r="K4" s="1525" t="s">
        <v>1214</v>
      </c>
      <c r="L4" s="1525" t="s">
        <v>1215</v>
      </c>
      <c r="M4" s="1525" t="s">
        <v>1216</v>
      </c>
      <c r="N4" s="1525" t="s">
        <v>1217</v>
      </c>
      <c r="O4" s="1525" t="s">
        <v>1218</v>
      </c>
      <c r="P4" s="1525" t="s">
        <v>1219</v>
      </c>
      <c r="Q4" s="1525" t="s">
        <v>1220</v>
      </c>
      <c r="R4" s="1525" t="s">
        <v>1221</v>
      </c>
      <c r="S4" s="1525" t="s">
        <v>1222</v>
      </c>
    </row>
    <row r="5" spans="1:19" ht="14.25" customHeight="1" thickBot="1">
      <c r="A5" s="1531" t="s">
        <v>1949</v>
      </c>
      <c r="B5" s="1532" t="s">
        <v>1950</v>
      </c>
      <c r="C5" s="1532">
        <v>29530</v>
      </c>
      <c r="D5" s="1532">
        <v>28130</v>
      </c>
      <c r="E5" s="1532">
        <v>27930</v>
      </c>
      <c r="F5" s="1533">
        <v>11300</v>
      </c>
      <c r="G5" s="1528"/>
      <c r="H5" s="1524" t="s">
        <v>1224</v>
      </c>
      <c r="I5" s="1525" t="s">
        <v>1225</v>
      </c>
      <c r="J5" s="1525" t="s">
        <v>1226</v>
      </c>
      <c r="K5" s="1525" t="s">
        <v>1227</v>
      </c>
      <c r="L5" s="1525" t="s">
        <v>1228</v>
      </c>
      <c r="M5" s="1525" t="s">
        <v>1229</v>
      </c>
      <c r="N5" s="1525" t="s">
        <v>1230</v>
      </c>
      <c r="O5" s="1525" t="s">
        <v>1231</v>
      </c>
      <c r="P5" s="1525" t="s">
        <v>1232</v>
      </c>
      <c r="Q5" s="1525" t="s">
        <v>1233</v>
      </c>
      <c r="R5" s="1525" t="s">
        <v>1234</v>
      </c>
      <c r="S5" s="1525" t="s">
        <v>1235</v>
      </c>
    </row>
    <row r="6" spans="1:19" ht="14.25" customHeight="1" thickBot="1">
      <c r="A6" s="1531" t="s">
        <v>1223</v>
      </c>
      <c r="B6" s="1525" t="s">
        <v>1198</v>
      </c>
      <c r="C6" s="1525">
        <v>30290</v>
      </c>
      <c r="D6" s="1525">
        <v>29210</v>
      </c>
      <c r="E6" s="1525">
        <v>28860</v>
      </c>
      <c r="F6" s="1534">
        <v>12600</v>
      </c>
      <c r="G6" s="1528"/>
      <c r="H6" s="1524" t="s">
        <v>1236</v>
      </c>
      <c r="I6" s="1525" t="s">
        <v>1237</v>
      </c>
      <c r="J6" s="1525" t="s">
        <v>1238</v>
      </c>
      <c r="K6" s="1525" t="s">
        <v>1239</v>
      </c>
      <c r="L6" s="1525" t="s">
        <v>1240</v>
      </c>
      <c r="M6" s="1525" t="s">
        <v>1241</v>
      </c>
      <c r="N6" s="1525" t="s">
        <v>1242</v>
      </c>
      <c r="O6" s="1525" t="s">
        <v>1243</v>
      </c>
      <c r="P6" s="1525" t="s">
        <v>1244</v>
      </c>
      <c r="Q6" s="1525" t="s">
        <v>1245</v>
      </c>
      <c r="R6" s="1525" t="s">
        <v>1246</v>
      </c>
      <c r="S6" s="1525" t="s">
        <v>1247</v>
      </c>
    </row>
    <row r="7" spans="1:19" ht="14.25" customHeight="1" thickBot="1">
      <c r="A7" s="1531" t="s">
        <v>1223</v>
      </c>
      <c r="B7" s="1535" t="s">
        <v>1212</v>
      </c>
      <c r="C7" s="1525">
        <v>29350</v>
      </c>
      <c r="D7" s="1525">
        <v>28410</v>
      </c>
      <c r="E7" s="1525">
        <v>27990</v>
      </c>
      <c r="F7" s="1534">
        <v>12300</v>
      </c>
      <c r="G7" s="1528"/>
      <c r="I7" s="1525" t="s">
        <v>1248</v>
      </c>
      <c r="J7" s="1525" t="s">
        <v>1249</v>
      </c>
      <c r="K7" s="1525" t="s">
        <v>1250</v>
      </c>
      <c r="L7" s="1525" t="s">
        <v>1251</v>
      </c>
      <c r="M7" s="1525" t="s">
        <v>1252</v>
      </c>
      <c r="N7" s="1525" t="s">
        <v>1253</v>
      </c>
      <c r="O7" s="1525" t="s">
        <v>1254</v>
      </c>
      <c r="P7" s="1525" t="s">
        <v>1255</v>
      </c>
      <c r="Q7" s="1525" t="s">
        <v>1256</v>
      </c>
      <c r="R7" s="1525" t="s">
        <v>1257</v>
      </c>
      <c r="S7" s="1535" t="s">
        <v>1258</v>
      </c>
    </row>
    <row r="8" spans="1:19" ht="14.25" customHeight="1" thickBot="1">
      <c r="A8" s="1531" t="s">
        <v>1223</v>
      </c>
      <c r="B8" s="1525" t="s">
        <v>1224</v>
      </c>
      <c r="C8" s="1525">
        <v>30890</v>
      </c>
      <c r="D8" s="1525">
        <v>29780</v>
      </c>
      <c r="E8" s="1525">
        <v>29270</v>
      </c>
      <c r="F8" s="1534">
        <v>11600</v>
      </c>
      <c r="G8" s="1528"/>
      <c r="I8" s="1525" t="s">
        <v>1259</v>
      </c>
      <c r="J8" s="1525" t="s">
        <v>1260</v>
      </c>
      <c r="K8" s="1525" t="s">
        <v>1261</v>
      </c>
      <c r="L8" s="1525" t="s">
        <v>1262</v>
      </c>
      <c r="M8" s="1525" t="s">
        <v>1263</v>
      </c>
      <c r="N8" s="1525" t="s">
        <v>1264</v>
      </c>
      <c r="O8" s="1525" t="s">
        <v>1265</v>
      </c>
      <c r="P8" s="1525" t="s">
        <v>1266</v>
      </c>
      <c r="Q8" s="1525" t="s">
        <v>1267</v>
      </c>
      <c r="R8" s="1525" t="s">
        <v>1268</v>
      </c>
      <c r="S8" s="1525" t="s">
        <v>1269</v>
      </c>
    </row>
    <row r="9" spans="1:19" ht="14.25" customHeight="1" thickBot="1">
      <c r="A9" s="1531" t="s">
        <v>1223</v>
      </c>
      <c r="B9" s="1536" t="s">
        <v>1236</v>
      </c>
      <c r="C9" s="1537">
        <v>28140</v>
      </c>
      <c r="D9" s="1537"/>
      <c r="E9" s="1537"/>
      <c r="F9" s="1538"/>
      <c r="G9" s="1528"/>
      <c r="I9" s="1525" t="s">
        <v>1270</v>
      </c>
      <c r="J9" s="1525" t="s">
        <v>1271</v>
      </c>
      <c r="K9" s="1525" t="s">
        <v>1272</v>
      </c>
      <c r="L9" s="1525" t="s">
        <v>1273</v>
      </c>
      <c r="M9" s="1525" t="s">
        <v>1274</v>
      </c>
      <c r="N9" s="1525" t="s">
        <v>1275</v>
      </c>
      <c r="O9" s="1525" t="s">
        <v>1276</v>
      </c>
      <c r="P9" s="1525" t="s">
        <v>1277</v>
      </c>
      <c r="Q9" s="1525" t="s">
        <v>1278</v>
      </c>
      <c r="R9" s="1525" t="s">
        <v>1279</v>
      </c>
    </row>
    <row r="10" spans="1:19" ht="14.25" customHeight="1" thickBot="1">
      <c r="A10" s="1531" t="s">
        <v>1280</v>
      </c>
      <c r="B10" s="1532" t="s">
        <v>1281</v>
      </c>
      <c r="C10" s="1532">
        <v>27450</v>
      </c>
      <c r="D10" s="1532">
        <v>26180</v>
      </c>
      <c r="E10" s="1532">
        <v>25980</v>
      </c>
      <c r="F10" s="1533">
        <v>8910</v>
      </c>
      <c r="G10" s="1528"/>
      <c r="I10" s="1525" t="s">
        <v>1282</v>
      </c>
      <c r="J10" s="1525" t="s">
        <v>1283</v>
      </c>
      <c r="K10" s="1525" t="s">
        <v>1284</v>
      </c>
      <c r="L10" s="1525" t="s">
        <v>1285</v>
      </c>
      <c r="M10" s="1525" t="s">
        <v>1286</v>
      </c>
      <c r="N10" s="1525" t="s">
        <v>1287</v>
      </c>
      <c r="O10" s="1525" t="s">
        <v>1288</v>
      </c>
      <c r="P10" s="1525" t="s">
        <v>1289</v>
      </c>
      <c r="Q10" s="1525" t="s">
        <v>1290</v>
      </c>
      <c r="R10" s="1525" t="s">
        <v>1291</v>
      </c>
    </row>
    <row r="11" spans="1:19" ht="14.25" customHeight="1" thickBot="1">
      <c r="A11" s="1531" t="s">
        <v>1280</v>
      </c>
      <c r="B11" s="1535" t="s">
        <v>1199</v>
      </c>
      <c r="C11" s="1525">
        <v>22950</v>
      </c>
      <c r="D11" s="1525">
        <v>22630</v>
      </c>
      <c r="E11" s="1525">
        <v>22030</v>
      </c>
      <c r="F11" s="1539">
        <v>8330</v>
      </c>
      <c r="G11" s="1528"/>
      <c r="I11" s="1525" t="s">
        <v>1292</v>
      </c>
      <c r="J11" s="1525" t="s">
        <v>1293</v>
      </c>
      <c r="K11" s="1525" t="s">
        <v>1294</v>
      </c>
      <c r="L11" s="1525" t="s">
        <v>1295</v>
      </c>
      <c r="M11" s="1525" t="s">
        <v>1296</v>
      </c>
      <c r="N11" s="1525" t="s">
        <v>1297</v>
      </c>
      <c r="O11" s="1525" t="s">
        <v>1298</v>
      </c>
      <c r="P11" s="1525" t="s">
        <v>1299</v>
      </c>
      <c r="Q11" s="1525" t="s">
        <v>1300</v>
      </c>
      <c r="R11" s="1525" t="s">
        <v>1301</v>
      </c>
    </row>
    <row r="12" spans="1:19" ht="14.25" customHeight="1" thickBot="1">
      <c r="A12" s="1531" t="s">
        <v>1280</v>
      </c>
      <c r="B12" s="1535" t="s">
        <v>1135</v>
      </c>
      <c r="C12" s="1525">
        <v>24940</v>
      </c>
      <c r="D12" s="1525">
        <v>23180</v>
      </c>
      <c r="E12" s="1525">
        <v>22910</v>
      </c>
      <c r="F12" s="1539">
        <v>7180</v>
      </c>
      <c r="G12" s="1528"/>
      <c r="I12" s="1525" t="s">
        <v>1302</v>
      </c>
      <c r="J12" s="1525" t="s">
        <v>1303</v>
      </c>
      <c r="K12" s="1525" t="s">
        <v>1304</v>
      </c>
      <c r="L12" s="1525" t="s">
        <v>1305</v>
      </c>
      <c r="M12" s="1525" t="s">
        <v>1306</v>
      </c>
      <c r="N12" s="1525" t="s">
        <v>1307</v>
      </c>
      <c r="O12" s="1525" t="s">
        <v>1308</v>
      </c>
      <c r="P12" s="1525" t="s">
        <v>1309</v>
      </c>
      <c r="Q12" s="1525" t="s">
        <v>1310</v>
      </c>
      <c r="R12" s="1525" t="s">
        <v>1311</v>
      </c>
    </row>
    <row r="13" spans="1:19" ht="14.25" customHeight="1" thickBot="1">
      <c r="A13" s="1531" t="s">
        <v>1280</v>
      </c>
      <c r="B13" s="1535" t="s">
        <v>1225</v>
      </c>
      <c r="C13" s="1525">
        <v>24140</v>
      </c>
      <c r="D13" s="1525">
        <v>22270</v>
      </c>
      <c r="E13" s="1525">
        <v>21950</v>
      </c>
      <c r="F13" s="1539">
        <v>7600</v>
      </c>
      <c r="G13" s="1528"/>
      <c r="I13" s="1525" t="s">
        <v>1312</v>
      </c>
      <c r="J13" s="1525" t="s">
        <v>1313</v>
      </c>
      <c r="K13" s="1525" t="s">
        <v>1314</v>
      </c>
      <c r="L13" s="1525" t="s">
        <v>1315</v>
      </c>
      <c r="M13" s="1525" t="s">
        <v>1316</v>
      </c>
      <c r="N13" s="1525" t="s">
        <v>1317</v>
      </c>
      <c r="O13" s="1525" t="s">
        <v>1318</v>
      </c>
      <c r="P13" s="1525" t="s">
        <v>1319</v>
      </c>
      <c r="Q13" s="1525" t="s">
        <v>1320</v>
      </c>
      <c r="R13" s="1525" t="s">
        <v>1321</v>
      </c>
    </row>
    <row r="14" spans="1:19" ht="14.25" customHeight="1" thickBot="1">
      <c r="A14" s="1531" t="s">
        <v>1280</v>
      </c>
      <c r="B14" s="1535" t="s">
        <v>1237</v>
      </c>
      <c r="C14" s="1525">
        <v>25600</v>
      </c>
      <c r="D14" s="1525">
        <v>22260</v>
      </c>
      <c r="E14" s="1525">
        <v>22110</v>
      </c>
      <c r="F14" s="1539">
        <v>7630</v>
      </c>
      <c r="G14" s="1528"/>
      <c r="I14" s="1525" t="s">
        <v>1322</v>
      </c>
      <c r="J14" s="1525" t="s">
        <v>1323</v>
      </c>
      <c r="K14" s="1525" t="s">
        <v>1324</v>
      </c>
      <c r="L14" s="1525" t="s">
        <v>1325</v>
      </c>
      <c r="M14" s="1525" t="s">
        <v>1326</v>
      </c>
      <c r="N14" s="1525" t="s">
        <v>1327</v>
      </c>
      <c r="O14" s="1525" t="s">
        <v>1328</v>
      </c>
      <c r="P14" s="1525" t="s">
        <v>1329</v>
      </c>
      <c r="Q14" s="1525" t="s">
        <v>1330</v>
      </c>
      <c r="R14" s="1525" t="s">
        <v>1331</v>
      </c>
    </row>
    <row r="15" spans="1:19" ht="14.25" customHeight="1" thickBot="1">
      <c r="A15" s="1531" t="s">
        <v>1280</v>
      </c>
      <c r="B15" s="1535" t="s">
        <v>1248</v>
      </c>
      <c r="C15" s="1525">
        <v>24760</v>
      </c>
      <c r="D15" s="1525">
        <v>24440</v>
      </c>
      <c r="E15" s="1525">
        <v>24130</v>
      </c>
      <c r="F15" s="1539">
        <v>9480</v>
      </c>
      <c r="G15" s="1528"/>
      <c r="I15" s="1525" t="s">
        <v>1333</v>
      </c>
      <c r="J15" s="1525" t="s">
        <v>1334</v>
      </c>
      <c r="K15" s="1525" t="s">
        <v>1335</v>
      </c>
      <c r="L15" s="1525" t="s">
        <v>1336</v>
      </c>
      <c r="M15" s="1525" t="s">
        <v>1337</v>
      </c>
      <c r="N15" s="1525" t="s">
        <v>1338</v>
      </c>
      <c r="O15" s="1525" t="s">
        <v>1339</v>
      </c>
      <c r="P15" s="1525" t="s">
        <v>1340</v>
      </c>
      <c r="Q15" s="1525" t="s">
        <v>1341</v>
      </c>
      <c r="R15" s="1525" t="s">
        <v>1342</v>
      </c>
    </row>
    <row r="16" spans="1:19" ht="14.25" customHeight="1" thickBot="1">
      <c r="A16" s="1531" t="s">
        <v>1280</v>
      </c>
      <c r="B16" s="1535" t="s">
        <v>1259</v>
      </c>
      <c r="C16" s="1525">
        <v>22220</v>
      </c>
      <c r="D16" s="1525">
        <v>22310</v>
      </c>
      <c r="E16" s="1525">
        <v>22000</v>
      </c>
      <c r="F16" s="1539">
        <v>8900</v>
      </c>
      <c r="G16" s="1528"/>
      <c r="I16" s="1525" t="s">
        <v>1344</v>
      </c>
      <c r="J16" s="1525" t="s">
        <v>1345</v>
      </c>
      <c r="K16" s="1525" t="s">
        <v>1346</v>
      </c>
      <c r="L16" s="1525" t="s">
        <v>1347</v>
      </c>
      <c r="M16" s="1525" t="s">
        <v>1348</v>
      </c>
      <c r="N16" s="1525" t="s">
        <v>1349</v>
      </c>
      <c r="O16" s="1525" t="s">
        <v>1350</v>
      </c>
      <c r="P16" s="1525" t="s">
        <v>1351</v>
      </c>
      <c r="Q16" s="1525" t="s">
        <v>1352</v>
      </c>
      <c r="R16" s="1525" t="s">
        <v>1353</v>
      </c>
    </row>
    <row r="17" spans="1:18" ht="14.25" customHeight="1" thickBot="1">
      <c r="A17" s="1531" t="s">
        <v>1280</v>
      </c>
      <c r="B17" s="1535" t="s">
        <v>1270</v>
      </c>
      <c r="C17" s="1525">
        <v>24700</v>
      </c>
      <c r="D17" s="1525">
        <v>25150</v>
      </c>
      <c r="E17" s="1525">
        <v>24700</v>
      </c>
      <c r="F17" s="1540"/>
      <c r="G17" s="1528"/>
      <c r="I17" s="1525" t="s">
        <v>1354</v>
      </c>
      <c r="J17" s="1525" t="s">
        <v>1355</v>
      </c>
      <c r="K17" s="1525" t="s">
        <v>1356</v>
      </c>
      <c r="L17" s="1525" t="s">
        <v>1357</v>
      </c>
      <c r="M17" s="1525" t="s">
        <v>1358</v>
      </c>
      <c r="N17" s="1525" t="s">
        <v>1359</v>
      </c>
      <c r="O17" s="1525" t="s">
        <v>1360</v>
      </c>
      <c r="P17" s="1525" t="s">
        <v>1361</v>
      </c>
      <c r="Q17" s="1525" t="s">
        <v>1362</v>
      </c>
      <c r="R17" s="1525" t="s">
        <v>1363</v>
      </c>
    </row>
    <row r="18" spans="1:18" ht="14.25" customHeight="1" thickBot="1">
      <c r="A18" s="1531" t="s">
        <v>1280</v>
      </c>
      <c r="B18" s="1535" t="s">
        <v>1282</v>
      </c>
      <c r="C18" s="1525">
        <v>22350</v>
      </c>
      <c r="D18" s="1525">
        <v>24340</v>
      </c>
      <c r="E18" s="1525">
        <v>24100</v>
      </c>
      <c r="F18" s="1540"/>
      <c r="G18" s="1528"/>
      <c r="I18" s="1525" t="s">
        <v>1364</v>
      </c>
      <c r="J18" s="1525" t="s">
        <v>1365</v>
      </c>
      <c r="K18" s="1525" t="s">
        <v>1366</v>
      </c>
      <c r="L18" s="1525" t="s">
        <v>1367</v>
      </c>
      <c r="M18" s="1525" t="s">
        <v>1368</v>
      </c>
      <c r="N18" s="1525" t="s">
        <v>1369</v>
      </c>
      <c r="O18" s="1525" t="s">
        <v>1370</v>
      </c>
      <c r="P18" s="1525" t="s">
        <v>1371</v>
      </c>
      <c r="Q18" s="1525" t="s">
        <v>1372</v>
      </c>
      <c r="R18" s="1525" t="s">
        <v>1373</v>
      </c>
    </row>
    <row r="19" spans="1:18" ht="14.25" customHeight="1" thickBot="1">
      <c r="A19" s="1531" t="s">
        <v>1280</v>
      </c>
      <c r="B19" s="1535" t="s">
        <v>1292</v>
      </c>
      <c r="C19" s="1525">
        <v>23430</v>
      </c>
      <c r="D19" s="1525">
        <v>21580</v>
      </c>
      <c r="E19" s="1525">
        <v>21350</v>
      </c>
      <c r="F19" s="1540"/>
      <c r="G19" s="1528"/>
      <c r="I19" s="1525" t="s">
        <v>1374</v>
      </c>
      <c r="J19" s="1525" t="s">
        <v>1375</v>
      </c>
      <c r="K19" s="1525" t="s">
        <v>1376</v>
      </c>
      <c r="L19" s="1525" t="s">
        <v>1377</v>
      </c>
      <c r="M19" s="1525" t="s">
        <v>1378</v>
      </c>
      <c r="N19" s="1525" t="s">
        <v>1379</v>
      </c>
      <c r="O19" s="1525" t="s">
        <v>1380</v>
      </c>
      <c r="P19" s="1525" t="s">
        <v>1381</v>
      </c>
      <c r="Q19" s="1525" t="s">
        <v>1382</v>
      </c>
      <c r="R19" s="1525" t="s">
        <v>1383</v>
      </c>
    </row>
    <row r="20" spans="1:18" ht="14.25" customHeight="1" thickBot="1">
      <c r="A20" s="1531" t="s">
        <v>1280</v>
      </c>
      <c r="B20" s="1535" t="s">
        <v>1302</v>
      </c>
      <c r="C20" s="1525">
        <v>27660</v>
      </c>
      <c r="D20" s="1525">
        <v>24240</v>
      </c>
      <c r="E20" s="1525">
        <v>24020</v>
      </c>
      <c r="F20" s="1540"/>
      <c r="I20" s="1525" t="s">
        <v>1384</v>
      </c>
      <c r="J20" s="1525" t="s">
        <v>1385</v>
      </c>
      <c r="K20" s="1525" t="s">
        <v>1386</v>
      </c>
      <c r="L20" s="1525" t="s">
        <v>1387</v>
      </c>
      <c r="M20" s="1525" t="s">
        <v>1388</v>
      </c>
      <c r="N20" s="1525" t="s">
        <v>1389</v>
      </c>
      <c r="O20" s="1525" t="s">
        <v>1390</v>
      </c>
      <c r="P20" s="1525" t="s">
        <v>1391</v>
      </c>
      <c r="Q20" s="1525" t="s">
        <v>1392</v>
      </c>
      <c r="R20" s="1525" t="s">
        <v>1393</v>
      </c>
    </row>
    <row r="21" spans="1:18" ht="14.25" customHeight="1" thickBot="1">
      <c r="A21" s="1531" t="s">
        <v>1280</v>
      </c>
      <c r="B21" s="1535" t="s">
        <v>1312</v>
      </c>
      <c r="C21" s="1525">
        <v>24720</v>
      </c>
      <c r="D21" s="1525">
        <v>21670</v>
      </c>
      <c r="E21" s="1525">
        <v>21510</v>
      </c>
      <c r="F21" s="1540"/>
      <c r="J21" s="1525" t="s">
        <v>1394</v>
      </c>
      <c r="K21" s="1525" t="s">
        <v>1395</v>
      </c>
      <c r="L21" s="1525" t="s">
        <v>1396</v>
      </c>
      <c r="M21" s="1525" t="s">
        <v>1397</v>
      </c>
      <c r="N21" s="1525" t="s">
        <v>1398</v>
      </c>
      <c r="O21" s="1525" t="s">
        <v>1399</v>
      </c>
      <c r="P21" s="1525" t="s">
        <v>1400</v>
      </c>
      <c r="Q21" s="1525" t="s">
        <v>1401</v>
      </c>
      <c r="R21" s="1525" t="s">
        <v>1402</v>
      </c>
    </row>
    <row r="22" spans="1:18" ht="14.25" customHeight="1" thickBot="1">
      <c r="A22" s="1531" t="s">
        <v>1280</v>
      </c>
      <c r="B22" s="1535" t="s">
        <v>1403</v>
      </c>
      <c r="C22" s="1525">
        <v>26530</v>
      </c>
      <c r="D22" s="1525">
        <v>22980</v>
      </c>
      <c r="E22" s="1525">
        <v>22650</v>
      </c>
      <c r="F22" s="1540"/>
      <c r="K22" s="1525" t="s">
        <v>1404</v>
      </c>
      <c r="L22" s="1525" t="s">
        <v>1405</v>
      </c>
      <c r="M22" s="1525" t="s">
        <v>1406</v>
      </c>
      <c r="N22" s="1525" t="s">
        <v>1407</v>
      </c>
      <c r="O22" s="1525" t="s">
        <v>1408</v>
      </c>
      <c r="P22" s="1525" t="s">
        <v>1409</v>
      </c>
      <c r="Q22" s="1525" t="s">
        <v>1410</v>
      </c>
      <c r="R22" s="1535" t="s">
        <v>1411</v>
      </c>
    </row>
    <row r="23" spans="1:18" ht="14.25" customHeight="1" thickBot="1">
      <c r="A23" s="1531" t="s">
        <v>1280</v>
      </c>
      <c r="B23" s="1535" t="s">
        <v>1333</v>
      </c>
      <c r="C23" s="1525">
        <v>24700</v>
      </c>
      <c r="D23" s="1525">
        <v>27290</v>
      </c>
      <c r="E23" s="1525">
        <v>26710</v>
      </c>
      <c r="F23" s="1540"/>
      <c r="K23" s="1525" t="s">
        <v>1412</v>
      </c>
      <c r="L23" s="1525" t="s">
        <v>1413</v>
      </c>
      <c r="M23" s="1525" t="s">
        <v>1414</v>
      </c>
      <c r="N23" s="1525" t="s">
        <v>1415</v>
      </c>
      <c r="O23" s="1525" t="s">
        <v>1416</v>
      </c>
      <c r="P23" s="1525" t="s">
        <v>1417</v>
      </c>
      <c r="Q23" s="1525" t="s">
        <v>1418</v>
      </c>
    </row>
    <row r="24" spans="1:18" ht="14.25" customHeight="1" thickBot="1">
      <c r="A24" s="1531" t="s">
        <v>1280</v>
      </c>
      <c r="B24" s="1535" t="s">
        <v>1344</v>
      </c>
      <c r="C24" s="1525">
        <v>23070</v>
      </c>
      <c r="D24" s="1525">
        <v>24130</v>
      </c>
      <c r="E24" s="1525">
        <v>23860</v>
      </c>
      <c r="F24" s="1540"/>
      <c r="K24" s="1525" t="s">
        <v>1419</v>
      </c>
      <c r="L24" s="1525" t="s">
        <v>1420</v>
      </c>
      <c r="M24" s="1525" t="s">
        <v>1421</v>
      </c>
      <c r="N24" s="1525" t="s">
        <v>1422</v>
      </c>
      <c r="O24" s="1525" t="s">
        <v>1423</v>
      </c>
      <c r="P24" s="1525" t="s">
        <v>1424</v>
      </c>
      <c r="Q24" s="1525" t="s">
        <v>1425</v>
      </c>
    </row>
    <row r="25" spans="1:18" ht="14.25" customHeight="1" thickBot="1">
      <c r="A25" s="1531" t="s">
        <v>1280</v>
      </c>
      <c r="B25" s="1535" t="s">
        <v>1354</v>
      </c>
      <c r="C25" s="1525">
        <v>27550</v>
      </c>
      <c r="D25" s="1525">
        <v>25850</v>
      </c>
      <c r="E25" s="1525">
        <v>25340</v>
      </c>
      <c r="F25" s="1540"/>
      <c r="K25" s="1525" t="s">
        <v>1426</v>
      </c>
      <c r="L25" s="1525" t="s">
        <v>1427</v>
      </c>
      <c r="M25" s="1525" t="s">
        <v>1428</v>
      </c>
      <c r="N25" s="1525" t="s">
        <v>1429</v>
      </c>
      <c r="O25" s="1525" t="s">
        <v>1430</v>
      </c>
      <c r="P25" s="1525" t="s">
        <v>1431</v>
      </c>
      <c r="Q25" s="1525" t="s">
        <v>1432</v>
      </c>
    </row>
    <row r="26" spans="1:18" ht="14.25" customHeight="1" thickBot="1">
      <c r="A26" s="1531" t="s">
        <v>1280</v>
      </c>
      <c r="B26" s="1535" t="s">
        <v>1364</v>
      </c>
      <c r="C26" s="1525"/>
      <c r="D26" s="1525">
        <v>23900</v>
      </c>
      <c r="E26" s="1525">
        <v>23590</v>
      </c>
      <c r="F26" s="1540"/>
      <c r="K26" s="1525" t="s">
        <v>1433</v>
      </c>
      <c r="L26" s="1525" t="s">
        <v>1434</v>
      </c>
      <c r="M26" s="1525" t="s">
        <v>1435</v>
      </c>
      <c r="N26" s="1525" t="s">
        <v>1436</v>
      </c>
      <c r="O26" s="1525" t="s">
        <v>1437</v>
      </c>
      <c r="P26" s="1525" t="s">
        <v>1438</v>
      </c>
      <c r="Q26" s="1525" t="s">
        <v>1439</v>
      </c>
    </row>
    <row r="27" spans="1:18" ht="14.25" customHeight="1" thickBot="1">
      <c r="A27" s="1531" t="s">
        <v>1280</v>
      </c>
      <c r="B27" s="1535" t="s">
        <v>1374</v>
      </c>
      <c r="C27" s="1525"/>
      <c r="D27" s="1525">
        <v>22850</v>
      </c>
      <c r="E27" s="1525">
        <v>21920</v>
      </c>
      <c r="F27" s="1540"/>
      <c r="K27" s="1525" t="s">
        <v>1440</v>
      </c>
      <c r="L27" s="1525" t="s">
        <v>1441</v>
      </c>
      <c r="M27" s="1525" t="s">
        <v>1442</v>
      </c>
      <c r="N27" s="1525" t="s">
        <v>1443</v>
      </c>
      <c r="O27" s="1525" t="s">
        <v>1444</v>
      </c>
      <c r="P27" s="1525" t="s">
        <v>1445</v>
      </c>
      <c r="Q27" s="1525" t="s">
        <v>1446</v>
      </c>
    </row>
    <row r="28" spans="1:18" ht="14.25" customHeight="1" thickBot="1">
      <c r="A28" s="1541" t="s">
        <v>1280</v>
      </c>
      <c r="B28" s="1536" t="s">
        <v>1384</v>
      </c>
      <c r="C28" s="1537"/>
      <c r="D28" s="1537">
        <v>26610</v>
      </c>
      <c r="E28" s="1537">
        <v>26370</v>
      </c>
      <c r="F28" s="1538"/>
      <c r="K28" s="1525" t="s">
        <v>1447</v>
      </c>
      <c r="L28" s="1525" t="s">
        <v>1448</v>
      </c>
      <c r="M28" s="1525" t="s">
        <v>1449</v>
      </c>
      <c r="N28" s="1525" t="s">
        <v>1450</v>
      </c>
      <c r="O28" s="1525" t="s">
        <v>1451</v>
      </c>
      <c r="P28" s="1525" t="s">
        <v>1452</v>
      </c>
    </row>
    <row r="29" spans="1:18" ht="14.25" customHeight="1" thickBot="1">
      <c r="A29" s="1531" t="s">
        <v>1453</v>
      </c>
      <c r="B29" s="1532" t="s">
        <v>1454</v>
      </c>
      <c r="C29" s="1532">
        <v>22090</v>
      </c>
      <c r="D29" s="1532">
        <v>21860</v>
      </c>
      <c r="E29" s="1532">
        <v>19380</v>
      </c>
      <c r="F29" s="1533">
        <v>6610</v>
      </c>
      <c r="L29" s="1525" t="s">
        <v>1455</v>
      </c>
      <c r="M29" s="1525" t="s">
        <v>1456</v>
      </c>
      <c r="N29" s="1525" t="s">
        <v>1457</v>
      </c>
      <c r="O29" s="1525" t="s">
        <v>1458</v>
      </c>
      <c r="P29" s="1525" t="s">
        <v>1459</v>
      </c>
    </row>
    <row r="30" spans="1:18" ht="14.25" customHeight="1" thickBot="1">
      <c r="A30" s="1531" t="s">
        <v>1453</v>
      </c>
      <c r="B30" s="1535" t="s">
        <v>1200</v>
      </c>
      <c r="C30" s="1525">
        <v>21380</v>
      </c>
      <c r="D30" s="1525">
        <v>19930</v>
      </c>
      <c r="E30" s="1525">
        <v>19860</v>
      </c>
      <c r="F30" s="1539">
        <v>6010</v>
      </c>
      <c r="L30" s="1525" t="s">
        <v>1460</v>
      </c>
      <c r="M30" s="1525" t="s">
        <v>1461</v>
      </c>
      <c r="N30" s="1525" t="s">
        <v>1462</v>
      </c>
      <c r="O30" s="1525" t="s">
        <v>2498</v>
      </c>
      <c r="P30" s="1525" t="s">
        <v>1463</v>
      </c>
    </row>
    <row r="31" spans="1:18" ht="14.25" customHeight="1" thickBot="1">
      <c r="A31" s="1531" t="s">
        <v>1453</v>
      </c>
      <c r="B31" s="1535" t="s">
        <v>1213</v>
      </c>
      <c r="C31" s="1525">
        <v>21670</v>
      </c>
      <c r="D31" s="1525">
        <v>20660</v>
      </c>
      <c r="E31" s="1525">
        <v>20290</v>
      </c>
      <c r="F31" s="1539">
        <v>5840</v>
      </c>
      <c r="L31" s="1525" t="s">
        <v>1464</v>
      </c>
      <c r="M31" s="1525" t="s">
        <v>1465</v>
      </c>
      <c r="N31" s="1525" t="s">
        <v>1466</v>
      </c>
      <c r="O31" s="1525" t="s">
        <v>1467</v>
      </c>
      <c r="P31" s="1525" t="s">
        <v>1468</v>
      </c>
    </row>
    <row r="32" spans="1:18" ht="14.25" customHeight="1" thickBot="1">
      <c r="A32" s="1531" t="s">
        <v>1453</v>
      </c>
      <c r="B32" s="1535" t="s">
        <v>1226</v>
      </c>
      <c r="C32" s="1525">
        <v>22280</v>
      </c>
      <c r="D32" s="1525">
        <v>21800</v>
      </c>
      <c r="E32" s="1525">
        <v>17650</v>
      </c>
      <c r="F32" s="1539">
        <v>4690</v>
      </c>
      <c r="L32" s="1525" t="s">
        <v>1469</v>
      </c>
      <c r="M32" s="1525" t="s">
        <v>1470</v>
      </c>
      <c r="N32" s="1525" t="s">
        <v>1471</v>
      </c>
      <c r="O32" s="1525" t="s">
        <v>1472</v>
      </c>
      <c r="P32" s="1525" t="s">
        <v>1473</v>
      </c>
    </row>
    <row r="33" spans="1:16" ht="14.25" customHeight="1" thickBot="1">
      <c r="A33" s="1531" t="s">
        <v>1453</v>
      </c>
      <c r="B33" s="1535" t="s">
        <v>1238</v>
      </c>
      <c r="C33" s="1525">
        <v>22130</v>
      </c>
      <c r="D33" s="1525">
        <v>20460</v>
      </c>
      <c r="E33" s="1525">
        <v>18500</v>
      </c>
      <c r="F33" s="1539">
        <v>5340</v>
      </c>
      <c r="L33" s="1525" t="s">
        <v>1474</v>
      </c>
      <c r="M33" s="1525" t="s">
        <v>1475</v>
      </c>
      <c r="N33" s="1525" t="s">
        <v>1476</v>
      </c>
      <c r="O33" s="1525" t="s">
        <v>1477</v>
      </c>
      <c r="P33" s="1525" t="s">
        <v>1478</v>
      </c>
    </row>
    <row r="34" spans="1:16" ht="14.25" customHeight="1" thickBot="1">
      <c r="A34" s="1531" t="s">
        <v>1453</v>
      </c>
      <c r="B34" s="1535" t="s">
        <v>1249</v>
      </c>
      <c r="C34" s="1525">
        <v>22070</v>
      </c>
      <c r="D34" s="1525">
        <v>20110</v>
      </c>
      <c r="E34" s="1525">
        <v>18830</v>
      </c>
      <c r="F34" s="1539">
        <v>5190</v>
      </c>
      <c r="L34" s="1525" t="s">
        <v>1479</v>
      </c>
      <c r="M34" s="1525" t="s">
        <v>1480</v>
      </c>
      <c r="N34" s="1525" t="s">
        <v>1481</v>
      </c>
      <c r="O34" s="1525" t="s">
        <v>1482</v>
      </c>
      <c r="P34" s="1525" t="s">
        <v>1483</v>
      </c>
    </row>
    <row r="35" spans="1:16" ht="14.25" customHeight="1" thickBot="1">
      <c r="A35" s="1531" t="s">
        <v>1453</v>
      </c>
      <c r="B35" s="1535" t="s">
        <v>1260</v>
      </c>
      <c r="C35" s="1525">
        <v>22240</v>
      </c>
      <c r="D35" s="1525">
        <v>19550</v>
      </c>
      <c r="E35" s="1525">
        <v>19220</v>
      </c>
      <c r="F35" s="1539">
        <v>5800</v>
      </c>
      <c r="L35" s="1525" t="s">
        <v>1484</v>
      </c>
      <c r="M35" s="1525" t="s">
        <v>1485</v>
      </c>
      <c r="N35" s="1525" t="s">
        <v>1486</v>
      </c>
      <c r="O35" s="1525" t="s">
        <v>1487</v>
      </c>
      <c r="P35" s="1525" t="s">
        <v>1488</v>
      </c>
    </row>
    <row r="36" spans="1:16" ht="14.25" customHeight="1" thickBot="1">
      <c r="A36" s="1531" t="s">
        <v>1453</v>
      </c>
      <c r="B36" s="1535" t="s">
        <v>1271</v>
      </c>
      <c r="C36" s="1525">
        <v>19750</v>
      </c>
      <c r="D36" s="1525">
        <v>19790</v>
      </c>
      <c r="E36" s="1525">
        <v>18510</v>
      </c>
      <c r="F36" s="1539">
        <v>6520</v>
      </c>
      <c r="M36" s="1525" t="s">
        <v>1489</v>
      </c>
      <c r="N36" s="1525" t="s">
        <v>1490</v>
      </c>
      <c r="O36" s="1525" t="s">
        <v>1491</v>
      </c>
      <c r="P36" s="1525" t="s">
        <v>1492</v>
      </c>
    </row>
    <row r="37" spans="1:16" ht="14.25" customHeight="1" thickBot="1">
      <c r="A37" s="1531" t="s">
        <v>1453</v>
      </c>
      <c r="B37" s="1535" t="s">
        <v>1283</v>
      </c>
      <c r="C37" s="1525">
        <v>22380</v>
      </c>
      <c r="D37" s="1525">
        <v>18530</v>
      </c>
      <c r="E37" s="1525">
        <v>17930</v>
      </c>
      <c r="F37" s="1539">
        <v>6270</v>
      </c>
      <c r="M37" s="1525" t="s">
        <v>1493</v>
      </c>
      <c r="N37" s="1525" t="s">
        <v>1494</v>
      </c>
      <c r="O37" s="1525" t="s">
        <v>1495</v>
      </c>
      <c r="P37" s="1525" t="s">
        <v>1496</v>
      </c>
    </row>
    <row r="38" spans="1:16" ht="14.25" customHeight="1" thickBot="1">
      <c r="A38" s="1531" t="s">
        <v>1453</v>
      </c>
      <c r="B38" s="1535" t="s">
        <v>1293</v>
      </c>
      <c r="C38" s="1525">
        <v>20200</v>
      </c>
      <c r="D38" s="1525">
        <v>20070</v>
      </c>
      <c r="E38" s="1525">
        <v>19950</v>
      </c>
      <c r="F38" s="1539"/>
      <c r="M38" s="1525" t="s">
        <v>1497</v>
      </c>
      <c r="N38" s="1525" t="s">
        <v>1498</v>
      </c>
      <c r="O38" s="1525" t="s">
        <v>1499</v>
      </c>
      <c r="P38" s="1525" t="s">
        <v>1500</v>
      </c>
    </row>
    <row r="39" spans="1:16" ht="14.25" customHeight="1" thickBot="1">
      <c r="A39" s="1531" t="s">
        <v>1453</v>
      </c>
      <c r="B39" s="1535" t="s">
        <v>1303</v>
      </c>
      <c r="C39" s="1525">
        <v>19300</v>
      </c>
      <c r="D39" s="1525">
        <v>20360</v>
      </c>
      <c r="E39" s="1525">
        <v>20230</v>
      </c>
      <c r="F39" s="1539"/>
      <c r="M39" s="1525" t="s">
        <v>1501</v>
      </c>
      <c r="N39" s="1525" t="s">
        <v>1502</v>
      </c>
      <c r="O39" s="1525" t="s">
        <v>1503</v>
      </c>
      <c r="P39" s="1525" t="s">
        <v>1504</v>
      </c>
    </row>
    <row r="40" spans="1:16" ht="14.25" customHeight="1" thickBot="1">
      <c r="A40" s="1531" t="s">
        <v>1453</v>
      </c>
      <c r="B40" s="1535" t="s">
        <v>1313</v>
      </c>
      <c r="C40" s="1525">
        <v>20210</v>
      </c>
      <c r="D40" s="1525">
        <v>19060</v>
      </c>
      <c r="E40" s="1525">
        <v>18890</v>
      </c>
      <c r="F40" s="1539"/>
      <c r="M40" s="1525" t="s">
        <v>1505</v>
      </c>
      <c r="N40" s="1525" t="s">
        <v>1506</v>
      </c>
      <c r="O40" s="1525" t="s">
        <v>1507</v>
      </c>
      <c r="P40" s="1525" t="s">
        <v>1508</v>
      </c>
    </row>
    <row r="41" spans="1:16" ht="14.25" customHeight="1" thickBot="1">
      <c r="A41" s="1531" t="s">
        <v>1453</v>
      </c>
      <c r="B41" s="1535" t="s">
        <v>1323</v>
      </c>
      <c r="C41" s="1525">
        <v>20560</v>
      </c>
      <c r="D41" s="1525">
        <v>21040</v>
      </c>
      <c r="E41" s="1525">
        <v>20740</v>
      </c>
      <c r="F41" s="1539"/>
      <c r="M41" s="1535" t="s">
        <v>1509</v>
      </c>
      <c r="N41" s="1535" t="s">
        <v>1510</v>
      </c>
      <c r="P41" s="1535" t="s">
        <v>1511</v>
      </c>
    </row>
    <row r="42" spans="1:16" ht="14.25" customHeight="1" thickBot="1">
      <c r="A42" s="1531" t="s">
        <v>1453</v>
      </c>
      <c r="B42" s="1535" t="s">
        <v>1334</v>
      </c>
      <c r="C42" s="1525">
        <v>19280</v>
      </c>
      <c r="D42" s="1525">
        <v>22940</v>
      </c>
      <c r="E42" s="1525">
        <v>22500</v>
      </c>
      <c r="F42" s="1539"/>
      <c r="M42" s="1525" t="s">
        <v>1512</v>
      </c>
      <c r="N42" s="1525" t="s">
        <v>1513</v>
      </c>
      <c r="P42" s="1525" t="s">
        <v>1514</v>
      </c>
    </row>
    <row r="43" spans="1:16" ht="14.25" customHeight="1" thickBot="1">
      <c r="A43" s="1531" t="s">
        <v>1453</v>
      </c>
      <c r="B43" s="1535" t="s">
        <v>1345</v>
      </c>
      <c r="C43" s="1525">
        <v>21520</v>
      </c>
      <c r="D43" s="1525">
        <v>19230</v>
      </c>
      <c r="E43" s="1525">
        <v>18540</v>
      </c>
      <c r="F43" s="1539"/>
      <c r="M43" s="1525" t="s">
        <v>1515</v>
      </c>
      <c r="N43" s="1525" t="s">
        <v>1516</v>
      </c>
      <c r="P43" s="1525" t="s">
        <v>1517</v>
      </c>
    </row>
    <row r="44" spans="1:16" ht="14.25" customHeight="1" thickBot="1">
      <c r="A44" s="1531" t="s">
        <v>1453</v>
      </c>
      <c r="B44" s="1535" t="s">
        <v>1355</v>
      </c>
      <c r="C44" s="1525">
        <v>23260</v>
      </c>
      <c r="D44" s="1525">
        <v>21180</v>
      </c>
      <c r="E44" s="1525">
        <v>20730</v>
      </c>
      <c r="F44" s="1539"/>
      <c r="M44" s="1525" t="s">
        <v>1518</v>
      </c>
      <c r="N44" s="1525" t="s">
        <v>1519</v>
      </c>
      <c r="P44" s="1525" t="s">
        <v>1520</v>
      </c>
    </row>
    <row r="45" spans="1:16" ht="14.25" customHeight="1" thickBot="1">
      <c r="A45" s="1531" t="s">
        <v>1453</v>
      </c>
      <c r="B45" s="1535" t="s">
        <v>1365</v>
      </c>
      <c r="C45" s="1525">
        <v>19610</v>
      </c>
      <c r="D45" s="1525">
        <v>18090</v>
      </c>
      <c r="E45" s="1525">
        <v>17970</v>
      </c>
      <c r="F45" s="1539"/>
      <c r="M45" s="1525" t="s">
        <v>1521</v>
      </c>
      <c r="N45" s="1525" t="s">
        <v>1522</v>
      </c>
      <c r="P45" s="1525" t="s">
        <v>1523</v>
      </c>
    </row>
    <row r="46" spans="1:16" ht="14.25" customHeight="1" thickBot="1">
      <c r="A46" s="1531" t="s">
        <v>1453</v>
      </c>
      <c r="B46" s="1535" t="s">
        <v>1375</v>
      </c>
      <c r="C46" s="1525">
        <v>21660</v>
      </c>
      <c r="D46" s="1525">
        <v>19190</v>
      </c>
      <c r="E46" s="1525">
        <v>19790</v>
      </c>
      <c r="F46" s="1539"/>
      <c r="M46" s="1525" t="s">
        <v>1524</v>
      </c>
      <c r="N46" s="1525" t="s">
        <v>1525</v>
      </c>
      <c r="P46" s="1525" t="s">
        <v>1526</v>
      </c>
    </row>
    <row r="47" spans="1:16" ht="14.25" customHeight="1" thickBot="1">
      <c r="A47" s="1531" t="s">
        <v>1453</v>
      </c>
      <c r="B47" s="1535" t="s">
        <v>1385</v>
      </c>
      <c r="C47" s="1525">
        <v>18220</v>
      </c>
      <c r="D47" s="1525"/>
      <c r="E47" s="1525">
        <v>17220</v>
      </c>
      <c r="F47" s="1539"/>
      <c r="M47" s="1525" t="s">
        <v>1527</v>
      </c>
      <c r="N47" s="1525" t="s">
        <v>1528</v>
      </c>
    </row>
    <row r="48" spans="1:16" ht="14.25" customHeight="1" thickBot="1">
      <c r="A48" s="1531" t="s">
        <v>1453</v>
      </c>
      <c r="B48" s="1536" t="s">
        <v>1394</v>
      </c>
      <c r="C48" s="1537">
        <v>19430</v>
      </c>
      <c r="D48" s="1537"/>
      <c r="E48" s="1537">
        <v>17830</v>
      </c>
      <c r="F48" s="1542"/>
      <c r="M48" s="1525" t="s">
        <v>1529</v>
      </c>
      <c r="N48" s="1525" t="s">
        <v>1530</v>
      </c>
    </row>
    <row r="49" spans="1:14" ht="14.25" customHeight="1" thickBot="1">
      <c r="A49" s="1531" t="s">
        <v>1134</v>
      </c>
      <c r="B49" s="1532" t="s">
        <v>1531</v>
      </c>
      <c r="C49" s="1532">
        <v>17090</v>
      </c>
      <c r="D49" s="1532">
        <v>16950</v>
      </c>
      <c r="E49" s="1532">
        <v>16310</v>
      </c>
      <c r="F49" s="1533">
        <v>4540</v>
      </c>
      <c r="M49" s="1525" t="s">
        <v>1532</v>
      </c>
      <c r="N49" s="1525" t="s">
        <v>1533</v>
      </c>
    </row>
    <row r="50" spans="1:14" ht="14.25" customHeight="1" thickBot="1">
      <c r="A50" s="1531" t="s">
        <v>1134</v>
      </c>
      <c r="B50" s="1525" t="s">
        <v>1201</v>
      </c>
      <c r="C50" s="1525">
        <v>19040</v>
      </c>
      <c r="D50" s="1525">
        <v>16960</v>
      </c>
      <c r="E50" s="1525">
        <v>14800</v>
      </c>
      <c r="F50" s="1539">
        <v>3940</v>
      </c>
    </row>
    <row r="51" spans="1:14" ht="14.25" customHeight="1" thickBot="1">
      <c r="A51" s="1531" t="s">
        <v>1134</v>
      </c>
      <c r="B51" s="1525" t="s">
        <v>1214</v>
      </c>
      <c r="C51" s="1525">
        <v>17040</v>
      </c>
      <c r="D51" s="1525">
        <v>16930</v>
      </c>
      <c r="E51" s="1525">
        <v>15030</v>
      </c>
      <c r="F51" s="1539">
        <v>4120</v>
      </c>
    </row>
    <row r="52" spans="1:14" ht="14.25" customHeight="1" thickBot="1">
      <c r="A52" s="1531" t="s">
        <v>1134</v>
      </c>
      <c r="B52" s="1525" t="s">
        <v>1227</v>
      </c>
      <c r="C52" s="1525">
        <v>17110</v>
      </c>
      <c r="D52" s="1525">
        <v>17750</v>
      </c>
      <c r="E52" s="1525">
        <v>17310</v>
      </c>
      <c r="F52" s="1539">
        <v>3220</v>
      </c>
    </row>
    <row r="53" spans="1:14" ht="14.25" customHeight="1" thickBot="1">
      <c r="A53" s="1531" t="s">
        <v>1134</v>
      </c>
      <c r="B53" s="1525" t="s">
        <v>1239</v>
      </c>
      <c r="C53" s="1525">
        <v>17810</v>
      </c>
      <c r="D53" s="1525">
        <v>17260</v>
      </c>
      <c r="E53" s="1525">
        <v>17090</v>
      </c>
      <c r="F53" s="1539">
        <v>3520</v>
      </c>
    </row>
    <row r="54" spans="1:14" ht="14.25" customHeight="1" thickBot="1">
      <c r="A54" s="1531" t="s">
        <v>1134</v>
      </c>
      <c r="B54" s="1525" t="s">
        <v>1250</v>
      </c>
      <c r="C54" s="1525">
        <v>17410</v>
      </c>
      <c r="D54" s="1525">
        <v>16780</v>
      </c>
      <c r="E54" s="1525">
        <v>16370</v>
      </c>
      <c r="F54" s="1539">
        <v>3410</v>
      </c>
    </row>
    <row r="55" spans="1:14" ht="14.25" customHeight="1" thickBot="1">
      <c r="A55" s="1531" t="s">
        <v>1134</v>
      </c>
      <c r="B55" s="1525" t="s">
        <v>1261</v>
      </c>
      <c r="C55" s="1525">
        <v>16930</v>
      </c>
      <c r="D55" s="1525">
        <v>14720</v>
      </c>
      <c r="E55" s="1525">
        <v>15000</v>
      </c>
      <c r="F55" s="1539">
        <v>3710</v>
      </c>
    </row>
    <row r="56" spans="1:14" ht="14.25" customHeight="1" thickBot="1">
      <c r="A56" s="1531" t="s">
        <v>1134</v>
      </c>
      <c r="B56" s="1525" t="s">
        <v>1272</v>
      </c>
      <c r="C56" s="1525">
        <v>14930</v>
      </c>
      <c r="D56" s="1525">
        <v>15850</v>
      </c>
      <c r="E56" s="1525">
        <v>14320</v>
      </c>
      <c r="F56" s="1539">
        <v>3960</v>
      </c>
    </row>
    <row r="57" spans="1:14" ht="14.25" customHeight="1" thickBot="1">
      <c r="A57" s="1531" t="s">
        <v>1134</v>
      </c>
      <c r="B57" s="1525" t="s">
        <v>1284</v>
      </c>
      <c r="C57" s="1525">
        <v>16160</v>
      </c>
      <c r="D57" s="1525">
        <v>16190</v>
      </c>
      <c r="E57" s="1525">
        <v>15650</v>
      </c>
      <c r="F57" s="1539">
        <v>4200</v>
      </c>
    </row>
    <row r="58" spans="1:14" ht="14.25" customHeight="1" thickBot="1">
      <c r="A58" s="1531" t="s">
        <v>1134</v>
      </c>
      <c r="B58" s="1525" t="s">
        <v>1294</v>
      </c>
      <c r="C58" s="1525">
        <v>16360</v>
      </c>
      <c r="D58" s="1525">
        <v>14050</v>
      </c>
      <c r="E58" s="1525">
        <v>16070</v>
      </c>
      <c r="F58" s="1539">
        <v>3990</v>
      </c>
    </row>
    <row r="59" spans="1:14" ht="14.25" customHeight="1" thickBot="1">
      <c r="A59" s="1531" t="s">
        <v>1134</v>
      </c>
      <c r="B59" s="1525" t="s">
        <v>1304</v>
      </c>
      <c r="C59" s="1525">
        <v>14160</v>
      </c>
      <c r="D59" s="1525">
        <v>16620</v>
      </c>
      <c r="E59" s="1525">
        <v>13940</v>
      </c>
      <c r="F59" s="1539">
        <v>4260</v>
      </c>
    </row>
    <row r="60" spans="1:14" ht="14.25" customHeight="1" thickBot="1">
      <c r="A60" s="1531" t="s">
        <v>1134</v>
      </c>
      <c r="B60" s="1525" t="s">
        <v>1314</v>
      </c>
      <c r="C60" s="1525">
        <v>16750</v>
      </c>
      <c r="D60" s="1525">
        <v>13910</v>
      </c>
      <c r="E60" s="1525">
        <v>16550</v>
      </c>
      <c r="F60" s="1539">
        <v>4550</v>
      </c>
    </row>
    <row r="61" spans="1:14" ht="14.25" customHeight="1" thickBot="1">
      <c r="A61" s="1531" t="s">
        <v>1134</v>
      </c>
      <c r="B61" s="1525" t="s">
        <v>1324</v>
      </c>
      <c r="C61" s="1525">
        <v>14000</v>
      </c>
      <c r="D61" s="1525">
        <v>14550</v>
      </c>
      <c r="E61" s="1525">
        <v>13860</v>
      </c>
      <c r="F61" s="1543"/>
    </row>
    <row r="62" spans="1:14" ht="14.25" customHeight="1" thickBot="1">
      <c r="A62" s="1531" t="s">
        <v>1134</v>
      </c>
      <c r="B62" s="1525" t="s">
        <v>1335</v>
      </c>
      <c r="C62" s="1525">
        <v>14660</v>
      </c>
      <c r="D62" s="1525">
        <v>17450</v>
      </c>
      <c r="E62" s="1525">
        <v>14470</v>
      </c>
      <c r="F62" s="1543"/>
    </row>
    <row r="63" spans="1:14" ht="14.25" customHeight="1" thickBot="1">
      <c r="A63" s="1531" t="s">
        <v>1134</v>
      </c>
      <c r="B63" s="1525" t="s">
        <v>1346</v>
      </c>
      <c r="C63" s="1525">
        <v>17610</v>
      </c>
      <c r="D63" s="1525">
        <v>16500</v>
      </c>
      <c r="E63" s="1525">
        <v>17330</v>
      </c>
      <c r="F63" s="1543"/>
    </row>
    <row r="64" spans="1:14" ht="14.25" customHeight="1" thickBot="1">
      <c r="A64" s="1531" t="s">
        <v>1134</v>
      </c>
      <c r="B64" s="1525" t="s">
        <v>1356</v>
      </c>
      <c r="C64" s="1525">
        <v>16590</v>
      </c>
      <c r="D64" s="1525">
        <v>15130</v>
      </c>
      <c r="E64" s="1525">
        <v>16420</v>
      </c>
      <c r="F64" s="1543"/>
    </row>
    <row r="65" spans="1:6" s="1519" customFormat="1" ht="14.25" customHeight="1" thickBot="1">
      <c r="A65" s="1531" t="s">
        <v>1134</v>
      </c>
      <c r="B65" s="1525" t="s">
        <v>1366</v>
      </c>
      <c r="C65" s="1525">
        <v>15220</v>
      </c>
      <c r="D65" s="1525">
        <v>14660</v>
      </c>
      <c r="E65" s="1525">
        <v>15060</v>
      </c>
      <c r="F65" s="1539"/>
    </row>
    <row r="66" spans="1:6" s="1519" customFormat="1" ht="14.25" customHeight="1" thickBot="1">
      <c r="A66" s="1531" t="s">
        <v>1134</v>
      </c>
      <c r="B66" s="1525" t="s">
        <v>1376</v>
      </c>
      <c r="C66" s="1525">
        <v>14720</v>
      </c>
      <c r="D66" s="1525">
        <v>15970</v>
      </c>
      <c r="E66" s="1525">
        <v>14610</v>
      </c>
      <c r="F66" s="1539"/>
    </row>
    <row r="67" spans="1:6" s="1519" customFormat="1" ht="14.25" customHeight="1" thickBot="1">
      <c r="A67" s="1531" t="s">
        <v>1134</v>
      </c>
      <c r="B67" s="1525" t="s">
        <v>1386</v>
      </c>
      <c r="C67" s="1525">
        <v>16080</v>
      </c>
      <c r="D67" s="1525">
        <v>14840</v>
      </c>
      <c r="E67" s="1525">
        <v>15630</v>
      </c>
      <c r="F67" s="1539"/>
    </row>
    <row r="68" spans="1:6" s="1519" customFormat="1" ht="14.25" customHeight="1" thickBot="1">
      <c r="A68" s="1531" t="s">
        <v>1134</v>
      </c>
      <c r="B68" s="1525" t="s">
        <v>1395</v>
      </c>
      <c r="C68" s="1525">
        <v>14940</v>
      </c>
      <c r="D68" s="1525">
        <v>18000</v>
      </c>
      <c r="E68" s="1525">
        <v>14040</v>
      </c>
      <c r="F68" s="1539"/>
    </row>
    <row r="69" spans="1:6" s="1519" customFormat="1" ht="14.25" customHeight="1" thickBot="1">
      <c r="A69" s="1531" t="s">
        <v>1134</v>
      </c>
      <c r="B69" s="1525" t="s">
        <v>1404</v>
      </c>
      <c r="C69" s="1525">
        <v>18810</v>
      </c>
      <c r="D69" s="1525">
        <v>15100</v>
      </c>
      <c r="E69" s="1525">
        <v>14710</v>
      </c>
      <c r="F69" s="1539"/>
    </row>
    <row r="70" spans="1:6" s="1519" customFormat="1" ht="14.25" customHeight="1" thickBot="1">
      <c r="A70" s="1531" t="s">
        <v>1134</v>
      </c>
      <c r="B70" s="1525" t="s">
        <v>1412</v>
      </c>
      <c r="C70" s="1525">
        <v>18270</v>
      </c>
      <c r="D70" s="1525"/>
      <c r="E70" s="1525"/>
      <c r="F70" s="1539"/>
    </row>
    <row r="71" spans="1:6" s="1519" customFormat="1" ht="14.25" customHeight="1" thickBot="1">
      <c r="A71" s="1531" t="s">
        <v>1134</v>
      </c>
      <c r="B71" s="1525" t="s">
        <v>1419</v>
      </c>
      <c r="C71" s="1525">
        <v>15230</v>
      </c>
      <c r="D71" s="1525"/>
      <c r="E71" s="1525"/>
      <c r="F71" s="1539"/>
    </row>
    <row r="72" spans="1:6" s="1519" customFormat="1" ht="14.25" customHeight="1" thickBot="1">
      <c r="A72" s="1531" t="s">
        <v>1134</v>
      </c>
      <c r="B72" s="1525" t="s">
        <v>1426</v>
      </c>
      <c r="C72" s="1525"/>
      <c r="D72" s="1525"/>
      <c r="E72" s="1525"/>
      <c r="F72" s="1539">
        <v>4120</v>
      </c>
    </row>
    <row r="73" spans="1:6" s="1519" customFormat="1" ht="14.25" customHeight="1" thickBot="1">
      <c r="A73" s="1531" t="s">
        <v>1134</v>
      </c>
      <c r="B73" s="1525" t="s">
        <v>1433</v>
      </c>
      <c r="C73" s="1525"/>
      <c r="D73" s="1525"/>
      <c r="E73" s="1525"/>
      <c r="F73" s="1539">
        <v>3930</v>
      </c>
    </row>
    <row r="74" spans="1:6" s="1519" customFormat="1" ht="14.25" customHeight="1" thickBot="1">
      <c r="A74" s="1531" t="s">
        <v>1134</v>
      </c>
      <c r="B74" s="1525" t="s">
        <v>1440</v>
      </c>
      <c r="C74" s="1525"/>
      <c r="D74" s="1525"/>
      <c r="E74" s="1525"/>
      <c r="F74" s="1539">
        <v>4060</v>
      </c>
    </row>
    <row r="75" spans="1:6" s="1519" customFormat="1" ht="14.25" customHeight="1" thickBot="1">
      <c r="A75" s="1531" t="s">
        <v>1134</v>
      </c>
      <c r="B75" s="1537" t="s">
        <v>1447</v>
      </c>
      <c r="C75" s="1537"/>
      <c r="D75" s="1537"/>
      <c r="E75" s="1537"/>
      <c r="F75" s="1542">
        <v>3750</v>
      </c>
    </row>
    <row r="76" spans="1:6" s="1519" customFormat="1" ht="14.25" customHeight="1" thickBot="1">
      <c r="A76" s="1531" t="s">
        <v>1534</v>
      </c>
      <c r="B76" s="1532" t="s">
        <v>1535</v>
      </c>
      <c r="C76" s="1532">
        <v>14690</v>
      </c>
      <c r="D76" s="1532">
        <v>14640</v>
      </c>
      <c r="E76" s="1532">
        <v>14590</v>
      </c>
      <c r="F76" s="1533">
        <v>3060</v>
      </c>
    </row>
    <row r="77" spans="1:6" s="1519" customFormat="1" ht="14.25" customHeight="1" thickBot="1">
      <c r="A77" s="1531" t="s">
        <v>1534</v>
      </c>
      <c r="B77" s="1525" t="s">
        <v>1202</v>
      </c>
      <c r="C77" s="1525">
        <v>12550</v>
      </c>
      <c r="D77" s="1525">
        <v>12480</v>
      </c>
      <c r="E77" s="1525">
        <v>12450</v>
      </c>
      <c r="F77" s="1539">
        <v>2590</v>
      </c>
    </row>
    <row r="78" spans="1:6" s="1519" customFormat="1" ht="14.25" customHeight="1" thickBot="1">
      <c r="A78" s="1531" t="s">
        <v>1534</v>
      </c>
      <c r="B78" s="1525" t="s">
        <v>1215</v>
      </c>
      <c r="C78" s="1525">
        <v>14360</v>
      </c>
      <c r="D78" s="1525">
        <v>14320</v>
      </c>
      <c r="E78" s="1525">
        <v>12510</v>
      </c>
      <c r="F78" s="1539">
        <v>2700</v>
      </c>
    </row>
    <row r="79" spans="1:6" s="1519" customFormat="1" ht="14.25" customHeight="1" thickBot="1">
      <c r="A79" s="1531" t="s">
        <v>1534</v>
      </c>
      <c r="B79" s="1525" t="s">
        <v>1228</v>
      </c>
      <c r="C79" s="1525">
        <v>12590</v>
      </c>
      <c r="D79" s="1525">
        <v>12540</v>
      </c>
      <c r="E79" s="1525">
        <v>12350</v>
      </c>
      <c r="F79" s="1539">
        <v>2740</v>
      </c>
    </row>
    <row r="80" spans="1:6" s="1519" customFormat="1" ht="14.25" customHeight="1" thickBot="1">
      <c r="A80" s="1531" t="s">
        <v>1534</v>
      </c>
      <c r="B80" s="1525" t="s">
        <v>1240</v>
      </c>
      <c r="C80" s="1525">
        <v>12450</v>
      </c>
      <c r="D80" s="1525">
        <v>12370</v>
      </c>
      <c r="E80" s="1525">
        <v>10790</v>
      </c>
      <c r="F80" s="1539">
        <v>2290</v>
      </c>
    </row>
    <row r="81" spans="1:6" s="1519" customFormat="1" ht="14.25" customHeight="1" thickBot="1">
      <c r="A81" s="1531" t="s">
        <v>1534</v>
      </c>
      <c r="B81" s="1525" t="s">
        <v>1251</v>
      </c>
      <c r="C81" s="1525">
        <v>14210</v>
      </c>
      <c r="D81" s="1525">
        <v>14150</v>
      </c>
      <c r="E81" s="1525">
        <v>12730</v>
      </c>
      <c r="F81" s="1539">
        <v>2240</v>
      </c>
    </row>
    <row r="82" spans="1:6" s="1519" customFormat="1" ht="14.25" customHeight="1" thickBot="1">
      <c r="A82" s="1531" t="s">
        <v>1534</v>
      </c>
      <c r="B82" s="1525" t="s">
        <v>1262</v>
      </c>
      <c r="C82" s="1525">
        <v>10860</v>
      </c>
      <c r="D82" s="1525">
        <v>10820</v>
      </c>
      <c r="E82" s="1525">
        <v>14720</v>
      </c>
      <c r="F82" s="1539">
        <v>2490</v>
      </c>
    </row>
    <row r="83" spans="1:6" s="1519" customFormat="1" ht="14.25" customHeight="1" thickBot="1">
      <c r="A83" s="1531" t="s">
        <v>1534</v>
      </c>
      <c r="B83" s="1525" t="s">
        <v>1273</v>
      </c>
      <c r="C83" s="1525">
        <v>12810</v>
      </c>
      <c r="D83" s="1525">
        <v>12760</v>
      </c>
      <c r="E83" s="1525">
        <v>14830</v>
      </c>
      <c r="F83" s="1539">
        <v>2450</v>
      </c>
    </row>
    <row r="84" spans="1:6" s="1519" customFormat="1" ht="14.25" customHeight="1" thickBot="1">
      <c r="A84" s="1531" t="s">
        <v>1534</v>
      </c>
      <c r="B84" s="1525" t="s">
        <v>1285</v>
      </c>
      <c r="C84" s="1525">
        <v>14950</v>
      </c>
      <c r="D84" s="1525">
        <v>14810</v>
      </c>
      <c r="E84" s="1525">
        <v>12590</v>
      </c>
      <c r="F84" s="1539">
        <v>2540</v>
      </c>
    </row>
    <row r="85" spans="1:6" s="1519" customFormat="1" ht="14.25" customHeight="1" thickBot="1">
      <c r="A85" s="1531" t="s">
        <v>1534</v>
      </c>
      <c r="B85" s="1525" t="s">
        <v>1295</v>
      </c>
      <c r="C85" s="1525">
        <v>14960</v>
      </c>
      <c r="D85" s="1525">
        <v>14890</v>
      </c>
      <c r="E85" s="1525">
        <v>12840</v>
      </c>
      <c r="F85" s="1539">
        <v>2840</v>
      </c>
    </row>
    <row r="86" spans="1:6" s="1519" customFormat="1" ht="14.25" customHeight="1" thickBot="1">
      <c r="A86" s="1531" t="s">
        <v>1534</v>
      </c>
      <c r="B86" s="1525" t="s">
        <v>1305</v>
      </c>
      <c r="C86" s="1525">
        <v>12730</v>
      </c>
      <c r="D86" s="1525">
        <v>12660</v>
      </c>
      <c r="E86" s="1525">
        <v>13310</v>
      </c>
      <c r="F86" s="1539">
        <v>3140</v>
      </c>
    </row>
    <row r="87" spans="1:6" s="1519" customFormat="1" ht="14.25" customHeight="1" thickBot="1">
      <c r="A87" s="1531" t="s">
        <v>1534</v>
      </c>
      <c r="B87" s="1525" t="s">
        <v>1315</v>
      </c>
      <c r="C87" s="1525">
        <v>12940</v>
      </c>
      <c r="D87" s="1525">
        <v>12890</v>
      </c>
      <c r="E87" s="1525">
        <v>11580</v>
      </c>
      <c r="F87" s="1543"/>
    </row>
    <row r="88" spans="1:6" s="1519" customFormat="1" ht="14.25" customHeight="1" thickBot="1">
      <c r="A88" s="1531" t="s">
        <v>1534</v>
      </c>
      <c r="B88" s="1525" t="s">
        <v>1325</v>
      </c>
      <c r="C88" s="1525">
        <v>13430</v>
      </c>
      <c r="D88" s="1525">
        <v>13360</v>
      </c>
      <c r="E88" s="1525">
        <v>12790</v>
      </c>
      <c r="F88" s="1543"/>
    </row>
    <row r="89" spans="1:6" s="1519" customFormat="1" ht="14.25" customHeight="1" thickBot="1">
      <c r="A89" s="1531" t="s">
        <v>1534</v>
      </c>
      <c r="B89" s="1525" t="s">
        <v>1336</v>
      </c>
      <c r="C89" s="1525">
        <v>11680</v>
      </c>
      <c r="D89" s="1525">
        <v>11630</v>
      </c>
      <c r="E89" s="1525">
        <v>11320</v>
      </c>
      <c r="F89" s="1543"/>
    </row>
    <row r="90" spans="1:6" s="1519" customFormat="1" ht="14.25" customHeight="1" thickBot="1">
      <c r="A90" s="1531" t="s">
        <v>1534</v>
      </c>
      <c r="B90" s="1525" t="s">
        <v>1347</v>
      </c>
      <c r="C90" s="1525">
        <v>12890</v>
      </c>
      <c r="D90" s="1525">
        <v>12820</v>
      </c>
      <c r="E90" s="1525">
        <v>12710</v>
      </c>
      <c r="F90" s="1543"/>
    </row>
    <row r="91" spans="1:6" s="1519" customFormat="1" ht="14.25" customHeight="1" thickBot="1">
      <c r="A91" s="1531" t="s">
        <v>1534</v>
      </c>
      <c r="B91" s="1525" t="s">
        <v>1357</v>
      </c>
      <c r="C91" s="1525">
        <v>11410</v>
      </c>
      <c r="D91" s="1525">
        <v>11360</v>
      </c>
      <c r="E91" s="1525">
        <v>12670</v>
      </c>
      <c r="F91" s="1543"/>
    </row>
    <row r="92" spans="1:6" s="1519" customFormat="1" ht="14.25" customHeight="1" thickBot="1">
      <c r="A92" s="1531" t="s">
        <v>1534</v>
      </c>
      <c r="B92" s="1525" t="s">
        <v>1367</v>
      </c>
      <c r="C92" s="1525">
        <v>12770</v>
      </c>
      <c r="D92" s="1525">
        <v>12740</v>
      </c>
      <c r="E92" s="1525">
        <v>11970</v>
      </c>
      <c r="F92" s="1543"/>
    </row>
    <row r="93" spans="1:6" s="1519" customFormat="1" ht="14.25" customHeight="1" thickBot="1">
      <c r="A93" s="1531" t="s">
        <v>1534</v>
      </c>
      <c r="B93" s="1525" t="s">
        <v>1377</v>
      </c>
      <c r="C93" s="1525">
        <v>12740</v>
      </c>
      <c r="D93" s="1525">
        <v>12700</v>
      </c>
      <c r="E93" s="1525">
        <v>12540</v>
      </c>
      <c r="F93" s="1543"/>
    </row>
    <row r="94" spans="1:6" s="1519" customFormat="1" ht="14.25" customHeight="1" thickBot="1">
      <c r="A94" s="1531" t="s">
        <v>1534</v>
      </c>
      <c r="B94" s="1525" t="s">
        <v>1387</v>
      </c>
      <c r="C94" s="1525">
        <v>12020</v>
      </c>
      <c r="D94" s="1525">
        <v>11990</v>
      </c>
      <c r="E94" s="1525">
        <v>13110</v>
      </c>
      <c r="F94" s="1543"/>
    </row>
    <row r="95" spans="1:6" s="1519" customFormat="1" ht="14.25" customHeight="1" thickBot="1">
      <c r="A95" s="1531" t="s">
        <v>1534</v>
      </c>
      <c r="B95" s="1525" t="s">
        <v>1396</v>
      </c>
      <c r="C95" s="1525">
        <v>12620</v>
      </c>
      <c r="D95" s="1525">
        <v>12580</v>
      </c>
      <c r="E95" s="1525">
        <v>13160</v>
      </c>
      <c r="F95" s="1539"/>
    </row>
    <row r="96" spans="1:6" s="1519" customFormat="1" ht="14.25" customHeight="1" thickBot="1">
      <c r="A96" s="1531" t="s">
        <v>1534</v>
      </c>
      <c r="B96" s="1525" t="s">
        <v>1405</v>
      </c>
      <c r="C96" s="1525">
        <v>13200</v>
      </c>
      <c r="D96" s="1525">
        <v>13150</v>
      </c>
      <c r="E96" s="1525">
        <v>12900</v>
      </c>
      <c r="F96" s="1539"/>
    </row>
    <row r="97" spans="1:6" s="1519" customFormat="1" ht="14.25" customHeight="1" thickBot="1">
      <c r="A97" s="1531" t="s">
        <v>1534</v>
      </c>
      <c r="B97" s="1525" t="s">
        <v>1413</v>
      </c>
      <c r="C97" s="1525">
        <v>13270</v>
      </c>
      <c r="D97" s="1525">
        <v>13210</v>
      </c>
      <c r="E97" s="1525">
        <v>11080</v>
      </c>
      <c r="F97" s="1539"/>
    </row>
    <row r="98" spans="1:6" s="1519" customFormat="1" ht="14.25" customHeight="1" thickBot="1">
      <c r="A98" s="1531" t="s">
        <v>1534</v>
      </c>
      <c r="B98" s="1525" t="s">
        <v>1420</v>
      </c>
      <c r="C98" s="1525">
        <v>13010</v>
      </c>
      <c r="D98" s="1525">
        <v>12930</v>
      </c>
      <c r="E98" s="1525">
        <v>12840</v>
      </c>
      <c r="F98" s="1539"/>
    </row>
    <row r="99" spans="1:6" s="1519" customFormat="1" ht="14.25" customHeight="1" thickBot="1">
      <c r="A99" s="1531" t="s">
        <v>1534</v>
      </c>
      <c r="B99" s="1525" t="s">
        <v>1427</v>
      </c>
      <c r="C99" s="1525">
        <v>11190</v>
      </c>
      <c r="D99" s="1525">
        <v>11130</v>
      </c>
      <c r="E99" s="1525"/>
      <c r="F99" s="1539"/>
    </row>
    <row r="100" spans="1:6" s="1519" customFormat="1" ht="14.25" customHeight="1" thickBot="1">
      <c r="A100" s="1531" t="s">
        <v>1534</v>
      </c>
      <c r="B100" s="1525" t="s">
        <v>1434</v>
      </c>
      <c r="C100" s="1525">
        <v>14280</v>
      </c>
      <c r="D100" s="1525">
        <v>14180</v>
      </c>
      <c r="E100" s="1525"/>
      <c r="F100" s="1539"/>
    </row>
    <row r="101" spans="1:6" s="1519" customFormat="1" ht="14.25" customHeight="1" thickBot="1">
      <c r="A101" s="1531" t="s">
        <v>1534</v>
      </c>
      <c r="B101" s="1525" t="s">
        <v>1441</v>
      </c>
      <c r="C101" s="1525">
        <v>12960</v>
      </c>
      <c r="D101" s="1525">
        <v>12890</v>
      </c>
      <c r="E101" s="1525"/>
      <c r="F101" s="1539"/>
    </row>
    <row r="102" spans="1:6" s="1519" customFormat="1" ht="14.25" customHeight="1" thickBot="1">
      <c r="A102" s="1531" t="s">
        <v>1534</v>
      </c>
      <c r="B102" s="1525" t="s">
        <v>1448</v>
      </c>
      <c r="C102" s="1525"/>
      <c r="D102" s="1525"/>
      <c r="E102" s="1525"/>
      <c r="F102" s="1539">
        <v>3100</v>
      </c>
    </row>
    <row r="103" spans="1:6" s="1519" customFormat="1" ht="14.25" customHeight="1" thickBot="1">
      <c r="A103" s="1531" t="s">
        <v>1534</v>
      </c>
      <c r="B103" s="1525" t="s">
        <v>1455</v>
      </c>
      <c r="C103" s="1525"/>
      <c r="D103" s="1525"/>
      <c r="E103" s="1525"/>
      <c r="F103" s="1539">
        <v>2320</v>
      </c>
    </row>
    <row r="104" spans="1:6" s="1519" customFormat="1" ht="14.25" customHeight="1" thickBot="1">
      <c r="A104" s="1531" t="s">
        <v>1534</v>
      </c>
      <c r="B104" s="1525" t="s">
        <v>1460</v>
      </c>
      <c r="C104" s="1525"/>
      <c r="D104" s="1525"/>
      <c r="E104" s="1525"/>
      <c r="F104" s="1539">
        <v>2320</v>
      </c>
    </row>
    <row r="105" spans="1:6" s="1519" customFormat="1" ht="14.25" customHeight="1" thickBot="1">
      <c r="A105" s="1531" t="s">
        <v>1534</v>
      </c>
      <c r="B105" s="1525" t="s">
        <v>1464</v>
      </c>
      <c r="C105" s="1525"/>
      <c r="D105" s="1525"/>
      <c r="E105" s="1525"/>
      <c r="F105" s="1539">
        <v>2320</v>
      </c>
    </row>
    <row r="106" spans="1:6" s="1519" customFormat="1" ht="14.25" customHeight="1" thickBot="1">
      <c r="A106" s="1531" t="s">
        <v>1534</v>
      </c>
      <c r="B106" s="1525" t="s">
        <v>1469</v>
      </c>
      <c r="C106" s="1525"/>
      <c r="D106" s="1525"/>
      <c r="E106" s="1525"/>
      <c r="F106" s="1539">
        <v>2320</v>
      </c>
    </row>
    <row r="107" spans="1:6" s="1519" customFormat="1" ht="14.25" customHeight="1" thickBot="1">
      <c r="A107" s="1531" t="s">
        <v>1534</v>
      </c>
      <c r="B107" s="1525" t="s">
        <v>1474</v>
      </c>
      <c r="C107" s="1525"/>
      <c r="D107" s="1525"/>
      <c r="E107" s="1525"/>
      <c r="F107" s="1539">
        <v>2280</v>
      </c>
    </row>
    <row r="108" spans="1:6" s="1519" customFormat="1" ht="14.25" customHeight="1" thickBot="1">
      <c r="A108" s="1531" t="s">
        <v>1534</v>
      </c>
      <c r="B108" s="1525" t="s">
        <v>1479</v>
      </c>
      <c r="C108" s="1525"/>
      <c r="D108" s="1525"/>
      <c r="E108" s="1525"/>
      <c r="F108" s="1539">
        <v>2280</v>
      </c>
    </row>
    <row r="109" spans="1:6" s="1519" customFormat="1" ht="14.25" customHeight="1" thickBot="1">
      <c r="A109" s="1531" t="s">
        <v>1534</v>
      </c>
      <c r="B109" s="1537" t="s">
        <v>1484</v>
      </c>
      <c r="C109" s="1537"/>
      <c r="D109" s="1537"/>
      <c r="E109" s="1537"/>
      <c r="F109" s="1542">
        <v>2280</v>
      </c>
    </row>
    <row r="110" spans="1:6" s="1519" customFormat="1" ht="14.25" customHeight="1" thickBot="1">
      <c r="A110" s="1531" t="s">
        <v>203</v>
      </c>
      <c r="B110" s="1532" t="s">
        <v>1536</v>
      </c>
      <c r="C110" s="1532">
        <v>10520</v>
      </c>
      <c r="D110" s="1532">
        <v>10490</v>
      </c>
      <c r="E110" s="1532">
        <v>10760</v>
      </c>
      <c r="F110" s="1533">
        <v>2160</v>
      </c>
    </row>
    <row r="111" spans="1:6" s="1519" customFormat="1" ht="14.25" customHeight="1" thickBot="1">
      <c r="A111" s="1531" t="s">
        <v>203</v>
      </c>
      <c r="B111" s="1525" t="s">
        <v>1203</v>
      </c>
      <c r="C111" s="1525">
        <v>10090</v>
      </c>
      <c r="D111" s="1525">
        <v>10060</v>
      </c>
      <c r="E111" s="1525">
        <v>10300</v>
      </c>
      <c r="F111" s="1539">
        <v>2010</v>
      </c>
    </row>
    <row r="112" spans="1:6" s="1519" customFormat="1" ht="14.25" customHeight="1" thickBot="1">
      <c r="A112" s="1531" t="s">
        <v>203</v>
      </c>
      <c r="B112" s="1525" t="s">
        <v>1216</v>
      </c>
      <c r="C112" s="1525">
        <v>9910</v>
      </c>
      <c r="D112" s="1525">
        <v>9850</v>
      </c>
      <c r="E112" s="1525">
        <v>9960</v>
      </c>
      <c r="F112" s="1539">
        <v>2090</v>
      </c>
    </row>
    <row r="113" spans="1:6" s="1519" customFormat="1" ht="14.25" customHeight="1" thickBot="1">
      <c r="A113" s="1531" t="s">
        <v>203</v>
      </c>
      <c r="B113" s="1525" t="s">
        <v>1229</v>
      </c>
      <c r="C113" s="1525">
        <v>11430</v>
      </c>
      <c r="D113" s="1525">
        <v>11400</v>
      </c>
      <c r="E113" s="1525">
        <v>11710</v>
      </c>
      <c r="F113" s="1539">
        <v>2050</v>
      </c>
    </row>
    <row r="114" spans="1:6" s="1519" customFormat="1" ht="14.25" customHeight="1" thickBot="1">
      <c r="A114" s="1531" t="s">
        <v>203</v>
      </c>
      <c r="B114" s="1525" t="s">
        <v>1241</v>
      </c>
      <c r="C114" s="1525">
        <v>11390</v>
      </c>
      <c r="D114" s="1525">
        <v>11350</v>
      </c>
      <c r="E114" s="1525">
        <v>11640</v>
      </c>
      <c r="F114" s="1539">
        <v>1620</v>
      </c>
    </row>
    <row r="115" spans="1:6" s="1519" customFormat="1" ht="14.25" customHeight="1" thickBot="1">
      <c r="A115" s="1531" t="s">
        <v>203</v>
      </c>
      <c r="B115" s="1525" t="s">
        <v>1252</v>
      </c>
      <c r="C115" s="1525">
        <v>9930</v>
      </c>
      <c r="D115" s="1525">
        <v>9900</v>
      </c>
      <c r="E115" s="1525">
        <v>10160</v>
      </c>
      <c r="F115" s="1539">
        <v>1580</v>
      </c>
    </row>
    <row r="116" spans="1:6" s="1519" customFormat="1" ht="14.25" customHeight="1" thickBot="1">
      <c r="A116" s="1531" t="s">
        <v>203</v>
      </c>
      <c r="B116" s="1525" t="s">
        <v>1263</v>
      </c>
      <c r="C116" s="1525">
        <v>9150</v>
      </c>
      <c r="D116" s="1525">
        <v>9120</v>
      </c>
      <c r="E116" s="1525">
        <v>9380</v>
      </c>
      <c r="F116" s="1539">
        <v>1750</v>
      </c>
    </row>
    <row r="117" spans="1:6" s="1519" customFormat="1" ht="14.25" customHeight="1" thickBot="1">
      <c r="A117" s="1531" t="s">
        <v>203</v>
      </c>
      <c r="B117" s="1525" t="s">
        <v>1274</v>
      </c>
      <c r="C117" s="1525">
        <v>10680</v>
      </c>
      <c r="D117" s="1525">
        <v>10650</v>
      </c>
      <c r="E117" s="1525">
        <v>10970</v>
      </c>
      <c r="F117" s="1539">
        <v>1730</v>
      </c>
    </row>
    <row r="118" spans="1:6" s="1519" customFormat="1" ht="14.25" customHeight="1" thickBot="1">
      <c r="A118" s="1531" t="s">
        <v>203</v>
      </c>
      <c r="B118" s="1525" t="s">
        <v>1286</v>
      </c>
      <c r="C118" s="1525">
        <v>10080</v>
      </c>
      <c r="D118" s="1525">
        <v>10050</v>
      </c>
      <c r="E118" s="1525">
        <v>10350</v>
      </c>
      <c r="F118" s="1539">
        <v>1920</v>
      </c>
    </row>
    <row r="119" spans="1:6" s="1519" customFormat="1" ht="14.25" customHeight="1" thickBot="1">
      <c r="A119" s="1531" t="s">
        <v>203</v>
      </c>
      <c r="B119" s="1525" t="s">
        <v>1296</v>
      </c>
      <c r="C119" s="1525">
        <v>9450</v>
      </c>
      <c r="D119" s="1525">
        <v>9410</v>
      </c>
      <c r="E119" s="1525">
        <v>9680</v>
      </c>
      <c r="F119" s="1539">
        <v>1880</v>
      </c>
    </row>
    <row r="120" spans="1:6" s="1519" customFormat="1" ht="14.25" customHeight="1" thickBot="1">
      <c r="A120" s="1531" t="s">
        <v>203</v>
      </c>
      <c r="B120" s="1525" t="s">
        <v>1306</v>
      </c>
      <c r="C120" s="1525">
        <v>8730</v>
      </c>
      <c r="D120" s="1525">
        <v>8700</v>
      </c>
      <c r="E120" s="1525">
        <v>8950</v>
      </c>
      <c r="F120" s="1539">
        <v>1830</v>
      </c>
    </row>
    <row r="121" spans="1:6" s="1519" customFormat="1" ht="14.25" customHeight="1" thickBot="1">
      <c r="A121" s="1531" t="s">
        <v>203</v>
      </c>
      <c r="B121" s="1525" t="s">
        <v>1316</v>
      </c>
      <c r="C121" s="1525">
        <v>10070</v>
      </c>
      <c r="D121" s="1525">
        <v>10040</v>
      </c>
      <c r="E121" s="1525">
        <v>10270</v>
      </c>
      <c r="F121" s="1539">
        <v>1960</v>
      </c>
    </row>
    <row r="122" spans="1:6" s="1519" customFormat="1" ht="14.25" customHeight="1" thickBot="1">
      <c r="A122" s="1531" t="s">
        <v>203</v>
      </c>
      <c r="B122" s="1525" t="s">
        <v>1326</v>
      </c>
      <c r="C122" s="1525">
        <v>10500</v>
      </c>
      <c r="D122" s="1525">
        <v>10470</v>
      </c>
      <c r="E122" s="1525">
        <v>10780</v>
      </c>
      <c r="F122" s="1539">
        <v>2180</v>
      </c>
    </row>
    <row r="123" spans="1:6" s="1519" customFormat="1" ht="14.25" customHeight="1" thickBot="1">
      <c r="A123" s="1531" t="s">
        <v>203</v>
      </c>
      <c r="B123" s="1525" t="s">
        <v>1337</v>
      </c>
      <c r="C123" s="1525">
        <v>10390</v>
      </c>
      <c r="D123" s="1525">
        <v>10360</v>
      </c>
      <c r="E123" s="1525">
        <v>10660</v>
      </c>
      <c r="F123" s="1539">
        <v>2040</v>
      </c>
    </row>
    <row r="124" spans="1:6" s="1519" customFormat="1" ht="14.25" customHeight="1" thickBot="1">
      <c r="A124" s="1531" t="s">
        <v>203</v>
      </c>
      <c r="B124" s="1525" t="s">
        <v>1348</v>
      </c>
      <c r="C124" s="1525">
        <v>10390</v>
      </c>
      <c r="D124" s="1525">
        <v>10360</v>
      </c>
      <c r="E124" s="1525">
        <v>10680</v>
      </c>
      <c r="F124" s="1543"/>
    </row>
    <row r="125" spans="1:6" s="1519" customFormat="1" ht="14.25" customHeight="1" thickBot="1">
      <c r="A125" s="1531" t="s">
        <v>203</v>
      </c>
      <c r="B125" s="1525" t="s">
        <v>1358</v>
      </c>
      <c r="C125" s="1525">
        <v>10440</v>
      </c>
      <c r="D125" s="1525">
        <v>10410</v>
      </c>
      <c r="E125" s="1525">
        <v>10710</v>
      </c>
      <c r="F125" s="1543"/>
    </row>
    <row r="126" spans="1:6" s="1519" customFormat="1" ht="14.25" customHeight="1" thickBot="1">
      <c r="A126" s="1531" t="s">
        <v>203</v>
      </c>
      <c r="B126" s="1525" t="s">
        <v>1368</v>
      </c>
      <c r="C126" s="1525">
        <v>10780</v>
      </c>
      <c r="D126" s="1525">
        <v>10750</v>
      </c>
      <c r="E126" s="1525">
        <v>11080</v>
      </c>
      <c r="F126" s="1543"/>
    </row>
    <row r="127" spans="1:6" s="1519" customFormat="1" ht="14.25" customHeight="1" thickBot="1">
      <c r="A127" s="1531" t="s">
        <v>203</v>
      </c>
      <c r="B127" s="1525" t="s">
        <v>1378</v>
      </c>
      <c r="C127" s="1525">
        <v>10100</v>
      </c>
      <c r="D127" s="1525">
        <v>10070</v>
      </c>
      <c r="E127" s="1525">
        <v>10350</v>
      </c>
      <c r="F127" s="1543"/>
    </row>
    <row r="128" spans="1:6" s="1519" customFormat="1" ht="14.25" customHeight="1" thickBot="1">
      <c r="A128" s="1531" t="s">
        <v>203</v>
      </c>
      <c r="B128" s="1525" t="s">
        <v>1388</v>
      </c>
      <c r="C128" s="1525">
        <v>9200</v>
      </c>
      <c r="D128" s="1525">
        <v>9160</v>
      </c>
      <c r="E128" s="1525">
        <v>9660</v>
      </c>
      <c r="F128" s="1543"/>
    </row>
    <row r="129" spans="1:6" s="1519" customFormat="1" ht="14.25" customHeight="1" thickBot="1">
      <c r="A129" s="1531" t="s">
        <v>203</v>
      </c>
      <c r="B129" s="1525" t="s">
        <v>1397</v>
      </c>
      <c r="C129" s="1525">
        <v>10340</v>
      </c>
      <c r="D129" s="1525">
        <v>10310</v>
      </c>
      <c r="E129" s="1525">
        <v>10580</v>
      </c>
      <c r="F129" s="1543"/>
    </row>
    <row r="130" spans="1:6" s="1519" customFormat="1" ht="14.25" customHeight="1" thickBot="1">
      <c r="A130" s="1531" t="s">
        <v>203</v>
      </c>
      <c r="B130" s="1525" t="s">
        <v>1406</v>
      </c>
      <c r="C130" s="1525">
        <v>9680</v>
      </c>
      <c r="D130" s="1525">
        <v>9660</v>
      </c>
      <c r="E130" s="1525">
        <v>9950</v>
      </c>
      <c r="F130" s="1543"/>
    </row>
    <row r="131" spans="1:6" s="1519" customFormat="1" ht="14.25" customHeight="1" thickBot="1">
      <c r="A131" s="1531" t="s">
        <v>203</v>
      </c>
      <c r="B131" s="1525" t="s">
        <v>1414</v>
      </c>
      <c r="C131" s="1525">
        <v>9540</v>
      </c>
      <c r="D131" s="1525">
        <v>9510</v>
      </c>
      <c r="E131" s="1525">
        <v>9790</v>
      </c>
      <c r="F131" s="1543"/>
    </row>
    <row r="132" spans="1:6" s="1519" customFormat="1" ht="14.25" customHeight="1" thickBot="1">
      <c r="A132" s="1531" t="s">
        <v>203</v>
      </c>
      <c r="B132" s="1525" t="s">
        <v>1421</v>
      </c>
      <c r="C132" s="1525">
        <v>9320</v>
      </c>
      <c r="D132" s="1525">
        <v>9290</v>
      </c>
      <c r="E132" s="1525">
        <v>9570</v>
      </c>
      <c r="F132" s="1543"/>
    </row>
    <row r="133" spans="1:6" s="1519" customFormat="1" ht="14.25" customHeight="1" thickBot="1">
      <c r="A133" s="1531" t="s">
        <v>203</v>
      </c>
      <c r="B133" s="1525" t="s">
        <v>1428</v>
      </c>
      <c r="C133" s="1525">
        <v>10310</v>
      </c>
      <c r="D133" s="1525">
        <v>10280</v>
      </c>
      <c r="E133" s="1525">
        <v>10530</v>
      </c>
      <c r="F133" s="1543"/>
    </row>
    <row r="134" spans="1:6" s="1519" customFormat="1" ht="14.25" customHeight="1" thickBot="1">
      <c r="A134" s="1531" t="s">
        <v>203</v>
      </c>
      <c r="B134" s="1525" t="s">
        <v>1435</v>
      </c>
      <c r="C134" s="1525">
        <v>10370</v>
      </c>
      <c r="D134" s="1525">
        <v>10310</v>
      </c>
      <c r="E134" s="1525">
        <v>10240</v>
      </c>
      <c r="F134" s="1539">
        <v>2060</v>
      </c>
    </row>
    <row r="135" spans="1:6" s="1519" customFormat="1" ht="14.25" customHeight="1" thickBot="1">
      <c r="A135" s="1531" t="s">
        <v>203</v>
      </c>
      <c r="B135" s="1525" t="s">
        <v>1442</v>
      </c>
      <c r="C135" s="1525">
        <v>9300</v>
      </c>
      <c r="D135" s="1525">
        <v>9270</v>
      </c>
      <c r="E135" s="1525">
        <v>9350</v>
      </c>
      <c r="F135" s="1543"/>
    </row>
    <row r="136" spans="1:6" s="1519" customFormat="1" ht="14.25" customHeight="1" thickBot="1">
      <c r="A136" s="1531" t="s">
        <v>203</v>
      </c>
      <c r="B136" s="1525" t="s">
        <v>1449</v>
      </c>
      <c r="C136" s="1525">
        <v>10160</v>
      </c>
      <c r="D136" s="1525">
        <v>10110</v>
      </c>
      <c r="E136" s="1525">
        <v>10080</v>
      </c>
      <c r="F136" s="1543"/>
    </row>
    <row r="137" spans="1:6" s="1519" customFormat="1" ht="14.25" customHeight="1" thickBot="1">
      <c r="A137" s="1531" t="s">
        <v>203</v>
      </c>
      <c r="B137" s="1525" t="s">
        <v>1456</v>
      </c>
      <c r="C137" s="1525">
        <v>9200</v>
      </c>
      <c r="D137" s="1525">
        <v>9170</v>
      </c>
      <c r="E137" s="1525">
        <v>9450</v>
      </c>
      <c r="F137" s="1543"/>
    </row>
    <row r="138" spans="1:6" s="1519" customFormat="1" ht="14.25" customHeight="1" thickBot="1">
      <c r="A138" s="1531" t="s">
        <v>203</v>
      </c>
      <c r="B138" s="1525" t="s">
        <v>1461</v>
      </c>
      <c r="C138" s="1525">
        <v>9690</v>
      </c>
      <c r="D138" s="1525">
        <v>9660</v>
      </c>
      <c r="E138" s="1525">
        <v>9840</v>
      </c>
      <c r="F138" s="1543"/>
    </row>
    <row r="139" spans="1:6" s="1519" customFormat="1" ht="14.25" customHeight="1" thickBot="1">
      <c r="A139" s="1531" t="s">
        <v>203</v>
      </c>
      <c r="B139" s="1525" t="s">
        <v>1465</v>
      </c>
      <c r="C139" s="1525">
        <v>10290</v>
      </c>
      <c r="D139" s="1525">
        <v>10260</v>
      </c>
      <c r="E139" s="1525">
        <v>10550</v>
      </c>
      <c r="F139" s="1539">
        <v>1700</v>
      </c>
    </row>
    <row r="140" spans="1:6" s="1519" customFormat="1" ht="14.25" customHeight="1" thickBot="1">
      <c r="A140" s="1531" t="s">
        <v>203</v>
      </c>
      <c r="B140" s="1525" t="s">
        <v>1470</v>
      </c>
      <c r="C140" s="1525">
        <v>9740</v>
      </c>
      <c r="D140" s="1525">
        <v>9710</v>
      </c>
      <c r="E140" s="1525">
        <v>10000</v>
      </c>
      <c r="F140" s="1539">
        <v>2000</v>
      </c>
    </row>
    <row r="141" spans="1:6" s="1519" customFormat="1" ht="14.25" customHeight="1" thickBot="1">
      <c r="A141" s="1531" t="s">
        <v>203</v>
      </c>
      <c r="B141" s="1525" t="s">
        <v>1475</v>
      </c>
      <c r="C141" s="1525">
        <v>9810</v>
      </c>
      <c r="D141" s="1525">
        <v>9770</v>
      </c>
      <c r="E141" s="1525">
        <v>10060</v>
      </c>
      <c r="F141" s="1543"/>
    </row>
    <row r="142" spans="1:6" s="1519" customFormat="1" ht="14.25" customHeight="1" thickBot="1">
      <c r="A142" s="1531" t="s">
        <v>203</v>
      </c>
      <c r="B142" s="1525" t="s">
        <v>1480</v>
      </c>
      <c r="C142" s="1525">
        <v>9300</v>
      </c>
      <c r="D142" s="1525">
        <v>9270</v>
      </c>
      <c r="E142" s="1525">
        <v>9530</v>
      </c>
      <c r="F142" s="1543"/>
    </row>
    <row r="143" spans="1:6" s="1519" customFormat="1" ht="14.25" customHeight="1" thickBot="1">
      <c r="A143" s="1531" t="s">
        <v>203</v>
      </c>
      <c r="B143" s="1525" t="s">
        <v>1485</v>
      </c>
      <c r="C143" s="1525">
        <v>10080</v>
      </c>
      <c r="D143" s="1525">
        <v>10050</v>
      </c>
      <c r="E143" s="1525">
        <v>10340</v>
      </c>
      <c r="F143" s="1543"/>
    </row>
    <row r="144" spans="1:6" s="1519" customFormat="1" ht="14.25" customHeight="1" thickBot="1">
      <c r="A144" s="1531" t="s">
        <v>203</v>
      </c>
      <c r="B144" s="1525" t="s">
        <v>1489</v>
      </c>
      <c r="C144" s="1525">
        <v>9820</v>
      </c>
      <c r="D144" s="1525">
        <v>9750</v>
      </c>
      <c r="E144" s="1525">
        <v>9900</v>
      </c>
      <c r="F144" s="1543"/>
    </row>
    <row r="145" spans="1:6" s="1519" customFormat="1" ht="14.25" customHeight="1" thickBot="1">
      <c r="A145" s="1531" t="s">
        <v>203</v>
      </c>
      <c r="B145" s="1525" t="s">
        <v>1493</v>
      </c>
      <c r="C145" s="1525"/>
      <c r="D145" s="1525"/>
      <c r="E145" s="1525"/>
      <c r="F145" s="1539">
        <v>1740</v>
      </c>
    </row>
    <row r="146" spans="1:6" s="1519" customFormat="1" ht="14.25" customHeight="1" thickBot="1">
      <c r="A146" s="1531" t="s">
        <v>203</v>
      </c>
      <c r="B146" s="1525" t="s">
        <v>1497</v>
      </c>
      <c r="C146" s="1525"/>
      <c r="D146" s="1525"/>
      <c r="E146" s="1525"/>
      <c r="F146" s="1539">
        <v>1740</v>
      </c>
    </row>
    <row r="147" spans="1:6" s="1519" customFormat="1" ht="14.25" customHeight="1" thickBot="1">
      <c r="A147" s="1531" t="s">
        <v>203</v>
      </c>
      <c r="B147" s="1525" t="s">
        <v>1501</v>
      </c>
      <c r="C147" s="1525"/>
      <c r="D147" s="1525"/>
      <c r="E147" s="1525"/>
      <c r="F147" s="1539">
        <v>1740</v>
      </c>
    </row>
    <row r="148" spans="1:6" s="1519" customFormat="1" ht="14.25" customHeight="1" thickBot="1">
      <c r="A148" s="1531" t="s">
        <v>203</v>
      </c>
      <c r="B148" s="1525" t="s">
        <v>1505</v>
      </c>
      <c r="C148" s="1525"/>
      <c r="D148" s="1525"/>
      <c r="E148" s="1525"/>
      <c r="F148" s="1539">
        <v>1740</v>
      </c>
    </row>
    <row r="149" spans="1:6" s="1519" customFormat="1" ht="14.25" customHeight="1" thickBot="1">
      <c r="A149" s="1531" t="s">
        <v>203</v>
      </c>
      <c r="B149" s="1525" t="s">
        <v>1509</v>
      </c>
      <c r="C149" s="1525"/>
      <c r="D149" s="1525"/>
      <c r="E149" s="1525"/>
      <c r="F149" s="1539">
        <v>1740</v>
      </c>
    </row>
    <row r="150" spans="1:6" s="1519" customFormat="1" ht="14.25" customHeight="1" thickBot="1">
      <c r="A150" s="1531" t="s">
        <v>203</v>
      </c>
      <c r="B150" s="1525" t="s">
        <v>1512</v>
      </c>
      <c r="C150" s="1525"/>
      <c r="D150" s="1525"/>
      <c r="E150" s="1525"/>
      <c r="F150" s="1539">
        <v>1610</v>
      </c>
    </row>
    <row r="151" spans="1:6" s="1519" customFormat="1" ht="14.25" customHeight="1" thickBot="1">
      <c r="A151" s="1531" t="s">
        <v>203</v>
      </c>
      <c r="B151" s="1525" t="s">
        <v>1515</v>
      </c>
      <c r="C151" s="1525"/>
      <c r="D151" s="1525"/>
      <c r="E151" s="1525"/>
      <c r="F151" s="1539">
        <v>1610</v>
      </c>
    </row>
    <row r="152" spans="1:6" s="1519" customFormat="1" ht="14.25" customHeight="1" thickBot="1">
      <c r="A152" s="1531" t="s">
        <v>203</v>
      </c>
      <c r="B152" s="1525" t="s">
        <v>1518</v>
      </c>
      <c r="C152" s="1525"/>
      <c r="D152" s="1525"/>
      <c r="E152" s="1525"/>
      <c r="F152" s="1539">
        <v>1610</v>
      </c>
    </row>
    <row r="153" spans="1:6" s="1519" customFormat="1" ht="14.25" customHeight="1" thickBot="1">
      <c r="A153" s="1531" t="s">
        <v>203</v>
      </c>
      <c r="B153" s="1525" t="s">
        <v>1521</v>
      </c>
      <c r="C153" s="1525"/>
      <c r="D153" s="1525"/>
      <c r="E153" s="1525"/>
      <c r="F153" s="1539">
        <v>1610</v>
      </c>
    </row>
    <row r="154" spans="1:6" s="1519" customFormat="1" ht="14.25" customHeight="1" thickBot="1">
      <c r="A154" s="1531" t="s">
        <v>203</v>
      </c>
      <c r="B154" s="1525" t="s">
        <v>1524</v>
      </c>
      <c r="C154" s="1525"/>
      <c r="D154" s="1525"/>
      <c r="E154" s="1525"/>
      <c r="F154" s="1539">
        <v>1610</v>
      </c>
    </row>
    <row r="155" spans="1:6" s="1519" customFormat="1" ht="14.25" customHeight="1" thickBot="1">
      <c r="A155" s="1531" t="s">
        <v>203</v>
      </c>
      <c r="B155" s="1525" t="s">
        <v>1527</v>
      </c>
      <c r="C155" s="1525"/>
      <c r="D155" s="1525"/>
      <c r="E155" s="1525"/>
      <c r="F155" s="1539">
        <v>1800</v>
      </c>
    </row>
    <row r="156" spans="1:6" s="1519" customFormat="1" ht="14.25" customHeight="1" thickBot="1">
      <c r="A156" s="1531" t="s">
        <v>203</v>
      </c>
      <c r="B156" s="1525" t="s">
        <v>1529</v>
      </c>
      <c r="C156" s="1525"/>
      <c r="D156" s="1525"/>
      <c r="E156" s="1525"/>
      <c r="F156" s="1539">
        <v>1910</v>
      </c>
    </row>
    <row r="157" spans="1:6" s="1519" customFormat="1" ht="14.25" customHeight="1" thickBot="1">
      <c r="A157" s="1531" t="s">
        <v>203</v>
      </c>
      <c r="B157" s="1537" t="s">
        <v>1532</v>
      </c>
      <c r="C157" s="1537"/>
      <c r="D157" s="1537"/>
      <c r="E157" s="1537"/>
      <c r="F157" s="1542">
        <v>1500</v>
      </c>
    </row>
    <row r="158" spans="1:6" s="1519" customFormat="1" ht="14.25" customHeight="1" thickBot="1">
      <c r="A158" s="1531" t="s">
        <v>1537</v>
      </c>
      <c r="B158" s="1532" t="s">
        <v>1538</v>
      </c>
      <c r="C158" s="1532">
        <v>8170</v>
      </c>
      <c r="D158" s="1532">
        <v>8140</v>
      </c>
      <c r="E158" s="1532">
        <v>8590</v>
      </c>
      <c r="F158" s="1533">
        <v>1450</v>
      </c>
    </row>
    <row r="159" spans="1:6" s="1519" customFormat="1" ht="14.25" customHeight="1" thickBot="1">
      <c r="A159" s="1531" t="s">
        <v>1537</v>
      </c>
      <c r="B159" s="1525" t="s">
        <v>1204</v>
      </c>
      <c r="C159" s="1525">
        <v>7410</v>
      </c>
      <c r="D159" s="1525">
        <v>7370</v>
      </c>
      <c r="E159" s="1525">
        <v>8030</v>
      </c>
      <c r="F159" s="1539">
        <v>1510</v>
      </c>
    </row>
    <row r="160" spans="1:6" s="1519" customFormat="1" ht="14.25" customHeight="1" thickBot="1">
      <c r="A160" s="1531" t="s">
        <v>1537</v>
      </c>
      <c r="B160" s="1525" t="s">
        <v>1217</v>
      </c>
      <c r="C160" s="1525">
        <v>7240</v>
      </c>
      <c r="D160" s="1525">
        <v>7210</v>
      </c>
      <c r="E160" s="1525">
        <v>7860</v>
      </c>
      <c r="F160" s="1539">
        <v>1370</v>
      </c>
    </row>
    <row r="161" spans="1:6" s="1519" customFormat="1" ht="14.25" customHeight="1" thickBot="1">
      <c r="A161" s="1531" t="s">
        <v>1537</v>
      </c>
      <c r="B161" s="1525" t="s">
        <v>1230</v>
      </c>
      <c r="C161" s="1525">
        <v>7720</v>
      </c>
      <c r="D161" s="1525">
        <v>7690</v>
      </c>
      <c r="E161" s="1525">
        <v>8200</v>
      </c>
      <c r="F161" s="1539">
        <v>1190</v>
      </c>
    </row>
    <row r="162" spans="1:6" s="1519" customFormat="1" ht="14.25" customHeight="1" thickBot="1">
      <c r="A162" s="1531" t="s">
        <v>1537</v>
      </c>
      <c r="B162" s="1525" t="s">
        <v>1242</v>
      </c>
      <c r="C162" s="1525">
        <v>6900</v>
      </c>
      <c r="D162" s="1525">
        <v>6870</v>
      </c>
      <c r="E162" s="1525">
        <v>7500</v>
      </c>
      <c r="F162" s="1539">
        <v>1390</v>
      </c>
    </row>
    <row r="163" spans="1:6" s="1519" customFormat="1" ht="14.25" customHeight="1" thickBot="1">
      <c r="A163" s="1531" t="s">
        <v>1537</v>
      </c>
      <c r="B163" s="1525" t="s">
        <v>1253</v>
      </c>
      <c r="C163" s="1525">
        <v>7120</v>
      </c>
      <c r="D163" s="1525">
        <v>7090</v>
      </c>
      <c r="E163" s="1525">
        <v>7690</v>
      </c>
      <c r="F163" s="1539">
        <v>1230</v>
      </c>
    </row>
    <row r="164" spans="1:6" s="1519" customFormat="1" ht="14.25" customHeight="1" thickBot="1">
      <c r="A164" s="1531" t="s">
        <v>1537</v>
      </c>
      <c r="B164" s="1525" t="s">
        <v>1264</v>
      </c>
      <c r="C164" s="1525">
        <v>6560</v>
      </c>
      <c r="D164" s="1525">
        <v>6530</v>
      </c>
      <c r="E164" s="1525">
        <v>7110</v>
      </c>
      <c r="F164" s="1539">
        <v>1340</v>
      </c>
    </row>
    <row r="165" spans="1:6" s="1519" customFormat="1" ht="14.25" customHeight="1" thickBot="1">
      <c r="A165" s="1531" t="s">
        <v>1537</v>
      </c>
      <c r="B165" s="1525" t="s">
        <v>1275</v>
      </c>
      <c r="C165" s="1525">
        <v>7450</v>
      </c>
      <c r="D165" s="1525">
        <v>7430</v>
      </c>
      <c r="E165" s="1525">
        <v>8110</v>
      </c>
      <c r="F165" s="1539">
        <v>1290</v>
      </c>
    </row>
    <row r="166" spans="1:6" s="1519" customFormat="1" ht="14.25" customHeight="1" thickBot="1">
      <c r="A166" s="1531" t="s">
        <v>1537</v>
      </c>
      <c r="B166" s="1525" t="s">
        <v>1287</v>
      </c>
      <c r="C166" s="1525">
        <v>7490</v>
      </c>
      <c r="D166" s="1525">
        <v>7460</v>
      </c>
      <c r="E166" s="1525">
        <v>8150</v>
      </c>
      <c r="F166" s="1539">
        <v>1350</v>
      </c>
    </row>
    <row r="167" spans="1:6" s="1519" customFormat="1" ht="14.25" customHeight="1" thickBot="1">
      <c r="A167" s="1531" t="s">
        <v>1537</v>
      </c>
      <c r="B167" s="1525" t="s">
        <v>1297</v>
      </c>
      <c r="C167" s="1525">
        <v>7540</v>
      </c>
      <c r="D167" s="1525">
        <v>7510</v>
      </c>
      <c r="E167" s="1525">
        <v>8030</v>
      </c>
      <c r="F167" s="1543"/>
    </row>
    <row r="168" spans="1:6" s="1519" customFormat="1" ht="14.25" customHeight="1" thickBot="1">
      <c r="A168" s="1531" t="s">
        <v>1537</v>
      </c>
      <c r="B168" s="1525" t="s">
        <v>1307</v>
      </c>
      <c r="C168" s="1525">
        <v>7210</v>
      </c>
      <c r="D168" s="1525">
        <v>7180</v>
      </c>
      <c r="E168" s="1525">
        <v>7830</v>
      </c>
      <c r="F168" s="1543"/>
    </row>
    <row r="169" spans="1:6" s="1519" customFormat="1" ht="14.25" customHeight="1" thickBot="1">
      <c r="A169" s="1531" t="s">
        <v>1537</v>
      </c>
      <c r="B169" s="1525" t="s">
        <v>1317</v>
      </c>
      <c r="C169" s="1525">
        <v>7040</v>
      </c>
      <c r="D169" s="1525">
        <v>7020</v>
      </c>
      <c r="E169" s="1525">
        <v>7670</v>
      </c>
      <c r="F169" s="1543"/>
    </row>
    <row r="170" spans="1:6" s="1519" customFormat="1" ht="14.25" customHeight="1" thickBot="1">
      <c r="A170" s="1531" t="s">
        <v>1537</v>
      </c>
      <c r="B170" s="1525" t="s">
        <v>1327</v>
      </c>
      <c r="C170" s="1525">
        <v>8040</v>
      </c>
      <c r="D170" s="1525">
        <v>7190</v>
      </c>
      <c r="E170" s="1525">
        <v>7850</v>
      </c>
      <c r="F170" s="1543"/>
    </row>
    <row r="171" spans="1:6" s="1519" customFormat="1" ht="14.25" customHeight="1" thickBot="1">
      <c r="A171" s="1531" t="s">
        <v>1537</v>
      </c>
      <c r="B171" s="1525" t="s">
        <v>1338</v>
      </c>
      <c r="C171" s="1525">
        <v>7860</v>
      </c>
      <c r="D171" s="1525">
        <v>7720</v>
      </c>
      <c r="E171" s="1525">
        <v>8150</v>
      </c>
      <c r="F171" s="1539">
        <v>1110</v>
      </c>
    </row>
    <row r="172" spans="1:6" s="1519" customFormat="1" ht="14.25" customHeight="1" thickBot="1">
      <c r="A172" s="1531" t="s">
        <v>1537</v>
      </c>
      <c r="B172" s="1525" t="s">
        <v>1349</v>
      </c>
      <c r="C172" s="1525">
        <v>7210</v>
      </c>
      <c r="D172" s="1525">
        <v>7170</v>
      </c>
      <c r="E172" s="1525">
        <v>7320</v>
      </c>
      <c r="F172" s="1543"/>
    </row>
    <row r="173" spans="1:6" s="1519" customFormat="1" ht="14.25" customHeight="1" thickBot="1">
      <c r="A173" s="1531" t="s">
        <v>1537</v>
      </c>
      <c r="B173" s="1525" t="s">
        <v>1359</v>
      </c>
      <c r="C173" s="1525">
        <v>6860</v>
      </c>
      <c r="D173" s="1525">
        <v>6810</v>
      </c>
      <c r="E173" s="1525">
        <v>7440</v>
      </c>
      <c r="F173" s="1543"/>
    </row>
    <row r="174" spans="1:6" s="1519" customFormat="1" ht="14.25" customHeight="1" thickBot="1">
      <c r="A174" s="1531" t="s">
        <v>1537</v>
      </c>
      <c r="B174" s="1525" t="s">
        <v>1369</v>
      </c>
      <c r="C174" s="1525">
        <v>7120</v>
      </c>
      <c r="D174" s="1525">
        <v>7090</v>
      </c>
      <c r="E174" s="1525">
        <v>7500</v>
      </c>
      <c r="F174" s="1539">
        <v>1490</v>
      </c>
    </row>
    <row r="175" spans="1:6" s="1519" customFormat="1" ht="14.25" customHeight="1" thickBot="1">
      <c r="A175" s="1531" t="s">
        <v>1537</v>
      </c>
      <c r="B175" s="1525" t="s">
        <v>1379</v>
      </c>
      <c r="C175" s="1525">
        <v>7850</v>
      </c>
      <c r="D175" s="1525">
        <v>7820</v>
      </c>
      <c r="E175" s="1525">
        <v>8120</v>
      </c>
      <c r="F175" s="1539">
        <v>1530</v>
      </c>
    </row>
    <row r="176" spans="1:6" s="1519" customFormat="1" ht="14.25" customHeight="1" thickBot="1">
      <c r="A176" s="1531" t="s">
        <v>1537</v>
      </c>
      <c r="B176" s="1525" t="s">
        <v>1389</v>
      </c>
      <c r="C176" s="1525">
        <v>7620</v>
      </c>
      <c r="D176" s="1525">
        <v>7570</v>
      </c>
      <c r="E176" s="1525">
        <v>7990</v>
      </c>
      <c r="F176" s="1539">
        <v>1480</v>
      </c>
    </row>
    <row r="177" spans="1:6" s="1519" customFormat="1" ht="14.25" customHeight="1" thickBot="1">
      <c r="A177" s="1531" t="s">
        <v>1537</v>
      </c>
      <c r="B177" s="1525" t="s">
        <v>1398</v>
      </c>
      <c r="C177" s="1525">
        <v>8590</v>
      </c>
      <c r="D177" s="1525">
        <v>8570</v>
      </c>
      <c r="E177" s="1525">
        <v>8740</v>
      </c>
      <c r="F177" s="1539">
        <v>1540</v>
      </c>
    </row>
    <row r="178" spans="1:6" s="1519" customFormat="1" ht="14.25" customHeight="1" thickBot="1">
      <c r="A178" s="1531" t="s">
        <v>1537</v>
      </c>
      <c r="B178" s="1525" t="s">
        <v>1407</v>
      </c>
      <c r="C178" s="1525">
        <v>7510</v>
      </c>
      <c r="D178" s="1525">
        <v>7470</v>
      </c>
      <c r="E178" s="1525">
        <v>8090</v>
      </c>
      <c r="F178" s="1539">
        <v>1320</v>
      </c>
    </row>
    <row r="179" spans="1:6" s="1519" customFormat="1" ht="14.25" customHeight="1" thickBot="1">
      <c r="A179" s="1531" t="s">
        <v>1537</v>
      </c>
      <c r="B179" s="1525" t="s">
        <v>1415</v>
      </c>
      <c r="C179" s="1525">
        <v>6380</v>
      </c>
      <c r="D179" s="1525">
        <v>6340</v>
      </c>
      <c r="E179" s="1525">
        <v>6810</v>
      </c>
      <c r="F179" s="1543"/>
    </row>
    <row r="180" spans="1:6" s="1519" customFormat="1" ht="14.25" customHeight="1" thickBot="1">
      <c r="A180" s="1531" t="s">
        <v>1537</v>
      </c>
      <c r="B180" s="1525" t="s">
        <v>1422</v>
      </c>
      <c r="C180" s="1525">
        <v>7830</v>
      </c>
      <c r="D180" s="1525">
        <v>7800</v>
      </c>
      <c r="E180" s="1525">
        <v>7780</v>
      </c>
      <c r="F180" s="1539">
        <v>1440</v>
      </c>
    </row>
    <row r="181" spans="1:6" s="1519" customFormat="1" ht="14.25" customHeight="1" thickBot="1">
      <c r="A181" s="1531" t="s">
        <v>1537</v>
      </c>
      <c r="B181" s="1525" t="s">
        <v>1429</v>
      </c>
      <c r="C181" s="1525">
        <v>7110</v>
      </c>
      <c r="D181" s="1525">
        <v>7080</v>
      </c>
      <c r="E181" s="1525">
        <v>7730</v>
      </c>
      <c r="F181" s="1539">
        <v>1350</v>
      </c>
    </row>
    <row r="182" spans="1:6" s="1519" customFormat="1" ht="14.25" customHeight="1" thickBot="1">
      <c r="A182" s="1531" t="s">
        <v>1537</v>
      </c>
      <c r="B182" s="1525" t="s">
        <v>1436</v>
      </c>
      <c r="C182" s="1525">
        <v>7310</v>
      </c>
      <c r="D182" s="1525">
        <v>7280</v>
      </c>
      <c r="E182" s="1525">
        <v>7950</v>
      </c>
      <c r="F182" s="1539">
        <v>1220</v>
      </c>
    </row>
    <row r="183" spans="1:6" s="1519" customFormat="1" ht="14.25" customHeight="1" thickBot="1">
      <c r="A183" s="1531" t="s">
        <v>1537</v>
      </c>
      <c r="B183" s="1525" t="s">
        <v>1443</v>
      </c>
      <c r="C183" s="1525">
        <v>7470</v>
      </c>
      <c r="D183" s="1525">
        <v>7440</v>
      </c>
      <c r="E183" s="1525">
        <v>7880</v>
      </c>
      <c r="F183" s="1543"/>
    </row>
    <row r="184" spans="1:6" s="1519" customFormat="1" ht="14.25" customHeight="1" thickBot="1">
      <c r="A184" s="1531" t="s">
        <v>1537</v>
      </c>
      <c r="B184" s="1525" t="s">
        <v>1450</v>
      </c>
      <c r="C184" s="1525">
        <v>6960</v>
      </c>
      <c r="D184" s="1525">
        <v>6930</v>
      </c>
      <c r="E184" s="1525">
        <v>7570</v>
      </c>
      <c r="F184" s="1543"/>
    </row>
    <row r="185" spans="1:6" s="1519" customFormat="1" ht="14.25" customHeight="1" thickBot="1">
      <c r="A185" s="1531" t="s">
        <v>1537</v>
      </c>
      <c r="B185" s="1525" t="s">
        <v>1457</v>
      </c>
      <c r="C185" s="1525">
        <v>7260</v>
      </c>
      <c r="D185" s="1525">
        <v>7230</v>
      </c>
      <c r="E185" s="1525">
        <v>7710</v>
      </c>
      <c r="F185" s="1539">
        <v>1360</v>
      </c>
    </row>
    <row r="186" spans="1:6" s="1519" customFormat="1" ht="14.25" customHeight="1" thickBot="1">
      <c r="A186" s="1531" t="s">
        <v>1537</v>
      </c>
      <c r="B186" s="1525" t="s">
        <v>1462</v>
      </c>
      <c r="C186" s="1525"/>
      <c r="D186" s="1525"/>
      <c r="E186" s="1525"/>
      <c r="F186" s="1539">
        <v>1560</v>
      </c>
    </row>
    <row r="187" spans="1:6" s="1519" customFormat="1" ht="14.25" customHeight="1" thickBot="1">
      <c r="A187" s="1531" t="s">
        <v>1537</v>
      </c>
      <c r="B187" s="1525" t="s">
        <v>1466</v>
      </c>
      <c r="C187" s="1525"/>
      <c r="D187" s="1525"/>
      <c r="E187" s="1525"/>
      <c r="F187" s="1539">
        <v>1560</v>
      </c>
    </row>
    <row r="188" spans="1:6" s="1519" customFormat="1" ht="14.25" customHeight="1" thickBot="1">
      <c r="A188" s="1531" t="s">
        <v>1537</v>
      </c>
      <c r="B188" s="1525" t="s">
        <v>1471</v>
      </c>
      <c r="C188" s="1525"/>
      <c r="D188" s="1525"/>
      <c r="E188" s="1525"/>
      <c r="F188" s="1539">
        <v>1560</v>
      </c>
    </row>
    <row r="189" spans="1:6" s="1519" customFormat="1" ht="14.25" customHeight="1" thickBot="1">
      <c r="A189" s="1531" t="s">
        <v>1537</v>
      </c>
      <c r="B189" s="1525" t="s">
        <v>1476</v>
      </c>
      <c r="C189" s="1525"/>
      <c r="D189" s="1525"/>
      <c r="E189" s="1525"/>
      <c r="F189" s="1539">
        <v>1320</v>
      </c>
    </row>
    <row r="190" spans="1:6" s="1519" customFormat="1" ht="14.25" customHeight="1" thickBot="1">
      <c r="A190" s="1531" t="s">
        <v>1537</v>
      </c>
      <c r="B190" s="1525" t="s">
        <v>1481</v>
      </c>
      <c r="C190" s="1525"/>
      <c r="D190" s="1525"/>
      <c r="E190" s="1525"/>
      <c r="F190" s="1539">
        <v>1320</v>
      </c>
    </row>
    <row r="191" spans="1:6" s="1519" customFormat="1" ht="14.25" customHeight="1" thickBot="1">
      <c r="A191" s="1531" t="s">
        <v>1537</v>
      </c>
      <c r="B191" s="1525" t="s">
        <v>1486</v>
      </c>
      <c r="C191" s="1525"/>
      <c r="D191" s="1525"/>
      <c r="E191" s="1525"/>
      <c r="F191" s="1539">
        <v>1320</v>
      </c>
    </row>
    <row r="192" spans="1:6" s="1519" customFormat="1" ht="14.25" customHeight="1" thickBot="1">
      <c r="A192" s="1531" t="s">
        <v>1537</v>
      </c>
      <c r="B192" s="1525" t="s">
        <v>1490</v>
      </c>
      <c r="C192" s="1525"/>
      <c r="D192" s="1525"/>
      <c r="E192" s="1525"/>
      <c r="F192" s="1539">
        <v>1100</v>
      </c>
    </row>
    <row r="193" spans="1:6" s="1519" customFormat="1" ht="14.25" customHeight="1" thickBot="1">
      <c r="A193" s="1531" t="s">
        <v>1537</v>
      </c>
      <c r="B193" s="1525" t="s">
        <v>1494</v>
      </c>
      <c r="C193" s="1525"/>
      <c r="D193" s="1525"/>
      <c r="E193" s="1525"/>
      <c r="F193" s="1539">
        <v>1100</v>
      </c>
    </row>
    <row r="194" spans="1:6" s="1519" customFormat="1" ht="14.25" customHeight="1" thickBot="1">
      <c r="A194" s="1531" t="s">
        <v>1537</v>
      </c>
      <c r="B194" s="1525" t="s">
        <v>1498</v>
      </c>
      <c r="C194" s="1525"/>
      <c r="D194" s="1525"/>
      <c r="E194" s="1525"/>
      <c r="F194" s="1539">
        <v>1080</v>
      </c>
    </row>
    <row r="195" spans="1:6" s="1519" customFormat="1" ht="14.25" customHeight="1" thickBot="1">
      <c r="A195" s="1531" t="s">
        <v>1537</v>
      </c>
      <c r="B195" s="1525" t="s">
        <v>1502</v>
      </c>
      <c r="C195" s="1525"/>
      <c r="D195" s="1525"/>
      <c r="E195" s="1525"/>
      <c r="F195" s="1539">
        <v>1270</v>
      </c>
    </row>
    <row r="196" spans="1:6" s="1519" customFormat="1" ht="14.25" customHeight="1" thickBot="1">
      <c r="A196" s="1531" t="s">
        <v>1537</v>
      </c>
      <c r="B196" s="1525" t="s">
        <v>1506</v>
      </c>
      <c r="C196" s="1525"/>
      <c r="D196" s="1525"/>
      <c r="E196" s="1525"/>
      <c r="F196" s="1539">
        <v>1150</v>
      </c>
    </row>
    <row r="197" spans="1:6" s="1519" customFormat="1" ht="14.25" customHeight="1" thickBot="1">
      <c r="A197" s="1531" t="s">
        <v>1537</v>
      </c>
      <c r="B197" s="1525" t="s">
        <v>1510</v>
      </c>
      <c r="C197" s="1525"/>
      <c r="D197" s="1525"/>
      <c r="E197" s="1525"/>
      <c r="F197" s="1539">
        <v>1330</v>
      </c>
    </row>
    <row r="198" spans="1:6" s="1519" customFormat="1" ht="14.25" customHeight="1" thickBot="1">
      <c r="A198" s="1531" t="s">
        <v>1537</v>
      </c>
      <c r="B198" s="1525" t="s">
        <v>1513</v>
      </c>
      <c r="C198" s="1525"/>
      <c r="D198" s="1525"/>
      <c r="E198" s="1525"/>
      <c r="F198" s="1539">
        <v>1170</v>
      </c>
    </row>
    <row r="199" spans="1:6" s="1519" customFormat="1" ht="14.25" customHeight="1" thickBot="1">
      <c r="A199" s="1531" t="s">
        <v>1537</v>
      </c>
      <c r="B199" s="1525" t="s">
        <v>1516</v>
      </c>
      <c r="C199" s="1525"/>
      <c r="D199" s="1525"/>
      <c r="E199" s="1525"/>
      <c r="F199" s="1539">
        <v>1120</v>
      </c>
    </row>
    <row r="200" spans="1:6" s="1519" customFormat="1" ht="14.25" customHeight="1" thickBot="1">
      <c r="A200" s="1531" t="s">
        <v>1537</v>
      </c>
      <c r="B200" s="1525" t="s">
        <v>1519</v>
      </c>
      <c r="C200" s="1525"/>
      <c r="D200" s="1525"/>
      <c r="E200" s="1525"/>
      <c r="F200" s="1539">
        <v>1120</v>
      </c>
    </row>
    <row r="201" spans="1:6" s="1519" customFormat="1" ht="14.25" customHeight="1" thickBot="1">
      <c r="A201" s="1531" t="s">
        <v>1537</v>
      </c>
      <c r="B201" s="1525" t="s">
        <v>1522</v>
      </c>
      <c r="C201" s="1525"/>
      <c r="D201" s="1525"/>
      <c r="E201" s="1525"/>
      <c r="F201" s="1539">
        <v>1540</v>
      </c>
    </row>
    <row r="202" spans="1:6" s="1519" customFormat="1" ht="14.25" customHeight="1" thickBot="1">
      <c r="A202" s="1531" t="s">
        <v>1537</v>
      </c>
      <c r="B202" s="1525" t="s">
        <v>1525</v>
      </c>
      <c r="C202" s="1525"/>
      <c r="D202" s="1525"/>
      <c r="E202" s="1525"/>
      <c r="F202" s="1539">
        <v>1310</v>
      </c>
    </row>
    <row r="203" spans="1:6" s="1519" customFormat="1" ht="14.25" customHeight="1" thickBot="1">
      <c r="A203" s="1531" t="s">
        <v>1537</v>
      </c>
      <c r="B203" s="1525" t="s">
        <v>1528</v>
      </c>
      <c r="C203" s="1525"/>
      <c r="D203" s="1525"/>
      <c r="E203" s="1525"/>
      <c r="F203" s="1539">
        <v>1310</v>
      </c>
    </row>
    <row r="204" spans="1:6" s="1519" customFormat="1" ht="14.25" customHeight="1" thickBot="1">
      <c r="A204" s="1531" t="s">
        <v>1537</v>
      </c>
      <c r="B204" s="1525" t="s">
        <v>1530</v>
      </c>
      <c r="C204" s="1525"/>
      <c r="D204" s="1525"/>
      <c r="E204" s="1525"/>
      <c r="F204" s="1539">
        <v>1080</v>
      </c>
    </row>
    <row r="205" spans="1:6" s="1519" customFormat="1" ht="14.25" customHeight="1" thickBot="1">
      <c r="A205" s="1531" t="s">
        <v>1537</v>
      </c>
      <c r="B205" s="1525" t="s">
        <v>1533</v>
      </c>
      <c r="C205" s="1525"/>
      <c r="D205" s="1525"/>
      <c r="E205" s="1525"/>
      <c r="F205" s="1539">
        <v>1080</v>
      </c>
    </row>
    <row r="206" spans="1:6" s="1519" customFormat="1" ht="14.25" customHeight="1" thickBot="1">
      <c r="A206" s="1531" t="s">
        <v>1539</v>
      </c>
      <c r="B206" s="1532" t="s">
        <v>1540</v>
      </c>
      <c r="C206" s="1532">
        <v>5450</v>
      </c>
      <c r="D206" s="1532">
        <v>5430</v>
      </c>
      <c r="E206" s="1532">
        <v>5700</v>
      </c>
      <c r="F206" s="1533">
        <v>1020</v>
      </c>
    </row>
    <row r="207" spans="1:6" s="1519" customFormat="1" ht="14.25" customHeight="1" thickBot="1">
      <c r="A207" s="1531" t="s">
        <v>1539</v>
      </c>
      <c r="B207" s="1525" t="s">
        <v>1205</v>
      </c>
      <c r="C207" s="1525">
        <v>5860</v>
      </c>
      <c r="D207" s="1525">
        <v>5820</v>
      </c>
      <c r="E207" s="1525">
        <v>6050</v>
      </c>
      <c r="F207" s="1539">
        <v>1080</v>
      </c>
    </row>
    <row r="208" spans="1:6" s="1519" customFormat="1" ht="14.25" customHeight="1" thickBot="1">
      <c r="A208" s="1531" t="s">
        <v>1539</v>
      </c>
      <c r="B208" s="1525" t="s">
        <v>1218</v>
      </c>
      <c r="C208" s="1525">
        <v>4630</v>
      </c>
      <c r="D208" s="1525">
        <v>4600</v>
      </c>
      <c r="E208" s="1525">
        <v>4840</v>
      </c>
      <c r="F208" s="1539">
        <v>900</v>
      </c>
    </row>
    <row r="209" spans="1:6" s="1519" customFormat="1" ht="14.25" customHeight="1" thickBot="1">
      <c r="A209" s="1531" t="s">
        <v>1539</v>
      </c>
      <c r="B209" s="1525" t="s">
        <v>1231</v>
      </c>
      <c r="C209" s="1525">
        <v>5320</v>
      </c>
      <c r="D209" s="1525">
        <v>5270</v>
      </c>
      <c r="E209" s="1525">
        <v>5540</v>
      </c>
      <c r="F209" s="1539">
        <v>980</v>
      </c>
    </row>
    <row r="210" spans="1:6" s="1519" customFormat="1" ht="14.25" customHeight="1" thickBot="1">
      <c r="A210" s="1531" t="s">
        <v>1539</v>
      </c>
      <c r="B210" s="1525" t="s">
        <v>1243</v>
      </c>
      <c r="C210" s="1525">
        <v>5760</v>
      </c>
      <c r="D210" s="1525">
        <v>5710</v>
      </c>
      <c r="E210" s="1525">
        <v>6010</v>
      </c>
      <c r="F210" s="1539">
        <v>870</v>
      </c>
    </row>
    <row r="211" spans="1:6" s="1519" customFormat="1" ht="14.25" customHeight="1" thickBot="1">
      <c r="A211" s="1531" t="s">
        <v>1539</v>
      </c>
      <c r="B211" s="1525" t="s">
        <v>1254</v>
      </c>
      <c r="C211" s="1525">
        <v>4160</v>
      </c>
      <c r="D211" s="1525">
        <v>4100</v>
      </c>
      <c r="E211" s="1525">
        <v>4270</v>
      </c>
      <c r="F211" s="1539">
        <v>790</v>
      </c>
    </row>
    <row r="212" spans="1:6" s="1519" customFormat="1" ht="14.25" customHeight="1" thickBot="1">
      <c r="A212" s="1531" t="s">
        <v>1539</v>
      </c>
      <c r="B212" s="1525" t="s">
        <v>1265</v>
      </c>
      <c r="C212" s="1525">
        <v>4880</v>
      </c>
      <c r="D212" s="1525">
        <v>4850</v>
      </c>
      <c r="E212" s="1525">
        <v>5110</v>
      </c>
      <c r="F212" s="1539">
        <v>940</v>
      </c>
    </row>
    <row r="213" spans="1:6" s="1519" customFormat="1" ht="14.25" customHeight="1" thickBot="1">
      <c r="A213" s="1531" t="s">
        <v>1539</v>
      </c>
      <c r="B213" s="1525" t="s">
        <v>1276</v>
      </c>
      <c r="C213" s="1525">
        <v>4640</v>
      </c>
      <c r="D213" s="1525">
        <v>4590</v>
      </c>
      <c r="E213" s="1525">
        <v>4700</v>
      </c>
      <c r="F213" s="1539">
        <v>1030</v>
      </c>
    </row>
    <row r="214" spans="1:6" s="1519" customFormat="1" ht="14.25" customHeight="1" thickBot="1">
      <c r="A214" s="1531" t="s">
        <v>1539</v>
      </c>
      <c r="B214" s="1525" t="s">
        <v>1288</v>
      </c>
      <c r="C214" s="1525">
        <v>4540</v>
      </c>
      <c r="D214" s="1525">
        <v>4490</v>
      </c>
      <c r="E214" s="1525">
        <v>4610</v>
      </c>
      <c r="F214" s="1543"/>
    </row>
    <row r="215" spans="1:6" s="1519" customFormat="1" ht="14.25" customHeight="1" thickBot="1">
      <c r="A215" s="1531" t="s">
        <v>1539</v>
      </c>
      <c r="B215" s="1525" t="s">
        <v>1298</v>
      </c>
      <c r="C215" s="1525">
        <v>5280</v>
      </c>
      <c r="D215" s="1525">
        <v>5250</v>
      </c>
      <c r="E215" s="1525">
        <v>5520</v>
      </c>
      <c r="F215" s="1539">
        <v>1000</v>
      </c>
    </row>
    <row r="216" spans="1:6" s="1519" customFormat="1" ht="14.25" customHeight="1" thickBot="1">
      <c r="A216" s="1531" t="s">
        <v>1539</v>
      </c>
      <c r="B216" s="1525" t="s">
        <v>1308</v>
      </c>
      <c r="C216" s="1525">
        <v>5100</v>
      </c>
      <c r="D216" s="1525">
        <v>5050</v>
      </c>
      <c r="E216" s="1525">
        <v>5300</v>
      </c>
      <c r="F216" s="1539">
        <v>950</v>
      </c>
    </row>
    <row r="217" spans="1:6" s="1519" customFormat="1" ht="14.25" customHeight="1" thickBot="1">
      <c r="A217" s="1531" t="s">
        <v>1539</v>
      </c>
      <c r="B217" s="1525" t="s">
        <v>1318</v>
      </c>
      <c r="C217" s="1525">
        <v>5370</v>
      </c>
      <c r="D217" s="1525">
        <v>5320</v>
      </c>
      <c r="E217" s="1525">
        <v>5410</v>
      </c>
      <c r="F217" s="1539">
        <v>950</v>
      </c>
    </row>
    <row r="218" spans="1:6" s="1519" customFormat="1" ht="14.25" customHeight="1" thickBot="1">
      <c r="A218" s="1531" t="s">
        <v>1539</v>
      </c>
      <c r="B218" s="1525" t="s">
        <v>1328</v>
      </c>
      <c r="C218" s="1525">
        <v>5540</v>
      </c>
      <c r="D218" s="1525">
        <v>5480</v>
      </c>
      <c r="E218" s="1525">
        <v>5740</v>
      </c>
      <c r="F218" s="1539">
        <v>1020</v>
      </c>
    </row>
    <row r="219" spans="1:6" s="1519" customFormat="1" ht="14.25" customHeight="1" thickBot="1">
      <c r="A219" s="1531" t="s">
        <v>1539</v>
      </c>
      <c r="B219" s="1525" t="s">
        <v>1339</v>
      </c>
      <c r="C219" s="1525">
        <v>5140</v>
      </c>
      <c r="D219" s="1525">
        <v>5100</v>
      </c>
      <c r="E219" s="1525">
        <v>5350</v>
      </c>
      <c r="F219" s="1539">
        <v>1120</v>
      </c>
    </row>
    <row r="220" spans="1:6" s="1519" customFormat="1" ht="14.25" customHeight="1" thickBot="1">
      <c r="A220" s="1531" t="s">
        <v>1539</v>
      </c>
      <c r="B220" s="1525" t="s">
        <v>1350</v>
      </c>
      <c r="C220" s="1525">
        <v>5040</v>
      </c>
      <c r="D220" s="1525">
        <v>5000</v>
      </c>
      <c r="E220" s="1525">
        <v>5240</v>
      </c>
      <c r="F220" s="1539">
        <v>980</v>
      </c>
    </row>
    <row r="221" spans="1:6" s="1519" customFormat="1" ht="14.25" customHeight="1" thickBot="1">
      <c r="A221" s="1531" t="s">
        <v>1539</v>
      </c>
      <c r="B221" s="1525" t="s">
        <v>1360</v>
      </c>
      <c r="C221" s="1544"/>
      <c r="D221" s="1544"/>
      <c r="E221" s="1544"/>
      <c r="F221" s="1539">
        <v>1070</v>
      </c>
    </row>
    <row r="222" spans="1:6" s="1519" customFormat="1" ht="14.25" customHeight="1" thickBot="1">
      <c r="A222" s="1531" t="s">
        <v>1539</v>
      </c>
      <c r="B222" s="1525" t="s">
        <v>1370</v>
      </c>
      <c r="C222" s="1544"/>
      <c r="D222" s="1544"/>
      <c r="E222" s="1544"/>
      <c r="F222" s="1539">
        <v>870</v>
      </c>
    </row>
    <row r="223" spans="1:6" s="1519" customFormat="1" ht="14.25" customHeight="1" thickBot="1">
      <c r="A223" s="1531" t="s">
        <v>1539</v>
      </c>
      <c r="B223" s="1525" t="s">
        <v>1380</v>
      </c>
      <c r="C223" s="1544"/>
      <c r="D223" s="1544"/>
      <c r="E223" s="1544"/>
      <c r="F223" s="1539">
        <v>940</v>
      </c>
    </row>
    <row r="224" spans="1:6" s="1519" customFormat="1" ht="14.25" customHeight="1" thickBot="1">
      <c r="A224" s="1531" t="s">
        <v>1539</v>
      </c>
      <c r="B224" s="1525" t="s">
        <v>1390</v>
      </c>
      <c r="C224" s="1544"/>
      <c r="D224" s="1544"/>
      <c r="E224" s="1544"/>
      <c r="F224" s="1539">
        <v>990</v>
      </c>
    </row>
    <row r="225" spans="1:6" s="1519" customFormat="1" ht="14.25" customHeight="1" thickBot="1">
      <c r="A225" s="1531" t="s">
        <v>1539</v>
      </c>
      <c r="B225" s="1525" t="s">
        <v>1399</v>
      </c>
      <c r="C225" s="1525">
        <v>5730</v>
      </c>
      <c r="D225" s="1525">
        <v>5680</v>
      </c>
      <c r="E225" s="1525">
        <v>6020</v>
      </c>
      <c r="F225" s="1539">
        <v>1000</v>
      </c>
    </row>
    <row r="226" spans="1:6" s="1519" customFormat="1" ht="14.25" customHeight="1" thickBot="1">
      <c r="A226" s="1531" t="s">
        <v>1539</v>
      </c>
      <c r="B226" s="1525" t="s">
        <v>1408</v>
      </c>
      <c r="C226" s="1525">
        <v>4970</v>
      </c>
      <c r="D226" s="1525">
        <v>4940</v>
      </c>
      <c r="E226" s="1525">
        <v>5180</v>
      </c>
      <c r="F226" s="1539">
        <v>960</v>
      </c>
    </row>
    <row r="227" spans="1:6" s="1519" customFormat="1" ht="14.25" customHeight="1" thickBot="1">
      <c r="A227" s="1531" t="s">
        <v>1539</v>
      </c>
      <c r="B227" s="1525" t="s">
        <v>1416</v>
      </c>
      <c r="C227" s="1525">
        <v>5550</v>
      </c>
      <c r="D227" s="1525">
        <v>5500</v>
      </c>
      <c r="E227" s="1525">
        <v>5780</v>
      </c>
      <c r="F227" s="1539">
        <v>940</v>
      </c>
    </row>
    <row r="228" spans="1:6" s="1519" customFormat="1" ht="14.25" customHeight="1" thickBot="1">
      <c r="A228" s="1531" t="s">
        <v>1539</v>
      </c>
      <c r="B228" s="1525" t="s">
        <v>1423</v>
      </c>
      <c r="C228" s="1525">
        <v>5460</v>
      </c>
      <c r="D228" s="1525">
        <v>5420</v>
      </c>
      <c r="E228" s="1525">
        <v>5690</v>
      </c>
      <c r="F228" s="1539">
        <v>910</v>
      </c>
    </row>
    <row r="229" spans="1:6" s="1519" customFormat="1" ht="14.25" customHeight="1" thickBot="1">
      <c r="A229" s="1531" t="s">
        <v>1539</v>
      </c>
      <c r="B229" s="1525" t="s">
        <v>1430</v>
      </c>
      <c r="C229" s="1525">
        <v>5310</v>
      </c>
      <c r="D229" s="1525">
        <v>5270</v>
      </c>
      <c r="E229" s="1525">
        <v>5510</v>
      </c>
      <c r="F229" s="1543"/>
    </row>
    <row r="230" spans="1:6" s="1519" customFormat="1" ht="14.25" customHeight="1" thickBot="1">
      <c r="A230" s="1531" t="s">
        <v>1539</v>
      </c>
      <c r="B230" s="1525" t="s">
        <v>1437</v>
      </c>
      <c r="C230" s="1525">
        <v>4540</v>
      </c>
      <c r="D230" s="1525">
        <v>4500</v>
      </c>
      <c r="E230" s="1525">
        <v>4730</v>
      </c>
      <c r="F230" s="1543"/>
    </row>
    <row r="231" spans="1:6" s="1519" customFormat="1" ht="14.25" customHeight="1" thickBot="1">
      <c r="A231" s="1531" t="s">
        <v>1539</v>
      </c>
      <c r="B231" s="1525" t="s">
        <v>1444</v>
      </c>
      <c r="C231" s="1525">
        <v>4480</v>
      </c>
      <c r="D231" s="1525">
        <v>4410</v>
      </c>
      <c r="E231" s="1525">
        <v>4640</v>
      </c>
      <c r="F231" s="1543"/>
    </row>
    <row r="232" spans="1:6" s="1519" customFormat="1" ht="14.25" customHeight="1" thickBot="1">
      <c r="A232" s="1531" t="s">
        <v>1539</v>
      </c>
      <c r="B232" s="1525" t="s">
        <v>1451</v>
      </c>
      <c r="C232" s="1525">
        <v>5670</v>
      </c>
      <c r="D232" s="1525">
        <v>5600</v>
      </c>
      <c r="E232" s="1525">
        <v>5890</v>
      </c>
      <c r="F232" s="1539">
        <v>1150</v>
      </c>
    </row>
    <row r="233" spans="1:6" s="1519" customFormat="1" ht="14.25" customHeight="1" thickBot="1">
      <c r="A233" s="1531" t="s">
        <v>1539</v>
      </c>
      <c r="B233" s="1525" t="s">
        <v>1458</v>
      </c>
      <c r="C233" s="1525">
        <v>4590</v>
      </c>
      <c r="D233" s="1525">
        <v>4500</v>
      </c>
      <c r="E233" s="1525">
        <v>4600</v>
      </c>
      <c r="F233" s="1543"/>
    </row>
    <row r="234" spans="1:6" s="1519" customFormat="1" ht="14.25" customHeight="1" thickBot="1">
      <c r="A234" s="1531" t="s">
        <v>1539</v>
      </c>
      <c r="B234" s="1525" t="s">
        <v>2498</v>
      </c>
      <c r="C234" s="1525">
        <v>3990</v>
      </c>
      <c r="D234" s="1525">
        <v>3950</v>
      </c>
      <c r="E234" s="1525">
        <v>4180</v>
      </c>
      <c r="F234" s="1543"/>
    </row>
    <row r="235" spans="1:6" s="1519" customFormat="1" ht="14.25" customHeight="1" thickBot="1">
      <c r="A235" s="1531" t="s">
        <v>1539</v>
      </c>
      <c r="B235" s="1525" t="s">
        <v>1467</v>
      </c>
      <c r="C235" s="1525">
        <v>5590</v>
      </c>
      <c r="D235" s="1525">
        <v>5540</v>
      </c>
      <c r="E235" s="1525">
        <v>5810</v>
      </c>
      <c r="F235" s="1539">
        <v>970</v>
      </c>
    </row>
    <row r="236" spans="1:6" s="1519" customFormat="1" ht="14.25" customHeight="1" thickBot="1">
      <c r="A236" s="1531" t="s">
        <v>1539</v>
      </c>
      <c r="B236" s="1525" t="s">
        <v>1472</v>
      </c>
      <c r="C236" s="1525"/>
      <c r="D236" s="1525"/>
      <c r="E236" s="1525"/>
      <c r="F236" s="1539">
        <v>1020</v>
      </c>
    </row>
    <row r="237" spans="1:6" s="1519" customFormat="1" ht="14.25" customHeight="1" thickBot="1">
      <c r="A237" s="1531" t="s">
        <v>1539</v>
      </c>
      <c r="B237" s="1525" t="s">
        <v>1477</v>
      </c>
      <c r="C237" s="1525"/>
      <c r="D237" s="1525"/>
      <c r="E237" s="1525"/>
      <c r="F237" s="1539">
        <v>960</v>
      </c>
    </row>
    <row r="238" spans="1:6" s="1519" customFormat="1" ht="14.25" customHeight="1" thickBot="1">
      <c r="A238" s="1531" t="s">
        <v>1539</v>
      </c>
      <c r="B238" s="1525" t="s">
        <v>1482</v>
      </c>
      <c r="C238" s="1525"/>
      <c r="D238" s="1525"/>
      <c r="E238" s="1525"/>
      <c r="F238" s="1539">
        <v>960</v>
      </c>
    </row>
    <row r="239" spans="1:6" s="1519" customFormat="1" ht="14.25" customHeight="1" thickBot="1">
      <c r="A239" s="1531" t="s">
        <v>1539</v>
      </c>
      <c r="B239" s="1525" t="s">
        <v>1487</v>
      </c>
      <c r="C239" s="1525"/>
      <c r="D239" s="1525"/>
      <c r="E239" s="1525"/>
      <c r="F239" s="1539">
        <v>960</v>
      </c>
    </row>
    <row r="240" spans="1:6" s="1519" customFormat="1" ht="14.25" customHeight="1" thickBot="1">
      <c r="A240" s="1531" t="s">
        <v>1539</v>
      </c>
      <c r="B240" s="1525" t="s">
        <v>1491</v>
      </c>
      <c r="C240" s="1525"/>
      <c r="D240" s="1525"/>
      <c r="E240" s="1525"/>
      <c r="F240" s="1539">
        <v>990</v>
      </c>
    </row>
    <row r="241" spans="1:6" s="1519" customFormat="1" ht="14.25" customHeight="1" thickBot="1">
      <c r="A241" s="1531" t="s">
        <v>1539</v>
      </c>
      <c r="B241" s="1525" t="s">
        <v>1495</v>
      </c>
      <c r="C241" s="1525"/>
      <c r="D241" s="1525"/>
      <c r="E241" s="1525"/>
      <c r="F241" s="1539">
        <v>1000</v>
      </c>
    </row>
    <row r="242" spans="1:6" s="1519" customFormat="1" ht="14.25" customHeight="1" thickBot="1">
      <c r="A242" s="1531" t="s">
        <v>1539</v>
      </c>
      <c r="B242" s="1525" t="s">
        <v>1499</v>
      </c>
      <c r="C242" s="1525"/>
      <c r="D242" s="1525"/>
      <c r="E242" s="1525"/>
      <c r="F242" s="1539">
        <v>980</v>
      </c>
    </row>
    <row r="243" spans="1:6" s="1519" customFormat="1" ht="14.25" customHeight="1" thickBot="1">
      <c r="A243" s="1531" t="s">
        <v>1539</v>
      </c>
      <c r="B243" s="1525" t="s">
        <v>1503</v>
      </c>
      <c r="C243" s="1525"/>
      <c r="D243" s="1525"/>
      <c r="E243" s="1525"/>
      <c r="F243" s="1539">
        <v>970</v>
      </c>
    </row>
    <row r="244" spans="1:6" s="1519" customFormat="1" ht="14.25" customHeight="1" thickBot="1">
      <c r="A244" s="1531" t="s">
        <v>1539</v>
      </c>
      <c r="B244" s="1537" t="s">
        <v>1507</v>
      </c>
      <c r="C244" s="1537"/>
      <c r="D244" s="1537"/>
      <c r="E244" s="1537"/>
      <c r="F244" s="1542">
        <v>970</v>
      </c>
    </row>
    <row r="245" spans="1:6" s="1519" customFormat="1" ht="14.25" customHeight="1" thickBot="1">
      <c r="A245" s="1531" t="s">
        <v>1541</v>
      </c>
      <c r="B245" s="1532" t="s">
        <v>1542</v>
      </c>
      <c r="C245" s="1532">
        <v>4050</v>
      </c>
      <c r="D245" s="1532">
        <v>4020</v>
      </c>
      <c r="E245" s="1532">
        <v>4160</v>
      </c>
      <c r="F245" s="1533">
        <v>840</v>
      </c>
    </row>
    <row r="246" spans="1:6" s="1519" customFormat="1" ht="14.25" customHeight="1" thickBot="1">
      <c r="A246" s="1531" t="s">
        <v>1541</v>
      </c>
      <c r="B246" s="1525" t="s">
        <v>1206</v>
      </c>
      <c r="C246" s="1525">
        <v>4010</v>
      </c>
      <c r="D246" s="1525">
        <v>3960</v>
      </c>
      <c r="E246" s="1525">
        <v>4130</v>
      </c>
      <c r="F246" s="1539">
        <v>840</v>
      </c>
    </row>
    <row r="247" spans="1:6" s="1519" customFormat="1" ht="14.25" customHeight="1" thickBot="1">
      <c r="A247" s="1531" t="s">
        <v>1541</v>
      </c>
      <c r="B247" s="1525" t="s">
        <v>1543</v>
      </c>
      <c r="C247" s="1525">
        <v>3170</v>
      </c>
      <c r="D247" s="1525">
        <v>3140</v>
      </c>
      <c r="E247" s="1525">
        <v>3270</v>
      </c>
      <c r="F247" s="1539">
        <v>640</v>
      </c>
    </row>
    <row r="248" spans="1:6" s="1519" customFormat="1" ht="14.25" customHeight="1" thickBot="1">
      <c r="A248" s="1531" t="s">
        <v>1541</v>
      </c>
      <c r="B248" s="1525" t="s">
        <v>1544</v>
      </c>
      <c r="C248" s="1525">
        <v>3140</v>
      </c>
      <c r="D248" s="1525">
        <v>3120</v>
      </c>
      <c r="E248" s="1525">
        <v>3240</v>
      </c>
      <c r="F248" s="1539">
        <v>620</v>
      </c>
    </row>
    <row r="249" spans="1:6" s="1519" customFormat="1" ht="14.25" customHeight="1" thickBot="1">
      <c r="A249" s="1531" t="s">
        <v>1541</v>
      </c>
      <c r="B249" s="1525" t="s">
        <v>1244</v>
      </c>
      <c r="C249" s="1525">
        <v>3200</v>
      </c>
      <c r="D249" s="1525">
        <v>3100</v>
      </c>
      <c r="E249" s="1525">
        <v>3230</v>
      </c>
      <c r="F249" s="1539">
        <v>750</v>
      </c>
    </row>
    <row r="250" spans="1:6" s="1519" customFormat="1" ht="14.25" customHeight="1" thickBot="1">
      <c r="A250" s="1531" t="s">
        <v>1541</v>
      </c>
      <c r="B250" s="1525" t="s">
        <v>1255</v>
      </c>
      <c r="C250" s="1525">
        <v>4060</v>
      </c>
      <c r="D250" s="1525">
        <v>4000</v>
      </c>
      <c r="E250" s="1525">
        <v>4140</v>
      </c>
      <c r="F250" s="1539">
        <v>790</v>
      </c>
    </row>
    <row r="251" spans="1:6" s="1519" customFormat="1" ht="14.25" customHeight="1" thickBot="1">
      <c r="A251" s="1531" t="s">
        <v>1541</v>
      </c>
      <c r="B251" s="1525" t="s">
        <v>1266</v>
      </c>
      <c r="C251" s="1525">
        <v>3990</v>
      </c>
      <c r="D251" s="1525">
        <v>3970</v>
      </c>
      <c r="E251" s="1525">
        <v>4110</v>
      </c>
      <c r="F251" s="1539">
        <v>730</v>
      </c>
    </row>
    <row r="252" spans="1:6" s="1519" customFormat="1" ht="14.25" customHeight="1" thickBot="1">
      <c r="A252" s="1531" t="s">
        <v>1541</v>
      </c>
      <c r="B252" s="1525" t="s">
        <v>1277</v>
      </c>
      <c r="C252" s="1525">
        <v>3560</v>
      </c>
      <c r="D252" s="1525">
        <v>3530</v>
      </c>
      <c r="E252" s="1525">
        <v>3650</v>
      </c>
      <c r="F252" s="1539">
        <v>750</v>
      </c>
    </row>
    <row r="253" spans="1:6" s="1519" customFormat="1" ht="14.25" customHeight="1" thickBot="1">
      <c r="A253" s="1531" t="s">
        <v>1541</v>
      </c>
      <c r="B253" s="1525" t="s">
        <v>1289</v>
      </c>
      <c r="C253" s="1525">
        <v>3780</v>
      </c>
      <c r="D253" s="1525">
        <v>3750</v>
      </c>
      <c r="E253" s="1525">
        <v>3870</v>
      </c>
      <c r="F253" s="1539">
        <v>770</v>
      </c>
    </row>
    <row r="254" spans="1:6" s="1519" customFormat="1" ht="14.25" customHeight="1" thickBot="1">
      <c r="A254" s="1531" t="s">
        <v>1541</v>
      </c>
      <c r="B254" s="1525" t="s">
        <v>1299</v>
      </c>
      <c r="C254" s="1544"/>
      <c r="D254" s="1544"/>
      <c r="E254" s="1544"/>
      <c r="F254" s="1539">
        <v>740</v>
      </c>
    </row>
    <row r="255" spans="1:6" s="1519" customFormat="1" ht="14.25" customHeight="1" thickBot="1">
      <c r="A255" s="1531" t="s">
        <v>1541</v>
      </c>
      <c r="B255" s="1525" t="s">
        <v>1309</v>
      </c>
      <c r="C255" s="1544"/>
      <c r="D255" s="1544"/>
      <c r="E255" s="1544"/>
      <c r="F255" s="1539">
        <v>760</v>
      </c>
    </row>
    <row r="256" spans="1:6" s="1519" customFormat="1" ht="14.25" customHeight="1" thickBot="1">
      <c r="A256" s="1531" t="s">
        <v>1541</v>
      </c>
      <c r="B256" s="1525" t="s">
        <v>1319</v>
      </c>
      <c r="C256" s="1525">
        <v>3760</v>
      </c>
      <c r="D256" s="1525">
        <v>3730</v>
      </c>
      <c r="E256" s="1525">
        <v>3870</v>
      </c>
      <c r="F256" s="1539">
        <v>830</v>
      </c>
    </row>
    <row r="257" spans="1:6" s="1519" customFormat="1" ht="14.25" customHeight="1" thickBot="1">
      <c r="A257" s="1531" t="s">
        <v>1541</v>
      </c>
      <c r="B257" s="1525" t="s">
        <v>1329</v>
      </c>
      <c r="C257" s="1525">
        <v>3570</v>
      </c>
      <c r="D257" s="1525">
        <v>3540</v>
      </c>
      <c r="E257" s="1525">
        <v>3650</v>
      </c>
      <c r="F257" s="1539">
        <v>790</v>
      </c>
    </row>
    <row r="258" spans="1:6" s="1519" customFormat="1" ht="14.25" customHeight="1" thickBot="1">
      <c r="A258" s="1531" t="s">
        <v>1541</v>
      </c>
      <c r="B258" s="1525" t="s">
        <v>1340</v>
      </c>
      <c r="C258" s="1525">
        <v>3410</v>
      </c>
      <c r="D258" s="1525">
        <v>3380</v>
      </c>
      <c r="E258" s="1525">
        <v>3500</v>
      </c>
      <c r="F258" s="1539">
        <v>830</v>
      </c>
    </row>
    <row r="259" spans="1:6" s="1519" customFormat="1" ht="14.25" customHeight="1" thickBot="1">
      <c r="A259" s="1531" t="s">
        <v>1541</v>
      </c>
      <c r="B259" s="1525" t="s">
        <v>1351</v>
      </c>
      <c r="C259" s="1525">
        <v>3870</v>
      </c>
      <c r="D259" s="1525">
        <v>3840</v>
      </c>
      <c r="E259" s="1525">
        <v>3970</v>
      </c>
      <c r="F259" s="1539">
        <v>830</v>
      </c>
    </row>
    <row r="260" spans="1:6" s="1519" customFormat="1" ht="14.25" customHeight="1" thickBot="1">
      <c r="A260" s="1531" t="s">
        <v>1541</v>
      </c>
      <c r="B260" s="1525" t="s">
        <v>1361</v>
      </c>
      <c r="C260" s="1525">
        <v>3700</v>
      </c>
      <c r="D260" s="1525">
        <v>3660</v>
      </c>
      <c r="E260" s="1525">
        <v>3810</v>
      </c>
      <c r="F260" s="1539">
        <v>790</v>
      </c>
    </row>
    <row r="261" spans="1:6" s="1519" customFormat="1" ht="14.25" customHeight="1" thickBot="1">
      <c r="A261" s="1531" t="s">
        <v>1541</v>
      </c>
      <c r="B261" s="1525" t="s">
        <v>1371</v>
      </c>
      <c r="C261" s="1525">
        <v>3470</v>
      </c>
      <c r="D261" s="1525">
        <v>3430</v>
      </c>
      <c r="E261" s="1525">
        <v>3640</v>
      </c>
      <c r="F261" s="1539">
        <v>760</v>
      </c>
    </row>
    <row r="262" spans="1:6" s="1519" customFormat="1" ht="14.25" customHeight="1" thickBot="1">
      <c r="A262" s="1531" t="s">
        <v>1541</v>
      </c>
      <c r="B262" s="1525" t="s">
        <v>1381</v>
      </c>
      <c r="C262" s="1525">
        <v>3510</v>
      </c>
      <c r="D262" s="1525">
        <v>3470</v>
      </c>
      <c r="E262" s="1525">
        <v>3680</v>
      </c>
      <c r="F262" s="1543"/>
    </row>
    <row r="263" spans="1:6" s="1519" customFormat="1" ht="14.25" customHeight="1" thickBot="1">
      <c r="A263" s="1531" t="s">
        <v>1541</v>
      </c>
      <c r="B263" s="1525" t="s">
        <v>1391</v>
      </c>
      <c r="C263" s="1525">
        <v>3960</v>
      </c>
      <c r="D263" s="1525">
        <v>3930</v>
      </c>
      <c r="E263" s="1525">
        <v>4070</v>
      </c>
      <c r="F263" s="1539">
        <v>830</v>
      </c>
    </row>
    <row r="264" spans="1:6" s="1519" customFormat="1" ht="14.25" customHeight="1" thickBot="1">
      <c r="A264" s="1531" t="s">
        <v>1541</v>
      </c>
      <c r="B264" s="1525" t="s">
        <v>1400</v>
      </c>
      <c r="C264" s="1525">
        <v>4010</v>
      </c>
      <c r="D264" s="1525">
        <v>3980</v>
      </c>
      <c r="E264" s="1525">
        <v>4150</v>
      </c>
      <c r="F264" s="1539">
        <v>760</v>
      </c>
    </row>
    <row r="265" spans="1:6" s="1519" customFormat="1" ht="14.25" customHeight="1" thickBot="1">
      <c r="A265" s="1531" t="s">
        <v>1541</v>
      </c>
      <c r="B265" s="1525" t="s">
        <v>1409</v>
      </c>
      <c r="C265" s="1525">
        <v>3910</v>
      </c>
      <c r="D265" s="1525">
        <v>3890</v>
      </c>
      <c r="E265" s="1525">
        <v>4040</v>
      </c>
      <c r="F265" s="1539">
        <v>780</v>
      </c>
    </row>
    <row r="266" spans="1:6" s="1519" customFormat="1" ht="14.25" customHeight="1" thickBot="1">
      <c r="A266" s="1531" t="s">
        <v>1541</v>
      </c>
      <c r="B266" s="1525" t="s">
        <v>1417</v>
      </c>
      <c r="C266" s="1525">
        <v>3930</v>
      </c>
      <c r="D266" s="1525">
        <v>3900</v>
      </c>
      <c r="E266" s="1525">
        <v>4080</v>
      </c>
      <c r="F266" s="1539">
        <v>770</v>
      </c>
    </row>
    <row r="267" spans="1:6" s="1519" customFormat="1" ht="14.25" customHeight="1" thickBot="1">
      <c r="A267" s="1531" t="s">
        <v>1541</v>
      </c>
      <c r="B267" s="1525" t="s">
        <v>1424</v>
      </c>
      <c r="C267" s="1525">
        <v>3800</v>
      </c>
      <c r="D267" s="1525">
        <v>3780</v>
      </c>
      <c r="E267" s="1525">
        <v>3930</v>
      </c>
      <c r="F267" s="1543"/>
    </row>
    <row r="268" spans="1:6" s="1519" customFormat="1" ht="14.25" customHeight="1" thickBot="1">
      <c r="A268" s="1531" t="s">
        <v>1541</v>
      </c>
      <c r="B268" s="1525" t="s">
        <v>1431</v>
      </c>
      <c r="C268" s="1525">
        <v>3460</v>
      </c>
      <c r="D268" s="1525">
        <v>3430</v>
      </c>
      <c r="E268" s="1525">
        <v>3560</v>
      </c>
      <c r="F268" s="1539">
        <v>840</v>
      </c>
    </row>
    <row r="269" spans="1:6" s="1519" customFormat="1" ht="14.25" customHeight="1" thickBot="1">
      <c r="A269" s="1531" t="s">
        <v>1541</v>
      </c>
      <c r="B269" s="1525" t="s">
        <v>1438</v>
      </c>
      <c r="C269" s="1525">
        <v>3210</v>
      </c>
      <c r="D269" s="1525">
        <v>3190</v>
      </c>
      <c r="E269" s="1525">
        <v>3310</v>
      </c>
      <c r="F269" s="1539">
        <v>730</v>
      </c>
    </row>
    <row r="270" spans="1:6" s="1519" customFormat="1" ht="14.25" customHeight="1" thickBot="1">
      <c r="A270" s="1531" t="s">
        <v>1541</v>
      </c>
      <c r="B270" s="1525" t="s">
        <v>1445</v>
      </c>
      <c r="C270" s="1525">
        <v>3240</v>
      </c>
      <c r="D270" s="1525">
        <v>3210</v>
      </c>
      <c r="E270" s="1525">
        <v>3390</v>
      </c>
      <c r="F270" s="1539">
        <v>820</v>
      </c>
    </row>
    <row r="271" spans="1:6" s="1519" customFormat="1" ht="14.25" customHeight="1" thickBot="1">
      <c r="A271" s="1531" t="s">
        <v>1541</v>
      </c>
      <c r="B271" s="1525" t="s">
        <v>1452</v>
      </c>
      <c r="C271" s="1525">
        <v>3300</v>
      </c>
      <c r="D271" s="1525">
        <v>3270</v>
      </c>
      <c r="E271" s="1525">
        <v>3380</v>
      </c>
      <c r="F271" s="1539">
        <v>750</v>
      </c>
    </row>
    <row r="272" spans="1:6" s="1519" customFormat="1" ht="14.25" customHeight="1" thickBot="1">
      <c r="A272" s="1531" t="s">
        <v>1541</v>
      </c>
      <c r="B272" s="1525" t="s">
        <v>1459</v>
      </c>
      <c r="C272" s="1544"/>
      <c r="D272" s="1544"/>
      <c r="E272" s="1544"/>
      <c r="F272" s="1539">
        <v>740</v>
      </c>
    </row>
    <row r="273" spans="1:6" s="1519" customFormat="1" ht="14.25" customHeight="1" thickBot="1">
      <c r="A273" s="1531" t="s">
        <v>1541</v>
      </c>
      <c r="B273" s="1525" t="s">
        <v>1463</v>
      </c>
      <c r="C273" s="1525">
        <v>3130</v>
      </c>
      <c r="D273" s="1525">
        <v>3100</v>
      </c>
      <c r="E273" s="1525">
        <v>3230</v>
      </c>
      <c r="F273" s="1539">
        <v>700</v>
      </c>
    </row>
    <row r="274" spans="1:6" s="1519" customFormat="1" ht="14.25" customHeight="1" thickBot="1">
      <c r="A274" s="1531" t="s">
        <v>1541</v>
      </c>
      <c r="B274" s="1525" t="s">
        <v>1468</v>
      </c>
      <c r="C274" s="1525">
        <v>3460</v>
      </c>
      <c r="D274" s="1525">
        <v>3430</v>
      </c>
      <c r="E274" s="1525">
        <v>3560</v>
      </c>
      <c r="F274" s="1539">
        <v>690</v>
      </c>
    </row>
    <row r="275" spans="1:6" s="1519" customFormat="1" ht="14.25" customHeight="1" thickBot="1">
      <c r="A275" s="1531" t="s">
        <v>1541</v>
      </c>
      <c r="B275" s="1525" t="s">
        <v>1473</v>
      </c>
      <c r="C275" s="1525">
        <v>4040</v>
      </c>
      <c r="D275" s="1525">
        <v>4020</v>
      </c>
      <c r="E275" s="1525">
        <v>4160</v>
      </c>
      <c r="F275" s="1539">
        <v>820</v>
      </c>
    </row>
    <row r="276" spans="1:6" s="1519" customFormat="1" ht="14.25" customHeight="1" thickBot="1">
      <c r="A276" s="1531" t="s">
        <v>1541</v>
      </c>
      <c r="B276" s="1525" t="s">
        <v>1478</v>
      </c>
      <c r="C276" s="1525">
        <v>3270</v>
      </c>
      <c r="D276" s="1525">
        <v>3240</v>
      </c>
      <c r="E276" s="1525">
        <v>3350</v>
      </c>
      <c r="F276" s="1539">
        <v>680</v>
      </c>
    </row>
    <row r="277" spans="1:6" s="1519" customFormat="1" ht="14.25" customHeight="1" thickBot="1">
      <c r="A277" s="1531" t="s">
        <v>1541</v>
      </c>
      <c r="B277" s="1525" t="s">
        <v>1483</v>
      </c>
      <c r="C277" s="1525">
        <v>2930</v>
      </c>
      <c r="D277" s="1525">
        <v>2900</v>
      </c>
      <c r="E277" s="1525">
        <v>3000</v>
      </c>
      <c r="F277" s="1539">
        <v>640</v>
      </c>
    </row>
    <row r="278" spans="1:6" s="1519" customFormat="1" ht="14.25" customHeight="1" thickBot="1">
      <c r="A278" s="1531" t="s">
        <v>1541</v>
      </c>
      <c r="B278" s="1525" t="s">
        <v>1488</v>
      </c>
      <c r="C278" s="1525">
        <v>4080</v>
      </c>
      <c r="D278" s="1525">
        <v>4030</v>
      </c>
      <c r="E278" s="1525">
        <v>4140</v>
      </c>
      <c r="F278" s="1539">
        <v>850</v>
      </c>
    </row>
    <row r="279" spans="1:6" s="1519" customFormat="1" ht="14.25" customHeight="1" thickBot="1">
      <c r="A279" s="1531" t="s">
        <v>1541</v>
      </c>
      <c r="B279" s="1525" t="s">
        <v>1492</v>
      </c>
      <c r="C279" s="1525"/>
      <c r="D279" s="1525"/>
      <c r="E279" s="1525"/>
      <c r="F279" s="1539">
        <v>760</v>
      </c>
    </row>
    <row r="280" spans="1:6" s="1519" customFormat="1" ht="14.25" customHeight="1" thickBot="1">
      <c r="A280" s="1531" t="s">
        <v>1541</v>
      </c>
      <c r="B280" s="1525" t="s">
        <v>1496</v>
      </c>
      <c r="C280" s="1525"/>
      <c r="D280" s="1525"/>
      <c r="E280" s="1525"/>
      <c r="F280" s="1539">
        <v>760</v>
      </c>
    </row>
    <row r="281" spans="1:6" s="1519" customFormat="1" ht="14.25" customHeight="1" thickBot="1">
      <c r="A281" s="1531" t="s">
        <v>1541</v>
      </c>
      <c r="B281" s="1525" t="s">
        <v>1500</v>
      </c>
      <c r="C281" s="1525"/>
      <c r="D281" s="1525"/>
      <c r="E281" s="1525"/>
      <c r="F281" s="1539">
        <v>780</v>
      </c>
    </row>
    <row r="282" spans="1:6" s="1519" customFormat="1" ht="14.25" customHeight="1" thickBot="1">
      <c r="A282" s="1531" t="s">
        <v>1541</v>
      </c>
      <c r="B282" s="1525" t="s">
        <v>1504</v>
      </c>
      <c r="C282" s="1525"/>
      <c r="D282" s="1525"/>
      <c r="E282" s="1525"/>
      <c r="F282" s="1539">
        <v>730</v>
      </c>
    </row>
    <row r="283" spans="1:6" s="1519" customFormat="1" ht="14.25" customHeight="1" thickBot="1">
      <c r="A283" s="1531" t="s">
        <v>1541</v>
      </c>
      <c r="B283" s="1525" t="s">
        <v>1508</v>
      </c>
      <c r="C283" s="1525"/>
      <c r="D283" s="1525"/>
      <c r="E283" s="1525"/>
      <c r="F283" s="1539">
        <v>770</v>
      </c>
    </row>
    <row r="284" spans="1:6" s="1519" customFormat="1" ht="14.25" customHeight="1" thickBot="1">
      <c r="A284" s="1531" t="s">
        <v>1541</v>
      </c>
      <c r="B284" s="1525" t="s">
        <v>1511</v>
      </c>
      <c r="C284" s="1525"/>
      <c r="D284" s="1525"/>
      <c r="E284" s="1525"/>
      <c r="F284" s="1539">
        <v>640</v>
      </c>
    </row>
    <row r="285" spans="1:6" s="1519" customFormat="1" ht="14.25" customHeight="1" thickBot="1">
      <c r="A285" s="1531" t="s">
        <v>1541</v>
      </c>
      <c r="B285" s="1525" t="s">
        <v>1514</v>
      </c>
      <c r="C285" s="1525"/>
      <c r="D285" s="1525"/>
      <c r="E285" s="1525"/>
      <c r="F285" s="1539">
        <v>640</v>
      </c>
    </row>
    <row r="286" spans="1:6" s="1519" customFormat="1" ht="14.25" customHeight="1" thickBot="1">
      <c r="A286" s="1531" t="s">
        <v>1541</v>
      </c>
      <c r="B286" s="1525" t="s">
        <v>1517</v>
      </c>
      <c r="C286" s="1525"/>
      <c r="D286" s="1525"/>
      <c r="E286" s="1525"/>
      <c r="F286" s="1539">
        <v>850</v>
      </c>
    </row>
    <row r="287" spans="1:6" s="1519" customFormat="1" ht="14.25" customHeight="1" thickBot="1">
      <c r="A287" s="1531" t="s">
        <v>1541</v>
      </c>
      <c r="B287" s="1525" t="s">
        <v>1520</v>
      </c>
      <c r="C287" s="1525"/>
      <c r="D287" s="1525"/>
      <c r="E287" s="1525"/>
      <c r="F287" s="1539">
        <v>760</v>
      </c>
    </row>
    <row r="288" spans="1:6" s="1519" customFormat="1" ht="14.25" customHeight="1" thickBot="1">
      <c r="A288" s="1531" t="s">
        <v>1541</v>
      </c>
      <c r="B288" s="1525" t="s">
        <v>1523</v>
      </c>
      <c r="C288" s="1525"/>
      <c r="D288" s="1525"/>
      <c r="E288" s="1525"/>
      <c r="F288" s="1539">
        <v>830</v>
      </c>
    </row>
    <row r="289" spans="1:6" s="1519" customFormat="1" ht="14.25" customHeight="1" thickBot="1">
      <c r="A289" s="1531" t="s">
        <v>1541</v>
      </c>
      <c r="B289" s="1537" t="s">
        <v>1526</v>
      </c>
      <c r="C289" s="1537"/>
      <c r="D289" s="1537"/>
      <c r="E289" s="1537"/>
      <c r="F289" s="1542">
        <v>680</v>
      </c>
    </row>
    <row r="290" spans="1:6" s="1519" customFormat="1" ht="14.25" customHeight="1" thickBot="1">
      <c r="A290" s="1531" t="s">
        <v>1545</v>
      </c>
      <c r="B290" s="1532" t="s">
        <v>1546</v>
      </c>
      <c r="C290" s="1532">
        <v>2770</v>
      </c>
      <c r="D290" s="1532">
        <v>2740</v>
      </c>
      <c r="E290" s="1532">
        <v>2720</v>
      </c>
      <c r="F290" s="1545"/>
    </row>
    <row r="291" spans="1:6" s="1519" customFormat="1" ht="14.25" customHeight="1" thickBot="1">
      <c r="A291" s="1531" t="s">
        <v>1545</v>
      </c>
      <c r="B291" s="1525" t="s">
        <v>1207</v>
      </c>
      <c r="C291" s="1525">
        <v>2670</v>
      </c>
      <c r="D291" s="1525">
        <v>2640</v>
      </c>
      <c r="E291" s="1525">
        <v>2620</v>
      </c>
      <c r="F291" s="1543"/>
    </row>
    <row r="292" spans="1:6" s="1519" customFormat="1" ht="14.25" customHeight="1" thickBot="1">
      <c r="A292" s="1531" t="s">
        <v>1545</v>
      </c>
      <c r="B292" s="1525" t="s">
        <v>1547</v>
      </c>
      <c r="C292" s="1525">
        <v>2180</v>
      </c>
      <c r="D292" s="1525">
        <v>2140</v>
      </c>
      <c r="E292" s="1525">
        <v>2120</v>
      </c>
      <c r="F292" s="1539">
        <v>490</v>
      </c>
    </row>
    <row r="293" spans="1:6" s="1519" customFormat="1" ht="14.25" customHeight="1" thickBot="1">
      <c r="A293" s="1531" t="s">
        <v>1545</v>
      </c>
      <c r="B293" s="1525" t="s">
        <v>1548</v>
      </c>
      <c r="C293" s="1525"/>
      <c r="D293" s="1525"/>
      <c r="E293" s="1525"/>
      <c r="F293" s="1539">
        <v>470</v>
      </c>
    </row>
    <row r="294" spans="1:6" s="1519" customFormat="1" ht="14.25" customHeight="1" thickBot="1">
      <c r="A294" s="1531" t="s">
        <v>1545</v>
      </c>
      <c r="B294" s="1525" t="s">
        <v>1549</v>
      </c>
      <c r="C294" s="1525">
        <v>2730</v>
      </c>
      <c r="D294" s="1525">
        <v>2700</v>
      </c>
      <c r="E294" s="1525">
        <v>2680</v>
      </c>
      <c r="F294" s="1539">
        <v>490</v>
      </c>
    </row>
    <row r="295" spans="1:6" s="1519" customFormat="1" ht="14.25" customHeight="1" thickBot="1">
      <c r="A295" s="1531" t="s">
        <v>1545</v>
      </c>
      <c r="B295" s="1525" t="s">
        <v>1245</v>
      </c>
      <c r="C295" s="1525">
        <v>2380</v>
      </c>
      <c r="D295" s="1525">
        <v>2350</v>
      </c>
      <c r="E295" s="1525">
        <v>2330</v>
      </c>
      <c r="F295" s="1539">
        <v>530</v>
      </c>
    </row>
    <row r="296" spans="1:6" s="1519" customFormat="1" ht="14.25" customHeight="1" thickBot="1">
      <c r="A296" s="1531" t="s">
        <v>1545</v>
      </c>
      <c r="B296" s="1525" t="s">
        <v>1256</v>
      </c>
      <c r="C296" s="1525">
        <v>2650</v>
      </c>
      <c r="D296" s="1525">
        <v>2620</v>
      </c>
      <c r="E296" s="1525">
        <v>2590</v>
      </c>
      <c r="F296" s="1539">
        <v>590</v>
      </c>
    </row>
    <row r="297" spans="1:6" s="1519" customFormat="1" ht="14.25" customHeight="1" thickBot="1">
      <c r="A297" s="1531" t="s">
        <v>1545</v>
      </c>
      <c r="B297" s="1525" t="s">
        <v>1267</v>
      </c>
      <c r="C297" s="1525">
        <v>2700</v>
      </c>
      <c r="D297" s="1525">
        <v>2670</v>
      </c>
      <c r="E297" s="1525">
        <v>2650</v>
      </c>
      <c r="F297" s="1539">
        <v>630</v>
      </c>
    </row>
    <row r="298" spans="1:6" s="1519" customFormat="1" ht="14.25" customHeight="1" thickBot="1">
      <c r="A298" s="1531" t="s">
        <v>1545</v>
      </c>
      <c r="B298" s="1525" t="s">
        <v>1278</v>
      </c>
      <c r="C298" s="1525">
        <v>2650</v>
      </c>
      <c r="D298" s="1525">
        <v>2620</v>
      </c>
      <c r="E298" s="1525">
        <v>2590</v>
      </c>
      <c r="F298" s="1539">
        <v>640</v>
      </c>
    </row>
    <row r="299" spans="1:6" s="1519" customFormat="1" ht="14.25" customHeight="1" thickBot="1">
      <c r="A299" s="1531" t="s">
        <v>1545</v>
      </c>
      <c r="B299" s="1525" t="s">
        <v>1290</v>
      </c>
      <c r="C299" s="1525">
        <v>2500</v>
      </c>
      <c r="D299" s="1525">
        <v>2480</v>
      </c>
      <c r="E299" s="1525">
        <v>2460</v>
      </c>
      <c r="F299" s="1543"/>
    </row>
    <row r="300" spans="1:6" s="1519" customFormat="1" ht="14.25" customHeight="1" thickBot="1">
      <c r="A300" s="1531" t="s">
        <v>1545</v>
      </c>
      <c r="B300" s="1525" t="s">
        <v>1300</v>
      </c>
      <c r="C300" s="1525">
        <v>2760</v>
      </c>
      <c r="D300" s="1525">
        <v>2730</v>
      </c>
      <c r="E300" s="1525">
        <v>2700</v>
      </c>
      <c r="F300" s="1539">
        <v>630</v>
      </c>
    </row>
    <row r="301" spans="1:6" s="1519" customFormat="1" ht="14.25" customHeight="1" thickBot="1">
      <c r="A301" s="1531" t="s">
        <v>1545</v>
      </c>
      <c r="B301" s="1525" t="s">
        <v>1310</v>
      </c>
      <c r="C301" s="1525">
        <v>2510</v>
      </c>
      <c r="D301" s="1525">
        <v>2480</v>
      </c>
      <c r="E301" s="1525">
        <v>2460</v>
      </c>
      <c r="F301" s="1543"/>
    </row>
    <row r="302" spans="1:6" s="1519" customFormat="1" ht="14.25" customHeight="1" thickBot="1">
      <c r="A302" s="1531" t="s">
        <v>1545</v>
      </c>
      <c r="B302" s="1525" t="s">
        <v>1320</v>
      </c>
      <c r="C302" s="1525">
        <v>2480</v>
      </c>
      <c r="D302" s="1525">
        <v>2450</v>
      </c>
      <c r="E302" s="1525">
        <v>2420</v>
      </c>
      <c r="F302" s="1539">
        <v>600</v>
      </c>
    </row>
    <row r="303" spans="1:6" s="1519" customFormat="1" ht="14.25" customHeight="1" thickBot="1">
      <c r="A303" s="1531" t="s">
        <v>1545</v>
      </c>
      <c r="B303" s="1525" t="s">
        <v>1330</v>
      </c>
      <c r="C303" s="1525">
        <v>2270</v>
      </c>
      <c r="D303" s="1525">
        <v>2240</v>
      </c>
      <c r="E303" s="1525">
        <v>2210</v>
      </c>
      <c r="F303" s="1539">
        <v>540</v>
      </c>
    </row>
    <row r="304" spans="1:6" s="1519" customFormat="1" ht="14.25" customHeight="1" thickBot="1">
      <c r="A304" s="1531" t="s">
        <v>1545</v>
      </c>
      <c r="B304" s="1525" t="s">
        <v>1341</v>
      </c>
      <c r="C304" s="1525">
        <v>2310</v>
      </c>
      <c r="D304" s="1525">
        <v>2290</v>
      </c>
      <c r="E304" s="1525">
        <v>2270</v>
      </c>
      <c r="F304" s="1543"/>
    </row>
    <row r="305" spans="1:6" s="1519" customFormat="1" ht="14.25" customHeight="1" thickBot="1">
      <c r="A305" s="1531" t="s">
        <v>1545</v>
      </c>
      <c r="B305" s="1525" t="s">
        <v>1352</v>
      </c>
      <c r="C305" s="1525">
        <v>2490</v>
      </c>
      <c r="D305" s="1525">
        <v>2470</v>
      </c>
      <c r="E305" s="1525">
        <v>2440</v>
      </c>
      <c r="F305" s="1539">
        <v>560</v>
      </c>
    </row>
    <row r="306" spans="1:6" s="1519" customFormat="1" ht="14.25" customHeight="1" thickBot="1">
      <c r="A306" s="1531" t="s">
        <v>1545</v>
      </c>
      <c r="B306" s="1525" t="s">
        <v>1362</v>
      </c>
      <c r="C306" s="1525">
        <v>2420</v>
      </c>
      <c r="D306" s="1525">
        <v>2400</v>
      </c>
      <c r="E306" s="1525">
        <v>2380</v>
      </c>
      <c r="F306" s="1543"/>
    </row>
    <row r="307" spans="1:6" s="1519" customFormat="1" ht="14.25" customHeight="1" thickBot="1">
      <c r="A307" s="1531" t="s">
        <v>1545</v>
      </c>
      <c r="B307" s="1525" t="s">
        <v>1372</v>
      </c>
      <c r="C307" s="1525">
        <v>2770</v>
      </c>
      <c r="D307" s="1525">
        <v>2740</v>
      </c>
      <c r="E307" s="1525">
        <v>2710</v>
      </c>
      <c r="F307" s="1539">
        <v>650</v>
      </c>
    </row>
    <row r="308" spans="1:6" s="1519" customFormat="1" ht="14.25" customHeight="1" thickBot="1">
      <c r="A308" s="1531" t="s">
        <v>1545</v>
      </c>
      <c r="B308" s="1525" t="s">
        <v>1382</v>
      </c>
      <c r="C308" s="1525">
        <v>2610</v>
      </c>
      <c r="D308" s="1525">
        <v>2580</v>
      </c>
      <c r="E308" s="1525">
        <v>2550</v>
      </c>
      <c r="F308" s="1539">
        <v>580</v>
      </c>
    </row>
    <row r="309" spans="1:6" s="1519" customFormat="1" ht="14.25" customHeight="1" thickBot="1">
      <c r="A309" s="1531" t="s">
        <v>1545</v>
      </c>
      <c r="B309" s="1525" t="s">
        <v>1392</v>
      </c>
      <c r="C309" s="1525">
        <v>2690</v>
      </c>
      <c r="D309" s="1525">
        <v>2670</v>
      </c>
      <c r="E309" s="1525">
        <v>2650</v>
      </c>
      <c r="F309" s="1543"/>
    </row>
    <row r="310" spans="1:6" s="1519" customFormat="1" ht="14.25" customHeight="1" thickBot="1">
      <c r="A310" s="1531" t="s">
        <v>1545</v>
      </c>
      <c r="B310" s="1525" t="s">
        <v>1401</v>
      </c>
      <c r="C310" s="1525">
        <v>2360</v>
      </c>
      <c r="D310" s="1525">
        <v>2330</v>
      </c>
      <c r="E310" s="1525">
        <v>2310</v>
      </c>
      <c r="F310" s="1539">
        <v>560</v>
      </c>
    </row>
    <row r="311" spans="1:6" s="1519" customFormat="1" ht="14.25" customHeight="1" thickBot="1">
      <c r="A311" s="1531" t="s">
        <v>1545</v>
      </c>
      <c r="B311" s="1525" t="s">
        <v>1410</v>
      </c>
      <c r="C311" s="1525">
        <v>1970</v>
      </c>
      <c r="D311" s="1525">
        <v>1950</v>
      </c>
      <c r="E311" s="1525">
        <v>1920</v>
      </c>
      <c r="F311" s="1539">
        <v>470</v>
      </c>
    </row>
    <row r="312" spans="1:6" s="1519" customFormat="1" ht="14.25" customHeight="1" thickBot="1">
      <c r="A312" s="1531" t="s">
        <v>1545</v>
      </c>
      <c r="B312" s="1525" t="s">
        <v>1418</v>
      </c>
      <c r="C312" s="1525">
        <v>2230</v>
      </c>
      <c r="D312" s="1525">
        <v>2200</v>
      </c>
      <c r="E312" s="1525">
        <v>2170</v>
      </c>
      <c r="F312" s="1539">
        <v>460</v>
      </c>
    </row>
    <row r="313" spans="1:6" s="1519" customFormat="1" ht="14.25" customHeight="1" thickBot="1">
      <c r="A313" s="1531" t="s">
        <v>1545</v>
      </c>
      <c r="B313" s="1525" t="s">
        <v>1425</v>
      </c>
      <c r="C313" s="1525">
        <v>2770</v>
      </c>
      <c r="D313" s="1525">
        <v>2740</v>
      </c>
      <c r="E313" s="1525">
        <v>2710</v>
      </c>
      <c r="F313" s="1539">
        <v>610</v>
      </c>
    </row>
    <row r="314" spans="1:6" s="1519" customFormat="1" ht="14.25" customHeight="1" thickBot="1">
      <c r="A314" s="1531" t="s">
        <v>1545</v>
      </c>
      <c r="B314" s="1525" t="s">
        <v>1432</v>
      </c>
      <c r="C314" s="1525"/>
      <c r="D314" s="1525"/>
      <c r="E314" s="1525"/>
      <c r="F314" s="1539">
        <v>490</v>
      </c>
    </row>
    <row r="315" spans="1:6" s="1519" customFormat="1" ht="14.25" customHeight="1" thickBot="1">
      <c r="A315" s="1531" t="s">
        <v>1545</v>
      </c>
      <c r="B315" s="1525" t="s">
        <v>1439</v>
      </c>
      <c r="C315" s="1525"/>
      <c r="D315" s="1525"/>
      <c r="E315" s="1525"/>
      <c r="F315" s="1539">
        <v>520</v>
      </c>
    </row>
    <row r="316" spans="1:6" s="1519" customFormat="1" ht="14.25" customHeight="1" thickBot="1">
      <c r="A316" s="1531" t="s">
        <v>1545</v>
      </c>
      <c r="B316" s="1537" t="s">
        <v>1446</v>
      </c>
      <c r="C316" s="1537"/>
      <c r="D316" s="1537"/>
      <c r="E316" s="1537"/>
      <c r="F316" s="1542">
        <v>460</v>
      </c>
    </row>
    <row r="317" spans="1:6" s="1519" customFormat="1" ht="14.25" customHeight="1" thickBot="1">
      <c r="A317" s="1531" t="s">
        <v>1332</v>
      </c>
      <c r="B317" s="1532" t="s">
        <v>1550</v>
      </c>
      <c r="C317" s="1532">
        <v>1200</v>
      </c>
      <c r="D317" s="1532">
        <v>1180</v>
      </c>
      <c r="E317" s="1532">
        <v>1160</v>
      </c>
      <c r="F317" s="1533">
        <v>370</v>
      </c>
    </row>
    <row r="318" spans="1:6" s="1519" customFormat="1" ht="14.25" customHeight="1" thickBot="1">
      <c r="A318" s="1531" t="s">
        <v>1332</v>
      </c>
      <c r="B318" s="1525" t="s">
        <v>1551</v>
      </c>
      <c r="C318" s="1525">
        <v>1090</v>
      </c>
      <c r="D318" s="1525">
        <v>1060</v>
      </c>
      <c r="E318" s="1525">
        <v>1040</v>
      </c>
      <c r="F318" s="1543"/>
    </row>
    <row r="319" spans="1:6" s="1519" customFormat="1" ht="14.25" customHeight="1" thickBot="1">
      <c r="A319" s="1531" t="s">
        <v>1332</v>
      </c>
      <c r="B319" s="1525" t="s">
        <v>1552</v>
      </c>
      <c r="C319" s="1525">
        <v>1520</v>
      </c>
      <c r="D319" s="1525">
        <v>1470</v>
      </c>
      <c r="E319" s="1525">
        <v>1440</v>
      </c>
      <c r="F319" s="1539">
        <v>370</v>
      </c>
    </row>
    <row r="320" spans="1:6" s="1519" customFormat="1" ht="14.25" customHeight="1" thickBot="1">
      <c r="A320" s="1531" t="s">
        <v>1332</v>
      </c>
      <c r="B320" s="1525" t="s">
        <v>1234</v>
      </c>
      <c r="C320" s="1525">
        <v>1360</v>
      </c>
      <c r="D320" s="1525">
        <v>1300</v>
      </c>
      <c r="E320" s="1525">
        <v>1270</v>
      </c>
      <c r="F320" s="1543"/>
    </row>
    <row r="321" spans="1:6" s="1519" customFormat="1" ht="14.25" customHeight="1" thickBot="1">
      <c r="A321" s="1531" t="s">
        <v>1332</v>
      </c>
      <c r="B321" s="1525" t="s">
        <v>1246</v>
      </c>
      <c r="C321" s="1525">
        <v>1750</v>
      </c>
      <c r="D321" s="1525">
        <v>1690</v>
      </c>
      <c r="E321" s="1525">
        <v>1660</v>
      </c>
      <c r="F321" s="1543"/>
    </row>
    <row r="322" spans="1:6" s="1519" customFormat="1" ht="14.25" customHeight="1" thickBot="1">
      <c r="A322" s="1531" t="s">
        <v>1332</v>
      </c>
      <c r="B322" s="1525" t="s">
        <v>1257</v>
      </c>
      <c r="C322" s="1525">
        <v>1650</v>
      </c>
      <c r="D322" s="1525">
        <v>1610</v>
      </c>
      <c r="E322" s="1525">
        <v>1580</v>
      </c>
      <c r="F322" s="1539">
        <v>500</v>
      </c>
    </row>
    <row r="323" spans="1:6" s="1519" customFormat="1" ht="14.25" customHeight="1" thickBot="1">
      <c r="A323" s="1531" t="s">
        <v>1332</v>
      </c>
      <c r="B323" s="1525" t="s">
        <v>1268</v>
      </c>
      <c r="C323" s="1525">
        <v>1780</v>
      </c>
      <c r="D323" s="1525">
        <v>1740</v>
      </c>
      <c r="E323" s="1525">
        <v>1720</v>
      </c>
      <c r="F323" s="1543"/>
    </row>
    <row r="324" spans="1:6" s="1519" customFormat="1" ht="14.25" customHeight="1" thickBot="1">
      <c r="A324" s="1531" t="s">
        <v>1332</v>
      </c>
      <c r="B324" s="1525" t="s">
        <v>1279</v>
      </c>
      <c r="C324" s="1525">
        <v>1650</v>
      </c>
      <c r="D324" s="1525">
        <v>1610</v>
      </c>
      <c r="E324" s="1525">
        <v>1580</v>
      </c>
      <c r="F324" s="1543"/>
    </row>
    <row r="325" spans="1:6" s="1519" customFormat="1" ht="14.25" customHeight="1" thickBot="1">
      <c r="A325" s="1531" t="s">
        <v>1332</v>
      </c>
      <c r="B325" s="1525" t="s">
        <v>1291</v>
      </c>
      <c r="C325" s="1525">
        <v>1330</v>
      </c>
      <c r="D325" s="1525">
        <v>1270</v>
      </c>
      <c r="E325" s="1525">
        <v>1240</v>
      </c>
      <c r="F325" s="1539">
        <v>430</v>
      </c>
    </row>
    <row r="326" spans="1:6" s="1519" customFormat="1" ht="14.25" customHeight="1" thickBot="1">
      <c r="A326" s="1531" t="s">
        <v>1332</v>
      </c>
      <c r="B326" s="1525" t="s">
        <v>1301</v>
      </c>
      <c r="C326" s="1525">
        <v>1470</v>
      </c>
      <c r="D326" s="1525">
        <v>1430</v>
      </c>
      <c r="E326" s="1525">
        <v>1400</v>
      </c>
      <c r="F326" s="1543"/>
    </row>
    <row r="327" spans="1:6" s="1519" customFormat="1" ht="14.25" customHeight="1" thickBot="1">
      <c r="A327" s="1531" t="s">
        <v>1332</v>
      </c>
      <c r="B327" s="1525" t="s">
        <v>1311</v>
      </c>
      <c r="C327" s="1525">
        <v>1420</v>
      </c>
      <c r="D327" s="1525">
        <v>1380</v>
      </c>
      <c r="E327" s="1525">
        <v>1360</v>
      </c>
      <c r="F327" s="1539">
        <v>420</v>
      </c>
    </row>
    <row r="328" spans="1:6" s="1519" customFormat="1" ht="14.25" customHeight="1" thickBot="1">
      <c r="A328" s="1531" t="s">
        <v>1332</v>
      </c>
      <c r="B328" s="1525" t="s">
        <v>1321</v>
      </c>
      <c r="C328" s="1525">
        <v>1400</v>
      </c>
      <c r="D328" s="1525">
        <v>1360</v>
      </c>
      <c r="E328" s="1525">
        <v>1330</v>
      </c>
      <c r="F328" s="1539">
        <v>460</v>
      </c>
    </row>
    <row r="329" spans="1:6" s="1519" customFormat="1" ht="14.25" customHeight="1" thickBot="1">
      <c r="A329" s="1531" t="s">
        <v>1332</v>
      </c>
      <c r="B329" s="1525" t="s">
        <v>1331</v>
      </c>
      <c r="C329" s="1525">
        <v>1640</v>
      </c>
      <c r="D329" s="1525">
        <v>1610</v>
      </c>
      <c r="E329" s="1525">
        <v>1580</v>
      </c>
      <c r="F329" s="1539">
        <v>410</v>
      </c>
    </row>
    <row r="330" spans="1:6" s="1519" customFormat="1" ht="14.25" customHeight="1" thickBot="1">
      <c r="A330" s="1531" t="s">
        <v>1332</v>
      </c>
      <c r="B330" s="1525" t="s">
        <v>1342</v>
      </c>
      <c r="C330" s="1525">
        <v>1260</v>
      </c>
      <c r="D330" s="1525">
        <v>1220</v>
      </c>
      <c r="E330" s="1525">
        <v>1200</v>
      </c>
      <c r="F330" s="1543"/>
    </row>
    <row r="331" spans="1:6" s="1519" customFormat="1" ht="14.25" customHeight="1" thickBot="1">
      <c r="A331" s="1531" t="s">
        <v>1332</v>
      </c>
      <c r="B331" s="1525" t="s">
        <v>1353</v>
      </c>
      <c r="C331" s="1525">
        <v>1620</v>
      </c>
      <c r="D331" s="1525">
        <v>1560</v>
      </c>
      <c r="E331" s="1525">
        <v>1530</v>
      </c>
      <c r="F331" s="1539">
        <v>490</v>
      </c>
    </row>
    <row r="332" spans="1:6" s="1519" customFormat="1" ht="14.25" customHeight="1" thickBot="1">
      <c r="A332" s="1531" t="s">
        <v>1332</v>
      </c>
      <c r="B332" s="1525" t="s">
        <v>1363</v>
      </c>
      <c r="C332" s="1525">
        <v>1520</v>
      </c>
      <c r="D332" s="1525">
        <v>1470</v>
      </c>
      <c r="E332" s="1525">
        <v>1440</v>
      </c>
      <c r="F332" s="1539">
        <v>440</v>
      </c>
    </row>
    <row r="333" spans="1:6" s="1519" customFormat="1" ht="14.25" customHeight="1" thickBot="1">
      <c r="A333" s="1531" t="s">
        <v>1332</v>
      </c>
      <c r="B333" s="1525" t="s">
        <v>1373</v>
      </c>
      <c r="C333" s="1525">
        <v>1370</v>
      </c>
      <c r="D333" s="1525">
        <v>1320</v>
      </c>
      <c r="E333" s="1525">
        <v>1300</v>
      </c>
      <c r="F333" s="1539">
        <v>460</v>
      </c>
    </row>
    <row r="334" spans="1:6" s="1519" customFormat="1" ht="14.25" customHeight="1" thickBot="1">
      <c r="A334" s="1531" t="s">
        <v>1332</v>
      </c>
      <c r="B334" s="1525" t="s">
        <v>1383</v>
      </c>
      <c r="C334" s="1525">
        <v>1410</v>
      </c>
      <c r="D334" s="1525">
        <v>1340</v>
      </c>
      <c r="E334" s="1525">
        <v>1310</v>
      </c>
      <c r="F334" s="1539">
        <v>410</v>
      </c>
    </row>
    <row r="335" spans="1:6" s="1519" customFormat="1" ht="14.25" customHeight="1" thickBot="1">
      <c r="A335" s="1531" t="s">
        <v>1332</v>
      </c>
      <c r="B335" s="1525" t="s">
        <v>1393</v>
      </c>
      <c r="C335" s="1525">
        <v>1260</v>
      </c>
      <c r="D335" s="1525">
        <v>1220</v>
      </c>
      <c r="E335" s="1525">
        <v>1200</v>
      </c>
      <c r="F335" s="1543"/>
    </row>
    <row r="336" spans="1:6" s="1519" customFormat="1" ht="14.25" customHeight="1" thickBot="1">
      <c r="A336" s="1531" t="s">
        <v>1332</v>
      </c>
      <c r="B336" s="1525" t="s">
        <v>1402</v>
      </c>
      <c r="C336" s="1525">
        <v>1160</v>
      </c>
      <c r="D336" s="1525">
        <v>1140</v>
      </c>
      <c r="E336" s="1525">
        <v>1120</v>
      </c>
      <c r="F336" s="1539">
        <v>430</v>
      </c>
    </row>
    <row r="337" spans="1:6" s="1519" customFormat="1" ht="14.25" customHeight="1" thickBot="1">
      <c r="A337" s="1531" t="s">
        <v>1332</v>
      </c>
      <c r="B337" s="1537" t="s">
        <v>1411</v>
      </c>
      <c r="C337" s="1537"/>
      <c r="D337" s="1537"/>
      <c r="E337" s="1537"/>
      <c r="F337" s="1542">
        <v>380</v>
      </c>
    </row>
    <row r="338" spans="1:6" s="1519" customFormat="1" ht="14.25" customHeight="1" thickBot="1">
      <c r="A338" s="1531" t="s">
        <v>1343</v>
      </c>
      <c r="B338" s="1532" t="s">
        <v>1553</v>
      </c>
      <c r="C338" s="1532">
        <v>880</v>
      </c>
      <c r="D338" s="1532">
        <v>850</v>
      </c>
      <c r="E338" s="1532">
        <v>830</v>
      </c>
      <c r="F338" s="1545"/>
    </row>
    <row r="339" spans="1:6" s="1519" customFormat="1" ht="14.25" customHeight="1" thickBot="1">
      <c r="A339" s="1531" t="s">
        <v>1343</v>
      </c>
      <c r="B339" s="1525" t="s">
        <v>1554</v>
      </c>
      <c r="C339" s="1525">
        <v>830</v>
      </c>
      <c r="D339" s="1525">
        <v>800</v>
      </c>
      <c r="E339" s="1525">
        <v>780</v>
      </c>
      <c r="F339" s="1543"/>
    </row>
    <row r="340" spans="1:6" s="1519" customFormat="1" ht="14.25" customHeight="1" thickBot="1">
      <c r="A340" s="1531" t="s">
        <v>1343</v>
      </c>
      <c r="B340" s="1525" t="s">
        <v>1555</v>
      </c>
      <c r="C340" s="1525">
        <v>980</v>
      </c>
      <c r="D340" s="1525">
        <v>950</v>
      </c>
      <c r="E340" s="1525">
        <v>920</v>
      </c>
      <c r="F340" s="1543"/>
    </row>
    <row r="341" spans="1:6" s="1519" customFormat="1" ht="14.25" customHeight="1" thickBot="1">
      <c r="A341" s="1531" t="s">
        <v>1343</v>
      </c>
      <c r="B341" s="1525" t="s">
        <v>1556</v>
      </c>
      <c r="C341" s="1525">
        <v>760</v>
      </c>
      <c r="D341" s="1525">
        <v>720</v>
      </c>
      <c r="E341" s="1525">
        <v>690</v>
      </c>
      <c r="F341" s="1539">
        <v>350</v>
      </c>
    </row>
    <row r="342" spans="1:6" s="1519" customFormat="1" ht="14.25" customHeight="1" thickBot="1">
      <c r="A342" s="1531" t="s">
        <v>1343</v>
      </c>
      <c r="B342" s="1525" t="s">
        <v>1247</v>
      </c>
      <c r="C342" s="1525">
        <v>910</v>
      </c>
      <c r="D342" s="1525">
        <v>870</v>
      </c>
      <c r="E342" s="1525">
        <v>850</v>
      </c>
      <c r="F342" s="1539">
        <v>370</v>
      </c>
    </row>
    <row r="343" spans="1:6" s="1519" customFormat="1" ht="14.25" customHeight="1" thickBot="1">
      <c r="A343" s="1531" t="s">
        <v>1343</v>
      </c>
      <c r="B343" s="1525" t="s">
        <v>1258</v>
      </c>
      <c r="C343" s="1525">
        <v>800</v>
      </c>
      <c r="D343" s="1525">
        <v>760</v>
      </c>
      <c r="E343" s="1525">
        <v>730</v>
      </c>
      <c r="F343" s="1539">
        <v>340</v>
      </c>
    </row>
    <row r="344" spans="1:6" s="1519" customFormat="1" ht="14.25" customHeight="1" thickBot="1">
      <c r="A344" s="1531" t="s">
        <v>1343</v>
      </c>
      <c r="B344" s="1537" t="s">
        <v>1269</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913" t="s">
        <v>2135</v>
      </c>
      <c r="B1" s="3913"/>
    </row>
    <row r="2" spans="1:6" ht="14.25" thickBot="1">
      <c r="A2" s="2113"/>
      <c r="B2" s="2113"/>
    </row>
    <row r="3" spans="1:6" ht="14.25" thickBot="1">
      <c r="A3" s="2113"/>
      <c r="B3" s="2113"/>
      <c r="C3" s="2117" t="s">
        <v>2138</v>
      </c>
      <c r="D3" s="2117" t="s">
        <v>2139</v>
      </c>
      <c r="E3" s="2117" t="s">
        <v>2140</v>
      </c>
      <c r="F3" s="2117" t="s">
        <v>2141</v>
      </c>
    </row>
    <row r="4" spans="1:6" ht="14.25" thickBot="1">
      <c r="A4" s="2115" t="s">
        <v>2136</v>
      </c>
      <c r="B4" s="2116" t="s">
        <v>2137</v>
      </c>
      <c r="C4" s="2117"/>
      <c r="D4" s="2117"/>
      <c r="E4" s="2117"/>
      <c r="F4" s="2117"/>
    </row>
    <row r="5" spans="1:6" ht="14.25" thickBot="1">
      <c r="A5" s="1531" t="s">
        <v>2142</v>
      </c>
      <c r="B5" s="1532" t="s">
        <v>2143</v>
      </c>
      <c r="C5" s="2118">
        <v>8.8999999999999996E-2</v>
      </c>
      <c r="D5" s="2118">
        <v>7.3999999999999996E-2</v>
      </c>
      <c r="E5" s="2118">
        <v>7.4999999999999997E-2</v>
      </c>
      <c r="F5" s="2119">
        <v>0.1</v>
      </c>
    </row>
    <row r="6" spans="1:6" ht="14.25" thickBot="1">
      <c r="A6" s="1531" t="s">
        <v>1223</v>
      </c>
      <c r="B6" s="1525" t="s">
        <v>2144</v>
      </c>
      <c r="C6" s="2120">
        <v>0.1</v>
      </c>
      <c r="D6" s="2120">
        <v>9.0999999999999998E-2</v>
      </c>
      <c r="E6" s="2120">
        <v>9.0999999999999998E-2</v>
      </c>
      <c r="F6" s="2121">
        <v>0.1</v>
      </c>
    </row>
    <row r="7" spans="1:6" ht="14.25" thickBot="1">
      <c r="A7" s="1531" t="s">
        <v>1223</v>
      </c>
      <c r="B7" s="1535" t="s">
        <v>1212</v>
      </c>
      <c r="C7" s="2120">
        <v>8.5999999999999993E-2</v>
      </c>
      <c r="D7" s="2120">
        <v>9.6000000000000002E-2</v>
      </c>
      <c r="E7" s="2120">
        <v>7.5999999999999998E-2</v>
      </c>
      <c r="F7" s="2121">
        <v>0.1</v>
      </c>
    </row>
    <row r="8" spans="1:6" ht="14.25" thickBot="1">
      <c r="A8" s="1531" t="s">
        <v>1223</v>
      </c>
      <c r="B8" s="1525" t="s">
        <v>1224</v>
      </c>
      <c r="C8" s="2120">
        <v>9.9000000000000005E-2</v>
      </c>
      <c r="D8" s="2120">
        <v>9.8000000000000004E-2</v>
      </c>
      <c r="E8" s="2120">
        <v>9.8000000000000004E-2</v>
      </c>
      <c r="F8" s="2121">
        <v>0.1</v>
      </c>
    </row>
    <row r="9" spans="1:6" ht="14.25" thickBot="1">
      <c r="A9" s="1541" t="s">
        <v>1223</v>
      </c>
      <c r="B9" s="1536" t="s">
        <v>1236</v>
      </c>
      <c r="C9" s="2122">
        <v>0.05</v>
      </c>
      <c r="D9" s="2130"/>
      <c r="E9" s="2130"/>
      <c r="F9" s="2131"/>
    </row>
    <row r="10" spans="1:6" ht="14.25" thickBot="1">
      <c r="A10" s="1531" t="s">
        <v>1280</v>
      </c>
      <c r="B10" s="1532" t="s">
        <v>2145</v>
      </c>
      <c r="C10" s="2118">
        <v>8.8999999999999996E-2</v>
      </c>
      <c r="D10" s="2118">
        <v>7.2999999999999995E-2</v>
      </c>
      <c r="E10" s="2118">
        <v>8.2000000000000003E-2</v>
      </c>
      <c r="F10" s="2119">
        <v>0.1</v>
      </c>
    </row>
    <row r="11" spans="1:6" ht="14.25" thickBot="1">
      <c r="A11" s="1531" t="s">
        <v>1280</v>
      </c>
      <c r="B11" s="1535" t="s">
        <v>1199</v>
      </c>
      <c r="C11" s="2120">
        <v>8.8999999999999996E-2</v>
      </c>
      <c r="D11" s="2120">
        <v>7.2999999999999995E-2</v>
      </c>
      <c r="E11" s="2120">
        <v>8.2000000000000003E-2</v>
      </c>
      <c r="F11" s="2121">
        <v>0.1</v>
      </c>
    </row>
    <row r="12" spans="1:6" ht="14.25" thickBot="1">
      <c r="A12" s="1531" t="s">
        <v>1280</v>
      </c>
      <c r="B12" s="1535" t="s">
        <v>1135</v>
      </c>
      <c r="C12" s="2120">
        <v>6.0999999999999999E-2</v>
      </c>
      <c r="D12" s="2120">
        <v>7.0999999999999994E-2</v>
      </c>
      <c r="E12" s="2120">
        <v>9.6000000000000002E-2</v>
      </c>
      <c r="F12" s="2121">
        <v>0.1</v>
      </c>
    </row>
    <row r="13" spans="1:6" ht="14.25" thickBot="1">
      <c r="A13" s="1531" t="s">
        <v>1280</v>
      </c>
      <c r="B13" s="1535" t="s">
        <v>1225</v>
      </c>
      <c r="C13" s="2120">
        <v>6.9000000000000006E-2</v>
      </c>
      <c r="D13" s="2120">
        <v>6.5000000000000002E-2</v>
      </c>
      <c r="E13" s="2120">
        <v>6.6000000000000003E-2</v>
      </c>
      <c r="F13" s="2121">
        <v>0.1</v>
      </c>
    </row>
    <row r="14" spans="1:6" ht="14.25" thickBot="1">
      <c r="A14" s="1531" t="s">
        <v>1280</v>
      </c>
      <c r="B14" s="1535" t="s">
        <v>1237</v>
      </c>
      <c r="C14" s="2120">
        <v>0.1</v>
      </c>
      <c r="D14" s="2120">
        <v>6.5000000000000002E-2</v>
      </c>
      <c r="E14" s="2120">
        <v>7.0000000000000007E-2</v>
      </c>
      <c r="F14" s="2121">
        <v>0.1</v>
      </c>
    </row>
    <row r="15" spans="1:6" ht="14.25" thickBot="1">
      <c r="A15" s="1531" t="s">
        <v>1280</v>
      </c>
      <c r="B15" s="1535" t="s">
        <v>1248</v>
      </c>
      <c r="C15" s="2120">
        <v>9.8000000000000004E-2</v>
      </c>
      <c r="D15" s="2120">
        <v>8.8999999999999996E-2</v>
      </c>
      <c r="E15" s="2120">
        <v>8.8999999999999996E-2</v>
      </c>
      <c r="F15" s="2121">
        <v>0.1</v>
      </c>
    </row>
    <row r="16" spans="1:6" ht="14.25" thickBot="1">
      <c r="A16" s="1531" t="s">
        <v>1280</v>
      </c>
      <c r="B16" s="1535" t="s">
        <v>1259</v>
      </c>
      <c r="C16" s="2120">
        <v>7.0000000000000007E-2</v>
      </c>
      <c r="D16" s="2120">
        <v>9.2999999999999999E-2</v>
      </c>
      <c r="E16" s="2120">
        <v>9.6000000000000002E-2</v>
      </c>
      <c r="F16" s="2121">
        <v>0.1</v>
      </c>
    </row>
    <row r="17" spans="1:6" ht="14.25" thickBot="1">
      <c r="A17" s="1531" t="s">
        <v>1280</v>
      </c>
      <c r="B17" s="1535" t="s">
        <v>1270</v>
      </c>
      <c r="C17" s="2120">
        <v>9.5000000000000001E-2</v>
      </c>
      <c r="D17" s="2120">
        <v>0.1</v>
      </c>
      <c r="E17" s="2120">
        <v>0.1</v>
      </c>
      <c r="F17" s="2132"/>
    </row>
    <row r="18" spans="1:6" ht="14.25" thickBot="1">
      <c r="A18" s="1531" t="s">
        <v>1280</v>
      </c>
      <c r="B18" s="1535" t="s">
        <v>1282</v>
      </c>
      <c r="C18" s="2120">
        <v>7.3999999999999996E-2</v>
      </c>
      <c r="D18" s="2120">
        <v>9.9000000000000005E-2</v>
      </c>
      <c r="E18" s="2120">
        <v>0.1</v>
      </c>
      <c r="F18" s="2132"/>
    </row>
    <row r="19" spans="1:6" ht="14.25" thickBot="1">
      <c r="A19" s="1531" t="s">
        <v>1280</v>
      </c>
      <c r="B19" s="1535" t="s">
        <v>1292</v>
      </c>
      <c r="C19" s="2120">
        <v>9.9000000000000005E-2</v>
      </c>
      <c r="D19" s="2120">
        <v>7.5999999999999998E-2</v>
      </c>
      <c r="E19" s="2120">
        <v>8.6999999999999994E-2</v>
      </c>
      <c r="F19" s="2132"/>
    </row>
    <row r="20" spans="1:6" ht="14.25" thickBot="1">
      <c r="A20" s="1531" t="s">
        <v>1280</v>
      </c>
      <c r="B20" s="1535" t="s">
        <v>1302</v>
      </c>
      <c r="C20" s="2120">
        <v>9.8000000000000004E-2</v>
      </c>
      <c r="D20" s="2120">
        <v>8.5000000000000006E-2</v>
      </c>
      <c r="E20" s="2120">
        <v>8.2000000000000003E-2</v>
      </c>
      <c r="F20" s="2132"/>
    </row>
    <row r="21" spans="1:6" ht="14.25" thickBot="1">
      <c r="A21" s="1531" t="s">
        <v>1280</v>
      </c>
      <c r="B21" s="1535" t="s">
        <v>1312</v>
      </c>
      <c r="C21" s="2120">
        <v>6.6000000000000003E-2</v>
      </c>
      <c r="D21" s="2120">
        <v>6.4000000000000001E-2</v>
      </c>
      <c r="E21" s="2120">
        <v>6.5000000000000002E-2</v>
      </c>
      <c r="F21" s="2132"/>
    </row>
    <row r="22" spans="1:6" ht="14.25" thickBot="1">
      <c r="A22" s="1531" t="s">
        <v>1280</v>
      </c>
      <c r="B22" s="1535" t="s">
        <v>2146</v>
      </c>
      <c r="C22" s="2120">
        <v>0.08</v>
      </c>
      <c r="D22" s="2120">
        <v>9.8000000000000004E-2</v>
      </c>
      <c r="E22" s="2120">
        <v>9.8000000000000004E-2</v>
      </c>
      <c r="F22" s="2132"/>
    </row>
    <row r="23" spans="1:6" ht="14.25" thickBot="1">
      <c r="A23" s="1531" t="s">
        <v>1280</v>
      </c>
      <c r="B23" s="1535" t="s">
        <v>1333</v>
      </c>
      <c r="C23" s="2120">
        <v>9.9000000000000005E-2</v>
      </c>
      <c r="D23" s="2120">
        <v>9.8000000000000004E-2</v>
      </c>
      <c r="E23" s="2120">
        <v>9.0999999999999998E-2</v>
      </c>
      <c r="F23" s="2132"/>
    </row>
    <row r="24" spans="1:6" ht="14.25" thickBot="1">
      <c r="A24" s="1531" t="s">
        <v>1280</v>
      </c>
      <c r="B24" s="1535" t="s">
        <v>1344</v>
      </c>
      <c r="C24" s="2120">
        <v>8.8999999999999996E-2</v>
      </c>
      <c r="D24" s="2120">
        <v>9.7000000000000003E-2</v>
      </c>
      <c r="E24" s="2120">
        <v>7.0000000000000007E-2</v>
      </c>
      <c r="F24" s="2132"/>
    </row>
    <row r="25" spans="1:6" ht="14.25" thickBot="1">
      <c r="A25" s="1531" t="s">
        <v>1280</v>
      </c>
      <c r="B25" s="1535" t="s">
        <v>1354</v>
      </c>
      <c r="C25" s="2120">
        <v>8.8999999999999996E-2</v>
      </c>
      <c r="D25" s="2120">
        <v>0.1</v>
      </c>
      <c r="E25" s="2120">
        <v>8.1000000000000003E-2</v>
      </c>
      <c r="F25" s="2132"/>
    </row>
    <row r="26" spans="1:6" ht="14.25" thickBot="1">
      <c r="A26" s="1531" t="s">
        <v>1280</v>
      </c>
      <c r="B26" s="1535" t="s">
        <v>1364</v>
      </c>
      <c r="C26" s="2133"/>
      <c r="D26" s="2120">
        <v>9.6000000000000002E-2</v>
      </c>
      <c r="E26" s="2120">
        <v>9.2999999999999999E-2</v>
      </c>
      <c r="F26" s="2132"/>
    </row>
    <row r="27" spans="1:6" ht="14.25" thickBot="1">
      <c r="A27" s="1531" t="s">
        <v>1280</v>
      </c>
      <c r="B27" s="1535" t="s">
        <v>1374</v>
      </c>
      <c r="C27" s="2133"/>
      <c r="D27" s="2120">
        <v>7.5999999999999998E-2</v>
      </c>
      <c r="E27" s="2120">
        <v>9.1999999999999998E-2</v>
      </c>
      <c r="F27" s="2132"/>
    </row>
    <row r="28" spans="1:6" ht="14.25" thickBot="1">
      <c r="A28" s="1541" t="s">
        <v>1280</v>
      </c>
      <c r="B28" s="1536" t="s">
        <v>1384</v>
      </c>
      <c r="C28" s="2130"/>
      <c r="D28" s="2122">
        <v>7.5999999999999998E-2</v>
      </c>
      <c r="E28" s="2122">
        <v>9.1999999999999998E-2</v>
      </c>
      <c r="F28" s="2131"/>
    </row>
    <row r="29" spans="1:6" ht="14.25" thickBot="1">
      <c r="A29" s="1531" t="s">
        <v>1453</v>
      </c>
      <c r="B29" s="1532" t="s">
        <v>2147</v>
      </c>
      <c r="C29" s="2118">
        <v>6.4000000000000001E-2</v>
      </c>
      <c r="D29" s="2118">
        <v>6.5000000000000002E-2</v>
      </c>
      <c r="E29" s="2118">
        <v>6.9000000000000006E-2</v>
      </c>
      <c r="F29" s="2119">
        <v>0.1</v>
      </c>
    </row>
    <row r="30" spans="1:6" ht="14.25" thickBot="1">
      <c r="A30" s="1531" t="s">
        <v>1453</v>
      </c>
      <c r="B30" s="1535" t="s">
        <v>1200</v>
      </c>
      <c r="C30" s="2120">
        <v>6.4000000000000001E-2</v>
      </c>
      <c r="D30" s="2120">
        <v>9.9000000000000005E-2</v>
      </c>
      <c r="E30" s="2120">
        <v>0.1</v>
      </c>
      <c r="F30" s="2121">
        <v>0.1</v>
      </c>
    </row>
    <row r="31" spans="1:6" ht="14.25" thickBot="1">
      <c r="A31" s="1531" t="s">
        <v>1453</v>
      </c>
      <c r="B31" s="1535" t="s">
        <v>1213</v>
      </c>
      <c r="C31" s="2120">
        <v>0.1</v>
      </c>
      <c r="D31" s="2120">
        <v>9.5000000000000001E-2</v>
      </c>
      <c r="E31" s="2120">
        <v>8.8999999999999996E-2</v>
      </c>
      <c r="F31" s="2121">
        <v>0.1</v>
      </c>
    </row>
    <row r="32" spans="1:6" ht="14.25" thickBot="1">
      <c r="A32" s="1531" t="s">
        <v>1453</v>
      </c>
      <c r="B32" s="1535" t="s">
        <v>1226</v>
      </c>
      <c r="C32" s="2120">
        <v>0.05</v>
      </c>
      <c r="D32" s="2120">
        <v>0.05</v>
      </c>
      <c r="E32" s="2120">
        <v>8.7999999999999995E-2</v>
      </c>
      <c r="F32" s="2121">
        <v>0.1</v>
      </c>
    </row>
    <row r="33" spans="1:6" ht="14.25" thickBot="1">
      <c r="A33" s="1531" t="s">
        <v>1453</v>
      </c>
      <c r="B33" s="1535" t="s">
        <v>1238</v>
      </c>
      <c r="C33" s="2120">
        <v>7.4999999999999997E-2</v>
      </c>
      <c r="D33" s="2120">
        <v>9.4E-2</v>
      </c>
      <c r="E33" s="2120">
        <v>9.7000000000000003E-2</v>
      </c>
      <c r="F33" s="2121">
        <v>0.1</v>
      </c>
    </row>
    <row r="34" spans="1:6" ht="14.25" thickBot="1">
      <c r="A34" s="1531" t="s">
        <v>1453</v>
      </c>
      <c r="B34" s="1535" t="s">
        <v>1249</v>
      </c>
      <c r="C34" s="2120">
        <v>9.8000000000000004E-2</v>
      </c>
      <c r="D34" s="2120">
        <v>8.5999999999999993E-2</v>
      </c>
      <c r="E34" s="2120">
        <v>9.7000000000000003E-2</v>
      </c>
      <c r="F34" s="2121">
        <v>0.1</v>
      </c>
    </row>
    <row r="35" spans="1:6" ht="14.25" thickBot="1">
      <c r="A35" s="1531" t="s">
        <v>1453</v>
      </c>
      <c r="B35" s="1535" t="s">
        <v>1260</v>
      </c>
      <c r="C35" s="2120">
        <v>5.8999999999999997E-2</v>
      </c>
      <c r="D35" s="2120">
        <v>6.5000000000000002E-2</v>
      </c>
      <c r="E35" s="2120">
        <v>7.0000000000000007E-2</v>
      </c>
      <c r="F35" s="2121">
        <v>0.1</v>
      </c>
    </row>
    <row r="36" spans="1:6" ht="14.25" thickBot="1">
      <c r="A36" s="1531" t="s">
        <v>1453</v>
      </c>
      <c r="B36" s="1535" t="s">
        <v>1271</v>
      </c>
      <c r="C36" s="2120">
        <v>6.3E-2</v>
      </c>
      <c r="D36" s="2120">
        <v>0.1</v>
      </c>
      <c r="E36" s="2120">
        <v>0.1</v>
      </c>
      <c r="F36" s="2121">
        <v>0.1</v>
      </c>
    </row>
    <row r="37" spans="1:6" ht="14.25" thickBot="1">
      <c r="A37" s="1531" t="s">
        <v>1453</v>
      </c>
      <c r="B37" s="1535" t="s">
        <v>1283</v>
      </c>
      <c r="C37" s="2120">
        <v>7.3999999999999996E-2</v>
      </c>
      <c r="D37" s="2120">
        <v>0.1</v>
      </c>
      <c r="E37" s="2120">
        <v>0.1</v>
      </c>
      <c r="F37" s="2121">
        <v>0.1</v>
      </c>
    </row>
    <row r="38" spans="1:6" ht="14.25" thickBot="1">
      <c r="A38" s="1531" t="s">
        <v>1453</v>
      </c>
      <c r="B38" s="1535" t="s">
        <v>1293</v>
      </c>
      <c r="C38" s="2120">
        <v>0.1</v>
      </c>
      <c r="D38" s="2120">
        <v>9.6000000000000002E-2</v>
      </c>
      <c r="E38" s="2120">
        <v>9.6000000000000002E-2</v>
      </c>
      <c r="F38" s="2132"/>
    </row>
    <row r="39" spans="1:6" ht="14.25" thickBot="1">
      <c r="A39" s="1531" t="s">
        <v>1453</v>
      </c>
      <c r="B39" s="1535" t="s">
        <v>1303</v>
      </c>
      <c r="C39" s="2120">
        <v>0.1</v>
      </c>
      <c r="D39" s="2120">
        <v>9.6000000000000002E-2</v>
      </c>
      <c r="E39" s="2120">
        <v>9.6000000000000002E-2</v>
      </c>
      <c r="F39" s="2132"/>
    </row>
    <row r="40" spans="1:6" ht="14.25" thickBot="1">
      <c r="A40" s="1531" t="s">
        <v>1453</v>
      </c>
      <c r="B40" s="1535" t="s">
        <v>1313</v>
      </c>
      <c r="C40" s="2120">
        <v>9.6000000000000002E-2</v>
      </c>
      <c r="D40" s="2120">
        <v>0.1</v>
      </c>
      <c r="E40" s="2120">
        <v>9.9000000000000005E-2</v>
      </c>
      <c r="F40" s="2132"/>
    </row>
    <row r="41" spans="1:6" ht="14.25" thickBot="1">
      <c r="A41" s="1531" t="s">
        <v>1453</v>
      </c>
      <c r="B41" s="1535" t="s">
        <v>1323</v>
      </c>
      <c r="C41" s="2120">
        <v>9.6000000000000002E-2</v>
      </c>
      <c r="D41" s="2120">
        <v>9.8000000000000004E-2</v>
      </c>
      <c r="E41" s="2120">
        <v>9.8000000000000004E-2</v>
      </c>
      <c r="F41" s="2132"/>
    </row>
    <row r="42" spans="1:6" ht="14.25" thickBot="1">
      <c r="A42" s="1531" t="s">
        <v>1453</v>
      </c>
      <c r="B42" s="1535" t="s">
        <v>1334</v>
      </c>
      <c r="C42" s="2120">
        <v>0.1</v>
      </c>
      <c r="D42" s="2120">
        <v>8.7999999999999995E-2</v>
      </c>
      <c r="E42" s="2120">
        <v>0.1</v>
      </c>
      <c r="F42" s="2132"/>
    </row>
    <row r="43" spans="1:6" ht="14.25" thickBot="1">
      <c r="A43" s="1531" t="s">
        <v>1453</v>
      </c>
      <c r="B43" s="1535" t="s">
        <v>1345</v>
      </c>
      <c r="C43" s="2120">
        <v>9.8000000000000004E-2</v>
      </c>
      <c r="D43" s="2120">
        <v>9.7000000000000003E-2</v>
      </c>
      <c r="E43" s="2120">
        <v>9.6000000000000002E-2</v>
      </c>
      <c r="F43" s="2132"/>
    </row>
    <row r="44" spans="1:6" ht="14.25" thickBot="1">
      <c r="A44" s="1531" t="s">
        <v>1453</v>
      </c>
      <c r="B44" s="1535" t="s">
        <v>1355</v>
      </c>
      <c r="C44" s="2120">
        <v>8.5999999999999993E-2</v>
      </c>
      <c r="D44" s="2120">
        <v>7.9000000000000001E-2</v>
      </c>
      <c r="E44" s="2120">
        <v>7.0999999999999994E-2</v>
      </c>
      <c r="F44" s="2132"/>
    </row>
    <row r="45" spans="1:6" ht="14.25" thickBot="1">
      <c r="A45" s="1531" t="s">
        <v>1453</v>
      </c>
      <c r="B45" s="1535" t="s">
        <v>1365</v>
      </c>
      <c r="C45" s="2120">
        <v>9.8000000000000004E-2</v>
      </c>
      <c r="D45" s="2120">
        <v>9.6000000000000002E-2</v>
      </c>
      <c r="E45" s="2120">
        <v>9.6000000000000002E-2</v>
      </c>
      <c r="F45" s="2132"/>
    </row>
    <row r="46" spans="1:6" ht="14.25" thickBot="1">
      <c r="A46" s="1531" t="s">
        <v>1453</v>
      </c>
      <c r="B46" s="1535" t="s">
        <v>1375</v>
      </c>
      <c r="C46" s="2120">
        <v>8.5999999999999993E-2</v>
      </c>
      <c r="D46" s="2120">
        <v>9.8000000000000004E-2</v>
      </c>
      <c r="E46" s="2120">
        <v>8.7999999999999995E-2</v>
      </c>
      <c r="F46" s="2132"/>
    </row>
    <row r="47" spans="1:6" ht="14.25" thickBot="1">
      <c r="A47" s="1531" t="s">
        <v>1453</v>
      </c>
      <c r="B47" s="1535" t="s">
        <v>1385</v>
      </c>
      <c r="C47" s="2120">
        <v>9.6000000000000002E-2</v>
      </c>
      <c r="D47" s="2133"/>
      <c r="E47" s="2120">
        <v>6.9000000000000006E-2</v>
      </c>
      <c r="F47" s="2132"/>
    </row>
    <row r="48" spans="1:6" ht="14.25" thickBot="1">
      <c r="A48" s="1541" t="s">
        <v>1453</v>
      </c>
      <c r="B48" s="1536" t="s">
        <v>1394</v>
      </c>
      <c r="C48" s="2122">
        <v>9.8000000000000004E-2</v>
      </c>
      <c r="D48" s="2130"/>
      <c r="E48" s="2122">
        <v>9.5000000000000001E-2</v>
      </c>
      <c r="F48" s="2131"/>
    </row>
    <row r="49" spans="1:6" ht="14.25" thickBot="1">
      <c r="A49" s="1531" t="s">
        <v>1134</v>
      </c>
      <c r="B49" s="1532" t="s">
        <v>2148</v>
      </c>
      <c r="C49" s="2118">
        <v>9.7000000000000003E-2</v>
      </c>
      <c r="D49" s="2118">
        <v>9.5000000000000001E-2</v>
      </c>
      <c r="E49" s="2118">
        <v>9.7000000000000003E-2</v>
      </c>
      <c r="F49" s="2119">
        <v>0.1</v>
      </c>
    </row>
    <row r="50" spans="1:6" ht="14.25" thickBot="1">
      <c r="A50" s="1531" t="s">
        <v>1134</v>
      </c>
      <c r="B50" s="1525" t="s">
        <v>1201</v>
      </c>
      <c r="C50" s="2120">
        <v>7.4999999999999997E-2</v>
      </c>
      <c r="D50" s="2120">
        <v>9.5000000000000001E-2</v>
      </c>
      <c r="E50" s="2120">
        <v>0.1</v>
      </c>
      <c r="F50" s="2121">
        <v>0.1</v>
      </c>
    </row>
    <row r="51" spans="1:6" ht="14.25" thickBot="1">
      <c r="A51" s="1531" t="s">
        <v>1134</v>
      </c>
      <c r="B51" s="1525" t="s">
        <v>1214</v>
      </c>
      <c r="C51" s="2120">
        <v>9.8000000000000004E-2</v>
      </c>
      <c r="D51" s="2120">
        <v>8.8999999999999996E-2</v>
      </c>
      <c r="E51" s="2120">
        <v>0.1</v>
      </c>
      <c r="F51" s="2121">
        <v>0.1</v>
      </c>
    </row>
    <row r="52" spans="1:6" ht="14.25" thickBot="1">
      <c r="A52" s="1531" t="s">
        <v>1134</v>
      </c>
      <c r="B52" s="1525" t="s">
        <v>1227</v>
      </c>
      <c r="C52" s="2120">
        <v>9.8000000000000004E-2</v>
      </c>
      <c r="D52" s="2120">
        <v>9.7000000000000003E-2</v>
      </c>
      <c r="E52" s="2120">
        <v>8.1000000000000003E-2</v>
      </c>
      <c r="F52" s="2121">
        <v>0.1</v>
      </c>
    </row>
    <row r="53" spans="1:6" ht="14.25" thickBot="1">
      <c r="A53" s="1531" t="s">
        <v>1134</v>
      </c>
      <c r="B53" s="1525" t="s">
        <v>1239</v>
      </c>
      <c r="C53" s="2120">
        <v>9.7000000000000003E-2</v>
      </c>
      <c r="D53" s="2120">
        <v>7.5999999999999998E-2</v>
      </c>
      <c r="E53" s="2120">
        <v>7.0999999999999994E-2</v>
      </c>
      <c r="F53" s="2121">
        <v>0.1</v>
      </c>
    </row>
    <row r="54" spans="1:6" ht="14.25" thickBot="1">
      <c r="A54" s="1531" t="s">
        <v>1134</v>
      </c>
      <c r="B54" s="1525" t="s">
        <v>1250</v>
      </c>
      <c r="C54" s="2120">
        <v>7.5999999999999998E-2</v>
      </c>
      <c r="D54" s="2120">
        <v>0.1</v>
      </c>
      <c r="E54" s="2120">
        <v>9.9000000000000005E-2</v>
      </c>
      <c r="F54" s="2121">
        <v>0.1</v>
      </c>
    </row>
    <row r="55" spans="1:6" ht="14.25" thickBot="1">
      <c r="A55" s="1531" t="s">
        <v>1134</v>
      </c>
      <c r="B55" s="1525" t="s">
        <v>1261</v>
      </c>
      <c r="C55" s="2120">
        <v>0.1</v>
      </c>
      <c r="D55" s="2120">
        <v>0.1</v>
      </c>
      <c r="E55" s="2120">
        <v>9.6000000000000002E-2</v>
      </c>
      <c r="F55" s="2121">
        <v>0.1</v>
      </c>
    </row>
    <row r="56" spans="1:6" ht="14.25" thickBot="1">
      <c r="A56" s="1531" t="s">
        <v>1134</v>
      </c>
      <c r="B56" s="1525" t="s">
        <v>1272</v>
      </c>
      <c r="C56" s="2120">
        <v>0.1</v>
      </c>
      <c r="D56" s="2120">
        <v>9.6000000000000002E-2</v>
      </c>
      <c r="E56" s="2120">
        <v>5.1999999999999998E-2</v>
      </c>
      <c r="F56" s="2121">
        <v>0.1</v>
      </c>
    </row>
    <row r="57" spans="1:6" ht="14.25" thickBot="1">
      <c r="A57" s="1531" t="s">
        <v>1134</v>
      </c>
      <c r="B57" s="1525" t="s">
        <v>1284</v>
      </c>
      <c r="C57" s="2120">
        <v>9.7000000000000003E-2</v>
      </c>
      <c r="D57" s="2120">
        <v>9.6000000000000002E-2</v>
      </c>
      <c r="E57" s="2120">
        <v>9.6000000000000002E-2</v>
      </c>
      <c r="F57" s="2121">
        <v>0.1</v>
      </c>
    </row>
    <row r="58" spans="1:6" ht="14.25" thickBot="1">
      <c r="A58" s="1531" t="s">
        <v>1134</v>
      </c>
      <c r="B58" s="1525" t="s">
        <v>1294</v>
      </c>
      <c r="C58" s="2120">
        <v>9.6000000000000002E-2</v>
      </c>
      <c r="D58" s="2120">
        <v>9.9000000000000005E-2</v>
      </c>
      <c r="E58" s="2120">
        <v>9.6000000000000002E-2</v>
      </c>
      <c r="F58" s="2121">
        <v>0.1</v>
      </c>
    </row>
    <row r="59" spans="1:6" ht="14.25" thickBot="1">
      <c r="A59" s="1531" t="s">
        <v>1134</v>
      </c>
      <c r="B59" s="1525" t="s">
        <v>1304</v>
      </c>
      <c r="C59" s="2120">
        <v>7.1999999999999995E-2</v>
      </c>
      <c r="D59" s="2120">
        <v>9.6000000000000002E-2</v>
      </c>
      <c r="E59" s="2120">
        <v>7.0999999999999994E-2</v>
      </c>
      <c r="F59" s="2121">
        <v>0.1</v>
      </c>
    </row>
    <row r="60" spans="1:6" ht="14.25" thickBot="1">
      <c r="A60" s="1531" t="s">
        <v>1134</v>
      </c>
      <c r="B60" s="1525" t="s">
        <v>1314</v>
      </c>
      <c r="C60" s="2120">
        <v>9.6000000000000002E-2</v>
      </c>
      <c r="D60" s="2120">
        <v>8.8999999999999996E-2</v>
      </c>
      <c r="E60" s="2120">
        <v>9.6000000000000002E-2</v>
      </c>
      <c r="F60" s="2121">
        <v>0.1</v>
      </c>
    </row>
    <row r="61" spans="1:6" ht="14.25" thickBot="1">
      <c r="A61" s="1531" t="s">
        <v>1134</v>
      </c>
      <c r="B61" s="1525" t="s">
        <v>1324</v>
      </c>
      <c r="C61" s="2120">
        <v>8.8999999999999996E-2</v>
      </c>
      <c r="D61" s="2120">
        <v>9.8000000000000004E-2</v>
      </c>
      <c r="E61" s="2120">
        <v>8.7999999999999995E-2</v>
      </c>
      <c r="F61" s="2132"/>
    </row>
    <row r="62" spans="1:6" ht="14.25" thickBot="1">
      <c r="A62" s="1531" t="s">
        <v>1134</v>
      </c>
      <c r="B62" s="1525" t="s">
        <v>1335</v>
      </c>
      <c r="C62" s="2120">
        <v>9.8000000000000004E-2</v>
      </c>
      <c r="D62" s="2120">
        <v>9.2999999999999999E-2</v>
      </c>
      <c r="E62" s="2120">
        <v>9.7000000000000003E-2</v>
      </c>
      <c r="F62" s="2132"/>
    </row>
    <row r="63" spans="1:6" ht="14.25" thickBot="1">
      <c r="A63" s="1531" t="s">
        <v>1134</v>
      </c>
      <c r="B63" s="1525" t="s">
        <v>1346</v>
      </c>
      <c r="C63" s="2120">
        <v>9.6000000000000002E-2</v>
      </c>
      <c r="D63" s="2120">
        <v>9.8000000000000004E-2</v>
      </c>
      <c r="E63" s="2120">
        <v>0.09</v>
      </c>
      <c r="F63" s="2132"/>
    </row>
    <row r="64" spans="1:6" ht="14.25" thickBot="1">
      <c r="A64" s="1531" t="s">
        <v>1134</v>
      </c>
      <c r="B64" s="1525" t="s">
        <v>1356</v>
      </c>
      <c r="C64" s="2120">
        <v>9.9000000000000005E-2</v>
      </c>
      <c r="D64" s="2120">
        <v>9.7000000000000003E-2</v>
      </c>
      <c r="E64" s="2120">
        <v>9.9000000000000005E-2</v>
      </c>
      <c r="F64" s="2132"/>
    </row>
    <row r="65" spans="1:6" ht="14.25" thickBot="1">
      <c r="A65" s="1531" t="s">
        <v>1134</v>
      </c>
      <c r="B65" s="1525" t="s">
        <v>1366</v>
      </c>
      <c r="C65" s="2120">
        <v>9.8000000000000004E-2</v>
      </c>
      <c r="D65" s="2120">
        <v>9.6000000000000002E-2</v>
      </c>
      <c r="E65" s="2120">
        <v>9.6000000000000002E-2</v>
      </c>
      <c r="F65" s="2132"/>
    </row>
    <row r="66" spans="1:6" ht="14.25" thickBot="1">
      <c r="A66" s="1531" t="s">
        <v>1134</v>
      </c>
      <c r="B66" s="1525" t="s">
        <v>1376</v>
      </c>
      <c r="C66" s="2120">
        <v>9.6000000000000002E-2</v>
      </c>
      <c r="D66" s="2120">
        <v>9.1999999999999998E-2</v>
      </c>
      <c r="E66" s="2120">
        <v>9.6000000000000002E-2</v>
      </c>
      <c r="F66" s="2132"/>
    </row>
    <row r="67" spans="1:6" ht="14.25" thickBot="1">
      <c r="A67" s="1531" t="s">
        <v>1134</v>
      </c>
      <c r="B67" s="1525" t="s">
        <v>1386</v>
      </c>
      <c r="C67" s="2120">
        <v>9.4E-2</v>
      </c>
      <c r="D67" s="2120">
        <v>0.1</v>
      </c>
      <c r="E67" s="2120">
        <v>8.7999999999999995E-2</v>
      </c>
      <c r="F67" s="2132"/>
    </row>
    <row r="68" spans="1:6" ht="14.25" thickBot="1">
      <c r="A68" s="1531" t="s">
        <v>1134</v>
      </c>
      <c r="B68" s="1525" t="s">
        <v>1395</v>
      </c>
      <c r="C68" s="2120">
        <v>0.1</v>
      </c>
      <c r="D68" s="2120">
        <v>8.7999999999999995E-2</v>
      </c>
      <c r="E68" s="2120">
        <v>9.7000000000000003E-2</v>
      </c>
      <c r="F68" s="2132"/>
    </row>
    <row r="69" spans="1:6" ht="14.25" thickBot="1">
      <c r="A69" s="1531" t="s">
        <v>1134</v>
      </c>
      <c r="B69" s="1525" t="s">
        <v>1404</v>
      </c>
      <c r="C69" s="2120">
        <v>6.4000000000000001E-2</v>
      </c>
      <c r="D69" s="2120">
        <v>0.1</v>
      </c>
      <c r="E69" s="2120">
        <v>0.1</v>
      </c>
      <c r="F69" s="2132"/>
    </row>
    <row r="70" spans="1:6" ht="14.25" thickBot="1">
      <c r="A70" s="1531" t="s">
        <v>1134</v>
      </c>
      <c r="B70" s="1525" t="s">
        <v>1412</v>
      </c>
      <c r="C70" s="2120">
        <v>9.0999999999999998E-2</v>
      </c>
      <c r="D70" s="2133"/>
      <c r="E70" s="2133"/>
      <c r="F70" s="2132"/>
    </row>
    <row r="71" spans="1:6" ht="14.25" thickBot="1">
      <c r="A71" s="1531" t="s">
        <v>1134</v>
      </c>
      <c r="B71" s="1525" t="s">
        <v>1419</v>
      </c>
      <c r="C71" s="2120">
        <v>0.1</v>
      </c>
      <c r="D71" s="2133"/>
      <c r="E71" s="2133"/>
      <c r="F71" s="2132"/>
    </row>
    <row r="72" spans="1:6" ht="14.25" thickBot="1">
      <c r="A72" s="1531" t="s">
        <v>1134</v>
      </c>
      <c r="B72" s="1525" t="s">
        <v>2149</v>
      </c>
      <c r="C72" s="2133"/>
      <c r="D72" s="2133"/>
      <c r="E72" s="2133"/>
      <c r="F72" s="2121">
        <v>0.05</v>
      </c>
    </row>
    <row r="73" spans="1:6" ht="14.25" thickBot="1">
      <c r="A73" s="1531" t="s">
        <v>1134</v>
      </c>
      <c r="B73" s="1525" t="s">
        <v>2150</v>
      </c>
      <c r="C73" s="2133"/>
      <c r="D73" s="2133"/>
      <c r="E73" s="2133"/>
      <c r="F73" s="2121">
        <v>0.05</v>
      </c>
    </row>
    <row r="74" spans="1:6" ht="14.25" thickBot="1">
      <c r="A74" s="1531" t="s">
        <v>1134</v>
      </c>
      <c r="B74" s="1525" t="s">
        <v>2151</v>
      </c>
      <c r="C74" s="2133"/>
      <c r="D74" s="2133"/>
      <c r="E74" s="2133"/>
      <c r="F74" s="2121">
        <v>0.05</v>
      </c>
    </row>
    <row r="75" spans="1:6" ht="14.25" thickBot="1">
      <c r="A75" s="1541" t="s">
        <v>1134</v>
      </c>
      <c r="B75" s="1537" t="s">
        <v>2152</v>
      </c>
      <c r="C75" s="2130"/>
      <c r="D75" s="2130"/>
      <c r="E75" s="2130"/>
      <c r="F75" s="2123">
        <v>0.05</v>
      </c>
    </row>
    <row r="76" spans="1:6" ht="14.25" thickBot="1">
      <c r="A76" s="1531" t="s">
        <v>1534</v>
      </c>
      <c r="B76" s="1532" t="s">
        <v>2153</v>
      </c>
      <c r="C76" s="2118">
        <v>0.1</v>
      </c>
      <c r="D76" s="2118">
        <v>0.1</v>
      </c>
      <c r="E76" s="2118">
        <v>0.1</v>
      </c>
      <c r="F76" s="2119">
        <v>0.1</v>
      </c>
    </row>
    <row r="77" spans="1:6" ht="14.25" thickBot="1">
      <c r="A77" s="1531" t="s">
        <v>1534</v>
      </c>
      <c r="B77" s="1525" t="s">
        <v>1202</v>
      </c>
      <c r="C77" s="2120">
        <v>8.7999999999999995E-2</v>
      </c>
      <c r="D77" s="2120">
        <v>8.6999999999999994E-2</v>
      </c>
      <c r="E77" s="2120">
        <v>7.9000000000000001E-2</v>
      </c>
      <c r="F77" s="2121">
        <v>0.1</v>
      </c>
    </row>
    <row r="78" spans="1:6" ht="14.25" thickBot="1">
      <c r="A78" s="1531" t="s">
        <v>1534</v>
      </c>
      <c r="B78" s="1525" t="s">
        <v>1215</v>
      </c>
      <c r="C78" s="2120">
        <v>8.6999999999999994E-2</v>
      </c>
      <c r="D78" s="2120">
        <v>8.4000000000000005E-2</v>
      </c>
      <c r="E78" s="2120">
        <v>9.6000000000000002E-2</v>
      </c>
      <c r="F78" s="2121">
        <v>0.1</v>
      </c>
    </row>
    <row r="79" spans="1:6" ht="14.25" thickBot="1">
      <c r="A79" s="1531" t="s">
        <v>1534</v>
      </c>
      <c r="B79" s="1525" t="s">
        <v>1228</v>
      </c>
      <c r="C79" s="2120">
        <v>9.8000000000000004E-2</v>
      </c>
      <c r="D79" s="2120">
        <v>9.8000000000000004E-2</v>
      </c>
      <c r="E79" s="2120">
        <v>9.0999999999999998E-2</v>
      </c>
      <c r="F79" s="2121">
        <v>0.1</v>
      </c>
    </row>
    <row r="80" spans="1:6" ht="14.25" thickBot="1">
      <c r="A80" s="1531" t="s">
        <v>1534</v>
      </c>
      <c r="B80" s="1525" t="s">
        <v>1240</v>
      </c>
      <c r="C80" s="2120">
        <v>9.6000000000000002E-2</v>
      </c>
      <c r="D80" s="2120">
        <v>9.6000000000000002E-2</v>
      </c>
      <c r="E80" s="2120">
        <v>0.1</v>
      </c>
      <c r="F80" s="2121">
        <v>0.1</v>
      </c>
    </row>
    <row r="81" spans="1:6" ht="14.25" thickBot="1">
      <c r="A81" s="1531" t="s">
        <v>1534</v>
      </c>
      <c r="B81" s="1525" t="s">
        <v>1251</v>
      </c>
      <c r="C81" s="2120">
        <v>9.9000000000000005E-2</v>
      </c>
      <c r="D81" s="2120">
        <v>9.9000000000000005E-2</v>
      </c>
      <c r="E81" s="2120">
        <v>9.8000000000000004E-2</v>
      </c>
      <c r="F81" s="2121">
        <v>0.1</v>
      </c>
    </row>
    <row r="82" spans="1:6" ht="14.25" thickBot="1">
      <c r="A82" s="1531" t="s">
        <v>1534</v>
      </c>
      <c r="B82" s="1525" t="s">
        <v>1262</v>
      </c>
      <c r="C82" s="2120">
        <v>9.9000000000000005E-2</v>
      </c>
      <c r="D82" s="2120">
        <v>9.9000000000000005E-2</v>
      </c>
      <c r="E82" s="2120">
        <v>9.7000000000000003E-2</v>
      </c>
      <c r="F82" s="2121">
        <v>0.1</v>
      </c>
    </row>
    <row r="83" spans="1:6" ht="14.25" thickBot="1">
      <c r="A83" s="1531" t="s">
        <v>1534</v>
      </c>
      <c r="B83" s="1525" t="s">
        <v>1273</v>
      </c>
      <c r="C83" s="2120">
        <v>9.8000000000000004E-2</v>
      </c>
      <c r="D83" s="2120">
        <v>9.8000000000000004E-2</v>
      </c>
      <c r="E83" s="2120">
        <v>9.8000000000000004E-2</v>
      </c>
      <c r="F83" s="2121">
        <v>0.1</v>
      </c>
    </row>
    <row r="84" spans="1:6" ht="14.25" thickBot="1">
      <c r="A84" s="1531" t="s">
        <v>1534</v>
      </c>
      <c r="B84" s="1525" t="s">
        <v>1285</v>
      </c>
      <c r="C84" s="2120">
        <v>9.9000000000000005E-2</v>
      </c>
      <c r="D84" s="2120">
        <v>9.9000000000000005E-2</v>
      </c>
      <c r="E84" s="2120">
        <v>9.9000000000000005E-2</v>
      </c>
      <c r="F84" s="2121">
        <v>0.1</v>
      </c>
    </row>
    <row r="85" spans="1:6" ht="14.25" thickBot="1">
      <c r="A85" s="1531" t="s">
        <v>1534</v>
      </c>
      <c r="B85" s="1525" t="s">
        <v>1295</v>
      </c>
      <c r="C85" s="2120">
        <v>9.9000000000000005E-2</v>
      </c>
      <c r="D85" s="2120">
        <v>9.9000000000000005E-2</v>
      </c>
      <c r="E85" s="2120">
        <v>9.9000000000000005E-2</v>
      </c>
      <c r="F85" s="2121">
        <v>0.1</v>
      </c>
    </row>
    <row r="86" spans="1:6" ht="14.25" thickBot="1">
      <c r="A86" s="1531" t="s">
        <v>1534</v>
      </c>
      <c r="B86" s="1525" t="s">
        <v>1305</v>
      </c>
      <c r="C86" s="2120">
        <v>0.1</v>
      </c>
      <c r="D86" s="2120">
        <v>0.1</v>
      </c>
      <c r="E86" s="2120">
        <v>7.6999999999999999E-2</v>
      </c>
      <c r="F86" s="2121">
        <v>0.1</v>
      </c>
    </row>
    <row r="87" spans="1:6" ht="14.25" thickBot="1">
      <c r="A87" s="1531" t="s">
        <v>1534</v>
      </c>
      <c r="B87" s="1525" t="s">
        <v>1315</v>
      </c>
      <c r="C87" s="2120">
        <v>0.1</v>
      </c>
      <c r="D87" s="2120">
        <v>0.1</v>
      </c>
      <c r="E87" s="2120">
        <v>9.8000000000000004E-2</v>
      </c>
      <c r="F87" s="2132"/>
    </row>
    <row r="88" spans="1:6" ht="14.25" thickBot="1">
      <c r="A88" s="1531" t="s">
        <v>1534</v>
      </c>
      <c r="B88" s="1525" t="s">
        <v>1325</v>
      </c>
      <c r="C88" s="2120">
        <v>9.1999999999999998E-2</v>
      </c>
      <c r="D88" s="2120">
        <v>8.5000000000000006E-2</v>
      </c>
      <c r="E88" s="2120">
        <v>9.6000000000000002E-2</v>
      </c>
      <c r="F88" s="2132"/>
    </row>
    <row r="89" spans="1:6" ht="14.25" thickBot="1">
      <c r="A89" s="1531" t="s">
        <v>1534</v>
      </c>
      <c r="B89" s="1525" t="s">
        <v>1336</v>
      </c>
      <c r="C89" s="2120">
        <v>0.1</v>
      </c>
      <c r="D89" s="2120">
        <v>0.1</v>
      </c>
      <c r="E89" s="2120">
        <v>9.7000000000000003E-2</v>
      </c>
      <c r="F89" s="2132"/>
    </row>
    <row r="90" spans="1:6" ht="14.25" thickBot="1">
      <c r="A90" s="1531" t="s">
        <v>1534</v>
      </c>
      <c r="B90" s="1525" t="s">
        <v>1347</v>
      </c>
      <c r="C90" s="2120">
        <v>9.8000000000000004E-2</v>
      </c>
      <c r="D90" s="2120">
        <v>9.8000000000000004E-2</v>
      </c>
      <c r="E90" s="2120">
        <v>8.7999999999999995E-2</v>
      </c>
      <c r="F90" s="2132"/>
    </row>
    <row r="91" spans="1:6" ht="14.25" thickBot="1">
      <c r="A91" s="1531" t="s">
        <v>1534</v>
      </c>
      <c r="B91" s="1525" t="s">
        <v>1357</v>
      </c>
      <c r="C91" s="2120">
        <v>9.9000000000000005E-2</v>
      </c>
      <c r="D91" s="2120">
        <v>9.9000000000000005E-2</v>
      </c>
      <c r="E91" s="2120">
        <v>9.0999999999999998E-2</v>
      </c>
      <c r="F91" s="2132"/>
    </row>
    <row r="92" spans="1:6" ht="14.25" thickBot="1">
      <c r="A92" s="1531" t="s">
        <v>1534</v>
      </c>
      <c r="B92" s="1525" t="s">
        <v>1367</v>
      </c>
      <c r="C92" s="2120">
        <v>9.6000000000000002E-2</v>
      </c>
      <c r="D92" s="2120">
        <v>9.6000000000000002E-2</v>
      </c>
      <c r="E92" s="2120">
        <v>7.2999999999999995E-2</v>
      </c>
      <c r="F92" s="2132"/>
    </row>
    <row r="93" spans="1:6" ht="14.25" thickBot="1">
      <c r="A93" s="1531" t="s">
        <v>1534</v>
      </c>
      <c r="B93" s="1525" t="s">
        <v>1377</v>
      </c>
      <c r="C93" s="2120">
        <v>9.6000000000000002E-2</v>
      </c>
      <c r="D93" s="2120">
        <v>9.6000000000000002E-2</v>
      </c>
      <c r="E93" s="2120">
        <v>9.9000000000000005E-2</v>
      </c>
      <c r="F93" s="2132"/>
    </row>
    <row r="94" spans="1:6" ht="14.25" thickBot="1">
      <c r="A94" s="1531" t="s">
        <v>1534</v>
      </c>
      <c r="B94" s="1525" t="s">
        <v>1387</v>
      </c>
      <c r="C94" s="2120">
        <v>7.5999999999999998E-2</v>
      </c>
      <c r="D94" s="2120">
        <v>7.3999999999999996E-2</v>
      </c>
      <c r="E94" s="2120">
        <v>9.7000000000000003E-2</v>
      </c>
      <c r="F94" s="2132"/>
    </row>
    <row r="95" spans="1:6" ht="14.25" thickBot="1">
      <c r="A95" s="1531" t="s">
        <v>1534</v>
      </c>
      <c r="B95" s="1525" t="s">
        <v>1396</v>
      </c>
      <c r="C95" s="2120">
        <v>9.9000000000000005E-2</v>
      </c>
      <c r="D95" s="2120">
        <v>9.4E-2</v>
      </c>
      <c r="E95" s="2120">
        <v>9.6000000000000002E-2</v>
      </c>
      <c r="F95" s="2132"/>
    </row>
    <row r="96" spans="1:6" ht="14.25" thickBot="1">
      <c r="A96" s="1531" t="s">
        <v>1534</v>
      </c>
      <c r="B96" s="1525" t="s">
        <v>1405</v>
      </c>
      <c r="C96" s="2120">
        <v>9.9000000000000005E-2</v>
      </c>
      <c r="D96" s="2120">
        <v>9.9000000000000005E-2</v>
      </c>
      <c r="E96" s="2120">
        <v>9.9000000000000005E-2</v>
      </c>
      <c r="F96" s="2132"/>
    </row>
    <row r="97" spans="1:6" ht="14.25" thickBot="1">
      <c r="A97" s="1531" t="s">
        <v>1534</v>
      </c>
      <c r="B97" s="1525" t="s">
        <v>1413</v>
      </c>
      <c r="C97" s="2120">
        <v>9.8000000000000004E-2</v>
      </c>
      <c r="D97" s="2120">
        <v>9.8000000000000004E-2</v>
      </c>
      <c r="E97" s="2120">
        <v>9.7000000000000003E-2</v>
      </c>
      <c r="F97" s="2132"/>
    </row>
    <row r="98" spans="1:6" ht="14.25" thickBot="1">
      <c r="A98" s="1531" t="s">
        <v>1534</v>
      </c>
      <c r="B98" s="1525" t="s">
        <v>1420</v>
      </c>
      <c r="C98" s="2120">
        <v>0.1</v>
      </c>
      <c r="D98" s="2120">
        <v>0.1</v>
      </c>
      <c r="E98" s="2120">
        <v>9.7000000000000003E-2</v>
      </c>
      <c r="F98" s="2132"/>
    </row>
    <row r="99" spans="1:6" ht="14.25" thickBot="1">
      <c r="A99" s="1531" t="s">
        <v>1534</v>
      </c>
      <c r="B99" s="1525" t="s">
        <v>1427</v>
      </c>
      <c r="C99" s="2120">
        <v>0.1</v>
      </c>
      <c r="D99" s="2120">
        <v>0.1</v>
      </c>
      <c r="E99" s="2133"/>
      <c r="F99" s="2132"/>
    </row>
    <row r="100" spans="1:6" ht="14.25" thickBot="1">
      <c r="A100" s="1531" t="s">
        <v>1534</v>
      </c>
      <c r="B100" s="1525" t="s">
        <v>1434</v>
      </c>
      <c r="C100" s="2120">
        <v>0.09</v>
      </c>
      <c r="D100" s="2120">
        <v>8.8999999999999996E-2</v>
      </c>
      <c r="E100" s="2133"/>
      <c r="F100" s="2132"/>
    </row>
    <row r="101" spans="1:6" ht="14.25" thickBot="1">
      <c r="A101" s="1531" t="s">
        <v>1534</v>
      </c>
      <c r="B101" s="1525" t="s">
        <v>1441</v>
      </c>
      <c r="C101" s="2120">
        <v>9.8000000000000004E-2</v>
      </c>
      <c r="D101" s="2120">
        <v>9.7000000000000003E-2</v>
      </c>
      <c r="E101" s="2133"/>
      <c r="F101" s="2132"/>
    </row>
    <row r="102" spans="1:6" ht="14.25" thickBot="1">
      <c r="A102" s="1531" t="s">
        <v>1534</v>
      </c>
      <c r="B102" s="1525" t="s">
        <v>2154</v>
      </c>
      <c r="C102" s="2133"/>
      <c r="D102" s="2133"/>
      <c r="E102" s="2133"/>
      <c r="F102" s="2121">
        <v>0.05</v>
      </c>
    </row>
    <row r="103" spans="1:6" ht="24.75" thickBot="1">
      <c r="A103" s="1531" t="s">
        <v>1534</v>
      </c>
      <c r="B103" s="1525" t="s">
        <v>2155</v>
      </c>
      <c r="C103" s="2133"/>
      <c r="D103" s="2133"/>
      <c r="E103" s="2133"/>
      <c r="F103" s="2121">
        <v>0.05</v>
      </c>
    </row>
    <row r="104" spans="1:6" ht="14.25" thickBot="1">
      <c r="A104" s="1531" t="s">
        <v>1534</v>
      </c>
      <c r="B104" s="1525" t="s">
        <v>2156</v>
      </c>
      <c r="C104" s="2133"/>
      <c r="D104" s="2133"/>
      <c r="E104" s="2133"/>
      <c r="F104" s="2121">
        <v>0.05</v>
      </c>
    </row>
    <row r="105" spans="1:6" ht="14.25" thickBot="1">
      <c r="A105" s="1531" t="s">
        <v>1534</v>
      </c>
      <c r="B105" s="1525" t="s">
        <v>2157</v>
      </c>
      <c r="C105" s="2133"/>
      <c r="D105" s="2133"/>
      <c r="E105" s="2133"/>
      <c r="F105" s="2121">
        <v>0.05</v>
      </c>
    </row>
    <row r="106" spans="1:6" ht="14.25" thickBot="1">
      <c r="A106" s="1531" t="s">
        <v>1534</v>
      </c>
      <c r="B106" s="1525" t="s">
        <v>2158</v>
      </c>
      <c r="C106" s="2133"/>
      <c r="D106" s="2133"/>
      <c r="E106" s="2133"/>
      <c r="F106" s="2121">
        <v>0.05</v>
      </c>
    </row>
    <row r="107" spans="1:6" ht="24.75" thickBot="1">
      <c r="A107" s="1531" t="s">
        <v>1534</v>
      </c>
      <c r="B107" s="1525" t="s">
        <v>2159</v>
      </c>
      <c r="C107" s="2133"/>
      <c r="D107" s="2133"/>
      <c r="E107" s="2133"/>
      <c r="F107" s="2121">
        <v>0.05</v>
      </c>
    </row>
    <row r="108" spans="1:6" ht="24.75" thickBot="1">
      <c r="A108" s="1531" t="s">
        <v>1534</v>
      </c>
      <c r="B108" s="1525" t="s">
        <v>2160</v>
      </c>
      <c r="C108" s="2133"/>
      <c r="D108" s="2133"/>
      <c r="E108" s="2133"/>
      <c r="F108" s="2121">
        <v>0.05</v>
      </c>
    </row>
    <row r="109" spans="1:6" ht="24.75" thickBot="1">
      <c r="A109" s="1541" t="s">
        <v>1534</v>
      </c>
      <c r="B109" s="1537" t="s">
        <v>2161</v>
      </c>
      <c r="C109" s="2130"/>
      <c r="D109" s="2130"/>
      <c r="E109" s="2130"/>
      <c r="F109" s="2123">
        <v>0.05</v>
      </c>
    </row>
    <row r="110" spans="1:6" ht="14.25" thickBot="1">
      <c r="A110" s="1531" t="s">
        <v>203</v>
      </c>
      <c r="B110" s="1532" t="s">
        <v>2162</v>
      </c>
      <c r="C110" s="2118">
        <v>0.129</v>
      </c>
      <c r="D110" s="2118">
        <v>0.129</v>
      </c>
      <c r="E110" s="2118">
        <v>0.126</v>
      </c>
      <c r="F110" s="2119">
        <v>0.13</v>
      </c>
    </row>
    <row r="111" spans="1:6" ht="14.25" thickBot="1">
      <c r="A111" s="1531" t="s">
        <v>203</v>
      </c>
      <c r="B111" s="1525" t="s">
        <v>1203</v>
      </c>
      <c r="C111" s="2120">
        <v>0.11</v>
      </c>
      <c r="D111" s="2120">
        <v>0.11</v>
      </c>
      <c r="E111" s="2120">
        <v>9.9000000000000005E-2</v>
      </c>
      <c r="F111" s="2121">
        <v>0.128</v>
      </c>
    </row>
    <row r="112" spans="1:6" ht="14.25" thickBot="1">
      <c r="A112" s="1531" t="s">
        <v>203</v>
      </c>
      <c r="B112" s="1525" t="s">
        <v>1216</v>
      </c>
      <c r="C112" s="2120">
        <v>0.125</v>
      </c>
      <c r="D112" s="2120">
        <v>0.125</v>
      </c>
      <c r="E112" s="2120">
        <v>0.12</v>
      </c>
      <c r="F112" s="2121">
        <v>0.125</v>
      </c>
    </row>
    <row r="113" spans="1:6" ht="14.25" thickBot="1">
      <c r="A113" s="1531" t="s">
        <v>203</v>
      </c>
      <c r="B113" s="1525" t="s">
        <v>1229</v>
      </c>
      <c r="C113" s="2120">
        <v>0.13</v>
      </c>
      <c r="D113" s="2120">
        <v>0.13</v>
      </c>
      <c r="E113" s="2120">
        <v>0.13</v>
      </c>
      <c r="F113" s="2121">
        <v>0.13</v>
      </c>
    </row>
    <row r="114" spans="1:6" ht="14.25" thickBot="1">
      <c r="A114" s="1531" t="s">
        <v>203</v>
      </c>
      <c r="B114" s="1525" t="s">
        <v>1241</v>
      </c>
      <c r="C114" s="2120">
        <v>0.123</v>
      </c>
      <c r="D114" s="2120">
        <v>0.123</v>
      </c>
      <c r="E114" s="2120">
        <v>0.12</v>
      </c>
      <c r="F114" s="2121">
        <v>0.13</v>
      </c>
    </row>
    <row r="115" spans="1:6" ht="14.25" thickBot="1">
      <c r="A115" s="1531" t="s">
        <v>203</v>
      </c>
      <c r="B115" s="1525" t="s">
        <v>1252</v>
      </c>
      <c r="C115" s="2120">
        <v>0.125</v>
      </c>
      <c r="D115" s="2120">
        <v>0.125</v>
      </c>
      <c r="E115" s="2120">
        <v>0.11700000000000001</v>
      </c>
      <c r="F115" s="2121">
        <v>0.13</v>
      </c>
    </row>
    <row r="116" spans="1:6" ht="14.25" thickBot="1">
      <c r="A116" s="1531" t="s">
        <v>203</v>
      </c>
      <c r="B116" s="1525" t="s">
        <v>1263</v>
      </c>
      <c r="C116" s="2120">
        <v>0.11700000000000001</v>
      </c>
      <c r="D116" s="2120">
        <v>0.11700000000000001</v>
      </c>
      <c r="E116" s="2120">
        <v>8.7999999999999995E-2</v>
      </c>
      <c r="F116" s="2121">
        <v>0.13</v>
      </c>
    </row>
    <row r="117" spans="1:6" ht="14.25" thickBot="1">
      <c r="A117" s="1531" t="s">
        <v>203</v>
      </c>
      <c r="B117" s="1525" t="s">
        <v>1274</v>
      </c>
      <c r="C117" s="2120">
        <v>0.13</v>
      </c>
      <c r="D117" s="2120">
        <v>0.13</v>
      </c>
      <c r="E117" s="2120">
        <v>0.129</v>
      </c>
      <c r="F117" s="2121">
        <v>0.13</v>
      </c>
    </row>
    <row r="118" spans="1:6" ht="14.25" thickBot="1">
      <c r="A118" s="1531" t="s">
        <v>203</v>
      </c>
      <c r="B118" s="1525" t="s">
        <v>1286</v>
      </c>
      <c r="C118" s="2120">
        <v>0.123</v>
      </c>
      <c r="D118" s="2120">
        <v>0.123</v>
      </c>
      <c r="E118" s="2120">
        <v>0.11600000000000001</v>
      </c>
      <c r="F118" s="2121">
        <v>0.13</v>
      </c>
    </row>
    <row r="119" spans="1:6" ht="14.25" thickBot="1">
      <c r="A119" s="1531" t="s">
        <v>203</v>
      </c>
      <c r="B119" s="1525" t="s">
        <v>1296</v>
      </c>
      <c r="C119" s="2120">
        <v>0.127</v>
      </c>
      <c r="D119" s="2120">
        <v>0.127</v>
      </c>
      <c r="E119" s="2120">
        <v>0.124</v>
      </c>
      <c r="F119" s="2121">
        <v>0.13</v>
      </c>
    </row>
    <row r="120" spans="1:6" ht="14.25" thickBot="1">
      <c r="A120" s="1531" t="s">
        <v>203</v>
      </c>
      <c r="B120" s="1525" t="s">
        <v>1306</v>
      </c>
      <c r="C120" s="2120">
        <v>0.125</v>
      </c>
      <c r="D120" s="2120">
        <v>0.125</v>
      </c>
      <c r="E120" s="2120">
        <v>0.122</v>
      </c>
      <c r="F120" s="2121">
        <v>0.13</v>
      </c>
    </row>
    <row r="121" spans="1:6" ht="14.25" thickBot="1">
      <c r="A121" s="1531" t="s">
        <v>203</v>
      </c>
      <c r="B121" s="1525" t="s">
        <v>1316</v>
      </c>
      <c r="C121" s="2120">
        <v>0.13</v>
      </c>
      <c r="D121" s="2120">
        <v>0.13</v>
      </c>
      <c r="E121" s="2120">
        <v>0.13</v>
      </c>
      <c r="F121" s="2121">
        <v>0.13</v>
      </c>
    </row>
    <row r="122" spans="1:6" ht="14.25" thickBot="1">
      <c r="A122" s="1531" t="s">
        <v>203</v>
      </c>
      <c r="B122" s="1525" t="s">
        <v>1326</v>
      </c>
      <c r="C122" s="2120">
        <v>0.13</v>
      </c>
      <c r="D122" s="2120">
        <v>0.13</v>
      </c>
      <c r="E122" s="2120">
        <v>0.125</v>
      </c>
      <c r="F122" s="2121">
        <v>0.13</v>
      </c>
    </row>
    <row r="123" spans="1:6" ht="14.25" thickBot="1">
      <c r="A123" s="1531" t="s">
        <v>203</v>
      </c>
      <c r="B123" s="1525" t="s">
        <v>1337</v>
      </c>
      <c r="C123" s="2120">
        <v>0.129</v>
      </c>
      <c r="D123" s="2120">
        <v>0.129</v>
      </c>
      <c r="E123" s="2120">
        <v>0.123</v>
      </c>
      <c r="F123" s="2121">
        <v>0.13</v>
      </c>
    </row>
    <row r="124" spans="1:6" ht="14.25" thickBot="1">
      <c r="A124" s="1531" t="s">
        <v>203</v>
      </c>
      <c r="B124" s="1525" t="s">
        <v>1348</v>
      </c>
      <c r="C124" s="2120">
        <v>0.10199999999999999</v>
      </c>
      <c r="D124" s="2120">
        <v>0.10100000000000001</v>
      </c>
      <c r="E124" s="2120">
        <v>0.08</v>
      </c>
      <c r="F124" s="2132"/>
    </row>
    <row r="125" spans="1:6" ht="14.25" thickBot="1">
      <c r="A125" s="1531" t="s">
        <v>203</v>
      </c>
      <c r="B125" s="1525" t="s">
        <v>1358</v>
      </c>
      <c r="C125" s="2120">
        <v>0.13</v>
      </c>
      <c r="D125" s="2120">
        <v>0.13</v>
      </c>
      <c r="E125" s="2120">
        <v>0.129</v>
      </c>
      <c r="F125" s="2132"/>
    </row>
    <row r="126" spans="1:6" ht="14.25" thickBot="1">
      <c r="A126" s="1531" t="s">
        <v>203</v>
      </c>
      <c r="B126" s="1525" t="s">
        <v>1368</v>
      </c>
      <c r="C126" s="2120">
        <v>0.13</v>
      </c>
      <c r="D126" s="2120">
        <v>0.13</v>
      </c>
      <c r="E126" s="2120">
        <v>0.126</v>
      </c>
      <c r="F126" s="2132"/>
    </row>
    <row r="127" spans="1:6" ht="14.25" thickBot="1">
      <c r="A127" s="1531" t="s">
        <v>203</v>
      </c>
      <c r="B127" s="1525" t="s">
        <v>1378</v>
      </c>
      <c r="C127" s="2120">
        <v>0.125</v>
      </c>
      <c r="D127" s="2120">
        <v>0.125</v>
      </c>
      <c r="E127" s="2120">
        <v>0.121</v>
      </c>
      <c r="F127" s="2132"/>
    </row>
    <row r="128" spans="1:6" ht="14.25" thickBot="1">
      <c r="A128" s="1531" t="s">
        <v>203</v>
      </c>
      <c r="B128" s="1525" t="s">
        <v>1388</v>
      </c>
      <c r="C128" s="2120">
        <v>0.12</v>
      </c>
      <c r="D128" s="2120">
        <v>0.12</v>
      </c>
      <c r="E128" s="2120">
        <v>0.105</v>
      </c>
      <c r="F128" s="2132"/>
    </row>
    <row r="129" spans="1:6" ht="14.25" thickBot="1">
      <c r="A129" s="1531" t="s">
        <v>203</v>
      </c>
      <c r="B129" s="1525" t="s">
        <v>1397</v>
      </c>
      <c r="C129" s="2120">
        <v>0.13</v>
      </c>
      <c r="D129" s="2120">
        <v>0.13</v>
      </c>
      <c r="E129" s="2120">
        <v>0.126</v>
      </c>
      <c r="F129" s="2132"/>
    </row>
    <row r="130" spans="1:6" ht="14.25" thickBot="1">
      <c r="A130" s="1531" t="s">
        <v>203</v>
      </c>
      <c r="B130" s="1525" t="s">
        <v>1406</v>
      </c>
      <c r="C130" s="2120">
        <v>0.125</v>
      </c>
      <c r="D130" s="2120">
        <v>0.125</v>
      </c>
      <c r="E130" s="2120">
        <v>0.122</v>
      </c>
      <c r="F130" s="2132"/>
    </row>
    <row r="131" spans="1:6" ht="14.25" thickBot="1">
      <c r="A131" s="1531" t="s">
        <v>203</v>
      </c>
      <c r="B131" s="1525" t="s">
        <v>1414</v>
      </c>
      <c r="C131" s="2120">
        <v>0.127</v>
      </c>
      <c r="D131" s="2120">
        <v>0.126</v>
      </c>
      <c r="E131" s="2120">
        <v>0.123</v>
      </c>
      <c r="F131" s="2132"/>
    </row>
    <row r="132" spans="1:6" ht="14.25" thickBot="1">
      <c r="A132" s="1531" t="s">
        <v>203</v>
      </c>
      <c r="B132" s="1525" t="s">
        <v>1421</v>
      </c>
      <c r="C132" s="2120">
        <v>9.0999999999999998E-2</v>
      </c>
      <c r="D132" s="2120">
        <v>0.121</v>
      </c>
      <c r="E132" s="2120">
        <v>9.9000000000000005E-2</v>
      </c>
      <c r="F132" s="2132"/>
    </row>
    <row r="133" spans="1:6" ht="14.25" thickBot="1">
      <c r="A133" s="1531" t="s">
        <v>203</v>
      </c>
      <c r="B133" s="1525" t="s">
        <v>1428</v>
      </c>
      <c r="C133" s="2120">
        <v>0.13</v>
      </c>
      <c r="D133" s="2120">
        <v>0.13</v>
      </c>
      <c r="E133" s="2120">
        <v>0.129</v>
      </c>
      <c r="F133" s="2132"/>
    </row>
    <row r="134" spans="1:6" ht="14.25" thickBot="1">
      <c r="A134" s="1531" t="s">
        <v>203</v>
      </c>
      <c r="B134" s="1525" t="s">
        <v>2163</v>
      </c>
      <c r="C134" s="2120">
        <v>6.8000000000000005E-2</v>
      </c>
      <c r="D134" s="2120">
        <v>6.5000000000000002E-2</v>
      </c>
      <c r="E134" s="2120">
        <v>6.5000000000000002E-2</v>
      </c>
      <c r="F134" s="2121">
        <v>0.13</v>
      </c>
    </row>
    <row r="135" spans="1:6" ht="14.25" thickBot="1">
      <c r="A135" s="1531" t="s">
        <v>203</v>
      </c>
      <c r="B135" s="1525" t="s">
        <v>1442</v>
      </c>
      <c r="C135" s="2120">
        <v>0.123</v>
      </c>
      <c r="D135" s="2120">
        <v>0.123</v>
      </c>
      <c r="E135" s="2120">
        <v>0.11</v>
      </c>
      <c r="F135" s="2132"/>
    </row>
    <row r="136" spans="1:6" ht="14.25" thickBot="1">
      <c r="A136" s="1531" t="s">
        <v>203</v>
      </c>
      <c r="B136" s="1525" t="s">
        <v>1449</v>
      </c>
      <c r="C136" s="2120">
        <v>0.13</v>
      </c>
      <c r="D136" s="2120">
        <v>0.13</v>
      </c>
      <c r="E136" s="2120">
        <v>0.125</v>
      </c>
      <c r="F136" s="2132"/>
    </row>
    <row r="137" spans="1:6" ht="14.25" thickBot="1">
      <c r="A137" s="1531" t="s">
        <v>203</v>
      </c>
      <c r="B137" s="1525" t="s">
        <v>1456</v>
      </c>
      <c r="C137" s="2120">
        <v>0.121</v>
      </c>
      <c r="D137" s="2120">
        <v>0.122</v>
      </c>
      <c r="E137" s="2120">
        <v>0.115</v>
      </c>
      <c r="F137" s="2132"/>
    </row>
    <row r="138" spans="1:6" ht="14.25" thickBot="1">
      <c r="A138" s="1531" t="s">
        <v>203</v>
      </c>
      <c r="B138" s="1525" t="s">
        <v>2164</v>
      </c>
      <c r="C138" s="2120">
        <v>0.105</v>
      </c>
      <c r="D138" s="2120">
        <v>0.125</v>
      </c>
      <c r="E138" s="2120">
        <v>0.112</v>
      </c>
      <c r="F138" s="2132"/>
    </row>
    <row r="139" spans="1:6" ht="14.25" thickBot="1">
      <c r="A139" s="1531" t="s">
        <v>203</v>
      </c>
      <c r="B139" s="1525" t="s">
        <v>2165</v>
      </c>
      <c r="C139" s="2120">
        <v>0.127</v>
      </c>
      <c r="D139" s="2120">
        <v>0.127</v>
      </c>
      <c r="E139" s="2120">
        <v>0.122</v>
      </c>
      <c r="F139" s="2121">
        <v>0.13</v>
      </c>
    </row>
    <row r="140" spans="1:6" ht="14.25" thickBot="1">
      <c r="A140" s="1531" t="s">
        <v>203</v>
      </c>
      <c r="B140" s="1525" t="s">
        <v>2166</v>
      </c>
      <c r="C140" s="2120">
        <v>0.125</v>
      </c>
      <c r="D140" s="2120">
        <v>0.125</v>
      </c>
      <c r="E140" s="2120">
        <v>0.11899999999999999</v>
      </c>
      <c r="F140" s="2121">
        <v>0.13</v>
      </c>
    </row>
    <row r="141" spans="1:6" ht="14.25" thickBot="1">
      <c r="A141" s="1531" t="s">
        <v>203</v>
      </c>
      <c r="B141" s="1525" t="s">
        <v>1475</v>
      </c>
      <c r="C141" s="2120">
        <v>0.125</v>
      </c>
      <c r="D141" s="2120">
        <v>0.125</v>
      </c>
      <c r="E141" s="2120">
        <v>0.11700000000000001</v>
      </c>
      <c r="F141" s="2132"/>
    </row>
    <row r="142" spans="1:6" ht="14.25" thickBot="1">
      <c r="A142" s="1531" t="s">
        <v>203</v>
      </c>
      <c r="B142" s="1525" t="s">
        <v>1480</v>
      </c>
      <c r="C142" s="2120">
        <v>0.125</v>
      </c>
      <c r="D142" s="2120">
        <v>0.125</v>
      </c>
      <c r="E142" s="2120">
        <v>0.115</v>
      </c>
      <c r="F142" s="2132"/>
    </row>
    <row r="143" spans="1:6" ht="14.25" thickBot="1">
      <c r="A143" s="1531" t="s">
        <v>203</v>
      </c>
      <c r="B143" s="1525" t="s">
        <v>1485</v>
      </c>
      <c r="C143" s="2120">
        <v>0.121</v>
      </c>
      <c r="D143" s="2120">
        <v>0.121</v>
      </c>
      <c r="E143" s="2120">
        <v>0.108</v>
      </c>
      <c r="F143" s="2132"/>
    </row>
    <row r="144" spans="1:6" ht="14.25" thickBot="1">
      <c r="A144" s="1531" t="s">
        <v>203</v>
      </c>
      <c r="B144" s="2124" t="s">
        <v>2167</v>
      </c>
      <c r="C144" s="2125">
        <v>0.126</v>
      </c>
      <c r="D144" s="2125">
        <v>0.126</v>
      </c>
      <c r="E144" s="2125">
        <v>0.121</v>
      </c>
      <c r="F144" s="2132"/>
    </row>
    <row r="145" spans="1:6" ht="14.25" thickBot="1">
      <c r="A145" s="1541" t="s">
        <v>203</v>
      </c>
      <c r="B145" s="2126" t="s">
        <v>2168</v>
      </c>
      <c r="C145" s="2134"/>
      <c r="D145" s="2134"/>
      <c r="E145" s="2134"/>
      <c r="F145" s="2127">
        <v>0.05</v>
      </c>
    </row>
    <row r="146" spans="1:6" ht="24.75" thickBot="1">
      <c r="A146" s="2128" t="s">
        <v>203</v>
      </c>
      <c r="B146" s="1535" t="s">
        <v>2169</v>
      </c>
      <c r="C146" s="2133"/>
      <c r="D146" s="2133"/>
      <c r="E146" s="2133"/>
      <c r="F146" s="2129">
        <v>0.05</v>
      </c>
    </row>
    <row r="147" spans="1:6" ht="24.75" thickBot="1">
      <c r="A147" s="1531" t="s">
        <v>203</v>
      </c>
      <c r="B147" s="1525" t="s">
        <v>2170</v>
      </c>
      <c r="C147" s="2133"/>
      <c r="D147" s="2133"/>
      <c r="E147" s="2133"/>
      <c r="F147" s="2121">
        <v>0.05</v>
      </c>
    </row>
    <row r="148" spans="1:6" ht="24.75" thickBot="1">
      <c r="A148" s="1531" t="s">
        <v>203</v>
      </c>
      <c r="B148" s="1525" t="s">
        <v>2171</v>
      </c>
      <c r="C148" s="2133"/>
      <c r="D148" s="2133"/>
      <c r="E148" s="2133"/>
      <c r="F148" s="2121">
        <v>0.05</v>
      </c>
    </row>
    <row r="149" spans="1:6" ht="24.75" thickBot="1">
      <c r="A149" s="1531" t="s">
        <v>203</v>
      </c>
      <c r="B149" s="1525" t="s">
        <v>2172</v>
      </c>
      <c r="C149" s="2133"/>
      <c r="D149" s="2133"/>
      <c r="E149" s="2133"/>
      <c r="F149" s="2121">
        <v>0.05</v>
      </c>
    </row>
    <row r="150" spans="1:6" ht="24.75" thickBot="1">
      <c r="A150" s="1531" t="s">
        <v>203</v>
      </c>
      <c r="B150" s="1525" t="s">
        <v>2173</v>
      </c>
      <c r="C150" s="2133"/>
      <c r="D150" s="2133"/>
      <c r="E150" s="2133"/>
      <c r="F150" s="2121">
        <v>0.05</v>
      </c>
    </row>
    <row r="151" spans="1:6" ht="24.75" thickBot="1">
      <c r="A151" s="1531" t="s">
        <v>203</v>
      </c>
      <c r="B151" s="1525" t="s">
        <v>2174</v>
      </c>
      <c r="C151" s="2133"/>
      <c r="D151" s="2133"/>
      <c r="E151" s="2133"/>
      <c r="F151" s="2121">
        <v>0.05</v>
      </c>
    </row>
    <row r="152" spans="1:6" ht="24.75" thickBot="1">
      <c r="A152" s="1531" t="s">
        <v>203</v>
      </c>
      <c r="B152" s="1525" t="s">
        <v>1518</v>
      </c>
      <c r="C152" s="2133"/>
      <c r="D152" s="2133"/>
      <c r="E152" s="2133"/>
      <c r="F152" s="2121">
        <v>0.05</v>
      </c>
    </row>
    <row r="153" spans="1:6" ht="14.25" thickBot="1">
      <c r="A153" s="1531" t="s">
        <v>203</v>
      </c>
      <c r="B153" s="1525" t="s">
        <v>2175</v>
      </c>
      <c r="C153" s="2133"/>
      <c r="D153" s="2133"/>
      <c r="E153" s="2133"/>
      <c r="F153" s="2121">
        <v>0.05</v>
      </c>
    </row>
    <row r="154" spans="1:6" ht="14.25" thickBot="1">
      <c r="A154" s="1531" t="s">
        <v>203</v>
      </c>
      <c r="B154" s="1525" t="s">
        <v>2176</v>
      </c>
      <c r="C154" s="2133"/>
      <c r="D154" s="2133"/>
      <c r="E154" s="2133"/>
      <c r="F154" s="2121">
        <v>0.05</v>
      </c>
    </row>
    <row r="155" spans="1:6" ht="24.75" thickBot="1">
      <c r="A155" s="1531" t="s">
        <v>203</v>
      </c>
      <c r="B155" s="1525" t="s">
        <v>2177</v>
      </c>
      <c r="C155" s="2133"/>
      <c r="D155" s="2133"/>
      <c r="E155" s="2133"/>
      <c r="F155" s="2121">
        <v>0.05</v>
      </c>
    </row>
    <row r="156" spans="1:6" ht="24.75" thickBot="1">
      <c r="A156" s="1531" t="s">
        <v>203</v>
      </c>
      <c r="B156" s="1525" t="s">
        <v>2178</v>
      </c>
      <c r="C156" s="2133"/>
      <c r="D156" s="2133"/>
      <c r="E156" s="2133"/>
      <c r="F156" s="2121">
        <v>0.05</v>
      </c>
    </row>
    <row r="157" spans="1:6" ht="14.25" thickBot="1">
      <c r="A157" s="1541" t="s">
        <v>203</v>
      </c>
      <c r="B157" s="1537" t="s">
        <v>2179</v>
      </c>
      <c r="C157" s="2130"/>
      <c r="D157" s="2130"/>
      <c r="E157" s="2130"/>
      <c r="F157" s="2123">
        <v>0.05</v>
      </c>
    </row>
    <row r="158" spans="1:6" ht="14.25" thickBot="1">
      <c r="A158" s="1531" t="s">
        <v>1537</v>
      </c>
      <c r="B158" s="1532" t="s">
        <v>2180</v>
      </c>
      <c r="C158" s="2118">
        <v>0.13</v>
      </c>
      <c r="D158" s="2118">
        <v>0.13</v>
      </c>
      <c r="E158" s="2118">
        <v>0.13</v>
      </c>
      <c r="F158" s="2119">
        <v>0.13</v>
      </c>
    </row>
    <row r="159" spans="1:6" ht="14.25" thickBot="1">
      <c r="A159" s="1531" t="s">
        <v>1537</v>
      </c>
      <c r="B159" s="1525" t="s">
        <v>1204</v>
      </c>
      <c r="C159" s="2120">
        <v>0.13</v>
      </c>
      <c r="D159" s="2120">
        <v>0.13</v>
      </c>
      <c r="E159" s="2120">
        <v>0.13</v>
      </c>
      <c r="F159" s="2121">
        <v>0.13</v>
      </c>
    </row>
    <row r="160" spans="1:6" ht="14.25" thickBot="1">
      <c r="A160" s="1531" t="s">
        <v>1537</v>
      </c>
      <c r="B160" s="1525" t="s">
        <v>1217</v>
      </c>
      <c r="C160" s="2120">
        <v>0.13</v>
      </c>
      <c r="D160" s="2120">
        <v>0.13</v>
      </c>
      <c r="E160" s="2120">
        <v>0.129</v>
      </c>
      <c r="F160" s="2121">
        <v>0.13</v>
      </c>
    </row>
    <row r="161" spans="1:6" ht="14.25" thickBot="1">
      <c r="A161" s="1531" t="s">
        <v>1537</v>
      </c>
      <c r="B161" s="1525" t="s">
        <v>1230</v>
      </c>
      <c r="C161" s="2120">
        <v>0.128</v>
      </c>
      <c r="D161" s="2120">
        <v>0.128</v>
      </c>
      <c r="E161" s="2120">
        <v>0.125</v>
      </c>
      <c r="F161" s="2121">
        <v>0.13</v>
      </c>
    </row>
    <row r="162" spans="1:6" ht="14.25" thickBot="1">
      <c r="A162" s="1531" t="s">
        <v>1537</v>
      </c>
      <c r="B162" s="1525" t="s">
        <v>1242</v>
      </c>
      <c r="C162" s="2120">
        <v>0.122</v>
      </c>
      <c r="D162" s="2120">
        <v>0.122</v>
      </c>
      <c r="E162" s="2120">
        <v>0.126</v>
      </c>
      <c r="F162" s="2121">
        <v>0.122</v>
      </c>
    </row>
    <row r="163" spans="1:6" ht="14.25" thickBot="1">
      <c r="A163" s="1531" t="s">
        <v>1537</v>
      </c>
      <c r="B163" s="1525" t="s">
        <v>1253</v>
      </c>
      <c r="C163" s="2120">
        <v>0.13</v>
      </c>
      <c r="D163" s="2120">
        <v>0.13</v>
      </c>
      <c r="E163" s="2120">
        <v>0.125</v>
      </c>
      <c r="F163" s="2121">
        <v>0.13</v>
      </c>
    </row>
    <row r="164" spans="1:6" ht="14.25" thickBot="1">
      <c r="A164" s="1531" t="s">
        <v>1537</v>
      </c>
      <c r="B164" s="1525" t="s">
        <v>1264</v>
      </c>
      <c r="C164" s="2120">
        <v>0.13</v>
      </c>
      <c r="D164" s="2120">
        <v>0.13</v>
      </c>
      <c r="E164" s="2120">
        <v>0.13</v>
      </c>
      <c r="F164" s="2121">
        <v>0.13</v>
      </c>
    </row>
    <row r="165" spans="1:6" ht="14.25" thickBot="1">
      <c r="A165" s="1531" t="s">
        <v>1537</v>
      </c>
      <c r="B165" s="1525" t="s">
        <v>1275</v>
      </c>
      <c r="C165" s="2120">
        <v>0.13</v>
      </c>
      <c r="D165" s="2120">
        <v>0.13</v>
      </c>
      <c r="E165" s="2120">
        <v>0.124</v>
      </c>
      <c r="F165" s="2121">
        <v>0.13</v>
      </c>
    </row>
    <row r="166" spans="1:6" ht="14.25" thickBot="1">
      <c r="A166" s="1531" t="s">
        <v>1537</v>
      </c>
      <c r="B166" s="1525" t="s">
        <v>1287</v>
      </c>
      <c r="C166" s="2120">
        <v>0.13</v>
      </c>
      <c r="D166" s="2120">
        <v>0.13</v>
      </c>
      <c r="E166" s="2120">
        <v>0.13</v>
      </c>
      <c r="F166" s="2121">
        <v>0.13</v>
      </c>
    </row>
    <row r="167" spans="1:6" ht="14.25" thickBot="1">
      <c r="A167" s="1531" t="s">
        <v>1537</v>
      </c>
      <c r="B167" s="1525" t="s">
        <v>1297</v>
      </c>
      <c r="C167" s="2120">
        <v>0.125</v>
      </c>
      <c r="D167" s="2120">
        <v>0.125</v>
      </c>
      <c r="E167" s="2120">
        <v>0.121</v>
      </c>
      <c r="F167" s="2132"/>
    </row>
    <row r="168" spans="1:6" ht="14.25" thickBot="1">
      <c r="A168" s="1531" t="s">
        <v>1537</v>
      </c>
      <c r="B168" s="1525" t="s">
        <v>1307</v>
      </c>
      <c r="C168" s="2120">
        <v>0.13</v>
      </c>
      <c r="D168" s="2120">
        <v>0.13</v>
      </c>
      <c r="E168" s="2120">
        <v>0.126</v>
      </c>
      <c r="F168" s="2132"/>
    </row>
    <row r="169" spans="1:6" ht="14.25" thickBot="1">
      <c r="A169" s="1531" t="s">
        <v>1537</v>
      </c>
      <c r="B169" s="1525" t="s">
        <v>1317</v>
      </c>
      <c r="C169" s="2120">
        <v>0.128</v>
      </c>
      <c r="D169" s="2120">
        <v>0.129</v>
      </c>
      <c r="E169" s="2120">
        <v>0.13</v>
      </c>
      <c r="F169" s="2132"/>
    </row>
    <row r="170" spans="1:6" ht="14.25" thickBot="1">
      <c r="A170" s="1531" t="s">
        <v>1537</v>
      </c>
      <c r="B170" s="1525" t="s">
        <v>1327</v>
      </c>
      <c r="C170" s="2120">
        <v>0.14099999999999999</v>
      </c>
      <c r="D170" s="2120">
        <v>0.13</v>
      </c>
      <c r="E170" s="2120">
        <v>0.125</v>
      </c>
      <c r="F170" s="2132"/>
    </row>
    <row r="171" spans="1:6" ht="14.25" thickBot="1">
      <c r="A171" s="1531" t="s">
        <v>1537</v>
      </c>
      <c r="B171" s="1525" t="s">
        <v>2181</v>
      </c>
      <c r="C171" s="2120">
        <v>0.127</v>
      </c>
      <c r="D171" s="2120">
        <v>0.126</v>
      </c>
      <c r="E171" s="2120">
        <v>0.126</v>
      </c>
      <c r="F171" s="2121">
        <v>0.11799999999999999</v>
      </c>
    </row>
    <row r="172" spans="1:6" ht="14.25" thickBot="1">
      <c r="A172" s="1531" t="s">
        <v>1537</v>
      </c>
      <c r="B172" s="1525" t="s">
        <v>2182</v>
      </c>
      <c r="C172" s="2120">
        <v>0.13</v>
      </c>
      <c r="D172" s="2120">
        <v>0.13</v>
      </c>
      <c r="E172" s="2120">
        <v>0.13</v>
      </c>
      <c r="F172" s="2132"/>
    </row>
    <row r="173" spans="1:6" ht="14.25" thickBot="1">
      <c r="A173" s="1531" t="s">
        <v>1537</v>
      </c>
      <c r="B173" s="1525" t="s">
        <v>1359</v>
      </c>
      <c r="C173" s="2120">
        <v>0.13</v>
      </c>
      <c r="D173" s="2120">
        <v>0.13</v>
      </c>
      <c r="E173" s="2120">
        <v>0.13</v>
      </c>
      <c r="F173" s="2132"/>
    </row>
    <row r="174" spans="1:6" ht="14.25" thickBot="1">
      <c r="A174" s="1531" t="s">
        <v>1537</v>
      </c>
      <c r="B174" s="1525" t="s">
        <v>2183</v>
      </c>
      <c r="C174" s="2120">
        <v>0.13</v>
      </c>
      <c r="D174" s="2120">
        <v>0.13</v>
      </c>
      <c r="E174" s="2120">
        <v>0.13</v>
      </c>
      <c r="F174" s="2121">
        <v>0.13</v>
      </c>
    </row>
    <row r="175" spans="1:6" ht="14.25" thickBot="1">
      <c r="A175" s="1531" t="s">
        <v>1537</v>
      </c>
      <c r="B175" s="1525" t="s">
        <v>2184</v>
      </c>
      <c r="C175" s="2120">
        <v>0.13</v>
      </c>
      <c r="D175" s="2120">
        <v>0.13</v>
      </c>
      <c r="E175" s="2120">
        <v>0.13</v>
      </c>
      <c r="F175" s="2121">
        <v>0.13</v>
      </c>
    </row>
    <row r="176" spans="1:6" ht="14.25" thickBot="1">
      <c r="A176" s="1531" t="s">
        <v>1537</v>
      </c>
      <c r="B176" s="1525" t="s">
        <v>1389</v>
      </c>
      <c r="C176" s="2120">
        <v>0.13</v>
      </c>
      <c r="D176" s="2120">
        <v>0.13</v>
      </c>
      <c r="E176" s="2120">
        <v>0.13</v>
      </c>
      <c r="F176" s="2121">
        <v>0.13</v>
      </c>
    </row>
    <row r="177" spans="1:6" ht="14.25" thickBot="1">
      <c r="A177" s="1531" t="s">
        <v>1537</v>
      </c>
      <c r="B177" s="1525" t="s">
        <v>2185</v>
      </c>
      <c r="C177" s="2120">
        <v>0.13</v>
      </c>
      <c r="D177" s="2120">
        <v>0.13</v>
      </c>
      <c r="E177" s="2120">
        <v>0.13</v>
      </c>
      <c r="F177" s="2121">
        <v>0.13</v>
      </c>
    </row>
    <row r="178" spans="1:6" ht="14.25" thickBot="1">
      <c r="A178" s="1531" t="s">
        <v>1537</v>
      </c>
      <c r="B178" s="1525" t="s">
        <v>1407</v>
      </c>
      <c r="C178" s="2120">
        <v>0.13</v>
      </c>
      <c r="D178" s="2120">
        <v>0.13</v>
      </c>
      <c r="E178" s="2120">
        <v>0.13</v>
      </c>
      <c r="F178" s="2121">
        <v>0.127</v>
      </c>
    </row>
    <row r="179" spans="1:6" ht="14.25" thickBot="1">
      <c r="A179" s="1531" t="s">
        <v>1537</v>
      </c>
      <c r="B179" s="1525" t="s">
        <v>1415</v>
      </c>
      <c r="C179" s="2120">
        <v>0.13</v>
      </c>
      <c r="D179" s="2120">
        <v>0.13</v>
      </c>
      <c r="E179" s="2120">
        <v>0.13</v>
      </c>
      <c r="F179" s="2132"/>
    </row>
    <row r="180" spans="1:6" ht="14.25" thickBot="1">
      <c r="A180" s="1531" t="s">
        <v>1537</v>
      </c>
      <c r="B180" s="1525" t="s">
        <v>2186</v>
      </c>
      <c r="C180" s="2120">
        <v>0.13</v>
      </c>
      <c r="D180" s="2120">
        <v>0.13</v>
      </c>
      <c r="E180" s="2120">
        <v>0.125</v>
      </c>
      <c r="F180" s="2121">
        <v>0.13</v>
      </c>
    </row>
    <row r="181" spans="1:6" ht="14.25" thickBot="1">
      <c r="A181" s="1531" t="s">
        <v>1537</v>
      </c>
      <c r="B181" s="1525" t="s">
        <v>1429</v>
      </c>
      <c r="C181" s="2120">
        <v>0.122</v>
      </c>
      <c r="D181" s="2120">
        <v>0.123</v>
      </c>
      <c r="E181" s="2120">
        <v>0.126</v>
      </c>
      <c r="F181" s="2121">
        <v>0.121</v>
      </c>
    </row>
    <row r="182" spans="1:6" ht="14.25" thickBot="1">
      <c r="A182" s="1531" t="s">
        <v>1537</v>
      </c>
      <c r="B182" s="1525" t="s">
        <v>1436</v>
      </c>
      <c r="C182" s="2120">
        <v>0.125</v>
      </c>
      <c r="D182" s="2120">
        <v>0.125</v>
      </c>
      <c r="E182" s="2120">
        <v>0.11700000000000001</v>
      </c>
      <c r="F182" s="2121">
        <v>0.13</v>
      </c>
    </row>
    <row r="183" spans="1:6" ht="14.25" thickBot="1">
      <c r="A183" s="1531" t="s">
        <v>1537</v>
      </c>
      <c r="B183" s="1525" t="s">
        <v>1443</v>
      </c>
      <c r="C183" s="2120">
        <v>0.127</v>
      </c>
      <c r="D183" s="2120">
        <v>0.127</v>
      </c>
      <c r="E183" s="2120">
        <v>0.128</v>
      </c>
      <c r="F183" s="2132"/>
    </row>
    <row r="184" spans="1:6" ht="14.25" thickBot="1">
      <c r="A184" s="1531" t="s">
        <v>1537</v>
      </c>
      <c r="B184" s="1525" t="s">
        <v>1450</v>
      </c>
      <c r="C184" s="2120">
        <v>0.125</v>
      </c>
      <c r="D184" s="2120">
        <v>0.125</v>
      </c>
      <c r="E184" s="2120">
        <v>0.127</v>
      </c>
      <c r="F184" s="2132"/>
    </row>
    <row r="185" spans="1:6" ht="14.25" thickBot="1">
      <c r="A185" s="1531" t="s">
        <v>1537</v>
      </c>
      <c r="B185" s="1525" t="s">
        <v>2187</v>
      </c>
      <c r="C185" s="2120">
        <v>0.127</v>
      </c>
      <c r="D185" s="2120">
        <v>0.127</v>
      </c>
      <c r="E185" s="2120">
        <v>0.128</v>
      </c>
      <c r="F185" s="2121">
        <v>0.13</v>
      </c>
    </row>
    <row r="186" spans="1:6" ht="24.75" thickBot="1">
      <c r="A186" s="1531" t="s">
        <v>1537</v>
      </c>
      <c r="B186" s="1525" t="s">
        <v>2188</v>
      </c>
      <c r="C186" s="2133"/>
      <c r="D186" s="2133"/>
      <c r="E186" s="2133"/>
      <c r="F186" s="2121">
        <v>0.05</v>
      </c>
    </row>
    <row r="187" spans="1:6" ht="14.25" thickBot="1">
      <c r="A187" s="1531" t="s">
        <v>1537</v>
      </c>
      <c r="B187" s="1525" t="s">
        <v>2189</v>
      </c>
      <c r="C187" s="2133"/>
      <c r="D187" s="2133"/>
      <c r="E187" s="2133"/>
      <c r="F187" s="2121">
        <v>0.05</v>
      </c>
    </row>
    <row r="188" spans="1:6" ht="14.25" thickBot="1">
      <c r="A188" s="1531" t="s">
        <v>1537</v>
      </c>
      <c r="B188" s="1525" t="s">
        <v>2190</v>
      </c>
      <c r="C188" s="2133"/>
      <c r="D188" s="2133"/>
      <c r="E188" s="2133"/>
      <c r="F188" s="2121">
        <v>0.05</v>
      </c>
    </row>
    <row r="189" spans="1:6" ht="24.75" thickBot="1">
      <c r="A189" s="1531" t="s">
        <v>1537</v>
      </c>
      <c r="B189" s="1525" t="s">
        <v>2191</v>
      </c>
      <c r="C189" s="2133"/>
      <c r="D189" s="2133"/>
      <c r="E189" s="2133"/>
      <c r="F189" s="2121">
        <v>0.05</v>
      </c>
    </row>
    <row r="190" spans="1:6" ht="24.75" thickBot="1">
      <c r="A190" s="1531" t="s">
        <v>1537</v>
      </c>
      <c r="B190" s="1525" t="s">
        <v>2192</v>
      </c>
      <c r="C190" s="2133"/>
      <c r="D190" s="2133"/>
      <c r="E190" s="2133"/>
      <c r="F190" s="2121">
        <v>0.05</v>
      </c>
    </row>
    <row r="191" spans="1:6" ht="24.75" thickBot="1">
      <c r="A191" s="1531" t="s">
        <v>1537</v>
      </c>
      <c r="B191" s="1525" t="s">
        <v>2193</v>
      </c>
      <c r="C191" s="2133"/>
      <c r="D191" s="2133"/>
      <c r="E191" s="2133"/>
      <c r="F191" s="2121">
        <v>0.05</v>
      </c>
    </row>
    <row r="192" spans="1:6" ht="24.75" thickBot="1">
      <c r="A192" s="1531" t="s">
        <v>1537</v>
      </c>
      <c r="B192" s="1525" t="s">
        <v>2194</v>
      </c>
      <c r="C192" s="2133"/>
      <c r="D192" s="2133"/>
      <c r="E192" s="2133"/>
      <c r="F192" s="2121">
        <v>0.05</v>
      </c>
    </row>
    <row r="193" spans="1:6" ht="24.75" thickBot="1">
      <c r="A193" s="1531" t="s">
        <v>1537</v>
      </c>
      <c r="B193" s="1525" t="s">
        <v>2195</v>
      </c>
      <c r="C193" s="2133"/>
      <c r="D193" s="2133"/>
      <c r="E193" s="2133"/>
      <c r="F193" s="2121">
        <v>0.05</v>
      </c>
    </row>
    <row r="194" spans="1:6" ht="24.75" thickBot="1">
      <c r="A194" s="1531" t="s">
        <v>1537</v>
      </c>
      <c r="B194" s="1525" t="s">
        <v>2196</v>
      </c>
      <c r="C194" s="2133"/>
      <c r="D194" s="2133"/>
      <c r="E194" s="2133"/>
      <c r="F194" s="2121">
        <v>0.05</v>
      </c>
    </row>
    <row r="195" spans="1:6" ht="14.25" thickBot="1">
      <c r="A195" s="1531" t="s">
        <v>1537</v>
      </c>
      <c r="B195" s="1525" t="s">
        <v>2197</v>
      </c>
      <c r="C195" s="2133"/>
      <c r="D195" s="2133"/>
      <c r="E195" s="2133"/>
      <c r="F195" s="2121">
        <v>0.05</v>
      </c>
    </row>
    <row r="196" spans="1:6" ht="24.75" thickBot="1">
      <c r="A196" s="1531" t="s">
        <v>1537</v>
      </c>
      <c r="B196" s="1525" t="s">
        <v>2198</v>
      </c>
      <c r="C196" s="2133"/>
      <c r="D196" s="2133"/>
      <c r="E196" s="2133"/>
      <c r="F196" s="2121">
        <v>0.05</v>
      </c>
    </row>
    <row r="197" spans="1:6" ht="24.75" thickBot="1">
      <c r="A197" s="1531" t="s">
        <v>1537</v>
      </c>
      <c r="B197" s="1525" t="s">
        <v>2199</v>
      </c>
      <c r="C197" s="2133"/>
      <c r="D197" s="2133"/>
      <c r="E197" s="2133"/>
      <c r="F197" s="2121">
        <v>0.05</v>
      </c>
    </row>
    <row r="198" spans="1:6" ht="24.75" thickBot="1">
      <c r="A198" s="1531" t="s">
        <v>1537</v>
      </c>
      <c r="B198" s="1525" t="s">
        <v>2200</v>
      </c>
      <c r="C198" s="2133"/>
      <c r="D198" s="2133"/>
      <c r="E198" s="2133"/>
      <c r="F198" s="2121">
        <v>0.05</v>
      </c>
    </row>
    <row r="199" spans="1:6" ht="24.75" thickBot="1">
      <c r="A199" s="1531" t="s">
        <v>1537</v>
      </c>
      <c r="B199" s="1525" t="s">
        <v>2201</v>
      </c>
      <c r="C199" s="2133"/>
      <c r="D199" s="2133"/>
      <c r="E199" s="2133"/>
      <c r="F199" s="2121">
        <v>0.05</v>
      </c>
    </row>
    <row r="200" spans="1:6" ht="24.75" thickBot="1">
      <c r="A200" s="1531" t="s">
        <v>1537</v>
      </c>
      <c r="B200" s="1525" t="s">
        <v>2202</v>
      </c>
      <c r="C200" s="2133"/>
      <c r="D200" s="2133"/>
      <c r="E200" s="2133"/>
      <c r="F200" s="2121">
        <v>0.05</v>
      </c>
    </row>
    <row r="201" spans="1:6" ht="24.75" thickBot="1">
      <c r="A201" s="1531" t="s">
        <v>1537</v>
      </c>
      <c r="B201" s="1525" t="s">
        <v>2203</v>
      </c>
      <c r="C201" s="2133"/>
      <c r="D201" s="2133"/>
      <c r="E201" s="2133"/>
      <c r="F201" s="2121">
        <v>0.05</v>
      </c>
    </row>
    <row r="202" spans="1:6" ht="24.75" thickBot="1">
      <c r="A202" s="1531" t="s">
        <v>1537</v>
      </c>
      <c r="B202" s="1525" t="s">
        <v>2204</v>
      </c>
      <c r="C202" s="2133"/>
      <c r="D202" s="2133"/>
      <c r="E202" s="2133"/>
      <c r="F202" s="2121">
        <v>0.05</v>
      </c>
    </row>
    <row r="203" spans="1:6" ht="24.75" thickBot="1">
      <c r="A203" s="1531" t="s">
        <v>1537</v>
      </c>
      <c r="B203" s="1525" t="s">
        <v>2205</v>
      </c>
      <c r="C203" s="2133"/>
      <c r="D203" s="2133"/>
      <c r="E203" s="2133"/>
      <c r="F203" s="2121">
        <v>0.05</v>
      </c>
    </row>
    <row r="204" spans="1:6" ht="14.25" thickBot="1">
      <c r="A204" s="1531" t="s">
        <v>1537</v>
      </c>
      <c r="B204" s="1525" t="s">
        <v>2206</v>
      </c>
      <c r="C204" s="2133"/>
      <c r="D204" s="2133"/>
      <c r="E204" s="2133"/>
      <c r="F204" s="2121">
        <v>0.05</v>
      </c>
    </row>
    <row r="205" spans="1:6" ht="14.25" thickBot="1">
      <c r="A205" s="1541" t="s">
        <v>1537</v>
      </c>
      <c r="B205" s="1537" t="s">
        <v>2207</v>
      </c>
      <c r="C205" s="2130"/>
      <c r="D205" s="2130"/>
      <c r="E205" s="2130"/>
      <c r="F205" s="2123">
        <v>0.05</v>
      </c>
    </row>
    <row r="206" spans="1:6" ht="14.25" thickBot="1">
      <c r="A206" s="1531" t="s">
        <v>1539</v>
      </c>
      <c r="B206" s="1532" t="s">
        <v>2208</v>
      </c>
      <c r="C206" s="2118">
        <v>0.15</v>
      </c>
      <c r="D206" s="2118">
        <v>0.15</v>
      </c>
      <c r="E206" s="2118">
        <v>0.15</v>
      </c>
      <c r="F206" s="2119">
        <v>0.15</v>
      </c>
    </row>
    <row r="207" spans="1:6" ht="14.25" thickBot="1">
      <c r="A207" s="1531" t="s">
        <v>1539</v>
      </c>
      <c r="B207" s="1525" t="s">
        <v>1205</v>
      </c>
      <c r="C207" s="2120">
        <v>0.15</v>
      </c>
      <c r="D207" s="2120">
        <v>0.15</v>
      </c>
      <c r="E207" s="2120">
        <v>0.15</v>
      </c>
      <c r="F207" s="2121">
        <v>0.14399999999999999</v>
      </c>
    </row>
    <row r="208" spans="1:6" ht="14.25" thickBot="1">
      <c r="A208" s="1531" t="s">
        <v>1539</v>
      </c>
      <c r="B208" s="1525" t="s">
        <v>1218</v>
      </c>
      <c r="C208" s="2120">
        <v>0.15</v>
      </c>
      <c r="D208" s="2120">
        <v>0.15</v>
      </c>
      <c r="E208" s="2120">
        <v>0.15</v>
      </c>
      <c r="F208" s="2121">
        <v>0.15</v>
      </c>
    </row>
    <row r="209" spans="1:6" ht="14.25" thickBot="1">
      <c r="A209" s="1531" t="s">
        <v>1539</v>
      </c>
      <c r="B209" s="1525" t="s">
        <v>1231</v>
      </c>
      <c r="C209" s="2120">
        <v>0.13700000000000001</v>
      </c>
      <c r="D209" s="2120">
        <v>0.13700000000000001</v>
      </c>
      <c r="E209" s="2120">
        <v>0.14000000000000001</v>
      </c>
      <c r="F209" s="2121">
        <v>0.11700000000000001</v>
      </c>
    </row>
    <row r="210" spans="1:6" ht="14.25" thickBot="1">
      <c r="A210" s="1531" t="s">
        <v>1539</v>
      </c>
      <c r="B210" s="1525" t="s">
        <v>2209</v>
      </c>
      <c r="C210" s="2120">
        <v>0.15</v>
      </c>
      <c r="D210" s="2120">
        <v>0.15</v>
      </c>
      <c r="E210" s="2120">
        <v>0.15</v>
      </c>
      <c r="F210" s="2121">
        <v>0.13800000000000001</v>
      </c>
    </row>
    <row r="211" spans="1:6" ht="14.25" thickBot="1">
      <c r="A211" s="1531" t="s">
        <v>1539</v>
      </c>
      <c r="B211" s="1525" t="s">
        <v>2210</v>
      </c>
      <c r="C211" s="2120">
        <v>0.13700000000000001</v>
      </c>
      <c r="D211" s="2120">
        <v>0.13500000000000001</v>
      </c>
      <c r="E211" s="2120">
        <v>0.13600000000000001</v>
      </c>
      <c r="F211" s="2121">
        <v>0.1</v>
      </c>
    </row>
    <row r="212" spans="1:6" ht="14.25" thickBot="1">
      <c r="A212" s="1531" t="s">
        <v>1539</v>
      </c>
      <c r="B212" s="1525" t="s">
        <v>2211</v>
      </c>
      <c r="C212" s="2120">
        <v>0.15</v>
      </c>
      <c r="D212" s="2120">
        <v>0.15</v>
      </c>
      <c r="E212" s="2120">
        <v>0.14799999999999999</v>
      </c>
      <c r="F212" s="2121">
        <v>0.13600000000000001</v>
      </c>
    </row>
    <row r="213" spans="1:6" ht="14.25" thickBot="1">
      <c r="A213" s="1531" t="s">
        <v>1539</v>
      </c>
      <c r="B213" s="1525" t="s">
        <v>1276</v>
      </c>
      <c r="C213" s="2120">
        <v>0.15</v>
      </c>
      <c r="D213" s="2120">
        <v>0.15</v>
      </c>
      <c r="E213" s="2120">
        <v>0.15</v>
      </c>
      <c r="F213" s="2121">
        <v>0.13800000000000001</v>
      </c>
    </row>
    <row r="214" spans="1:6" ht="14.25" thickBot="1">
      <c r="A214" s="1531" t="s">
        <v>1539</v>
      </c>
      <c r="B214" s="1525" t="s">
        <v>1288</v>
      </c>
      <c r="C214" s="2120">
        <v>9.0999999999999998E-2</v>
      </c>
      <c r="D214" s="2120">
        <v>0.09</v>
      </c>
      <c r="E214" s="2120">
        <v>9.1999999999999998E-2</v>
      </c>
      <c r="F214" s="2132"/>
    </row>
    <row r="215" spans="1:6" ht="14.25" thickBot="1">
      <c r="A215" s="1531" t="s">
        <v>1539</v>
      </c>
      <c r="B215" s="1525" t="s">
        <v>2212</v>
      </c>
      <c r="C215" s="2120">
        <v>0.15</v>
      </c>
      <c r="D215" s="2120">
        <v>0.15</v>
      </c>
      <c r="E215" s="2120">
        <v>0.15</v>
      </c>
      <c r="F215" s="2121">
        <v>0.15</v>
      </c>
    </row>
    <row r="216" spans="1:6" ht="14.25" thickBot="1">
      <c r="A216" s="1531" t="s">
        <v>1539</v>
      </c>
      <c r="B216" s="1525" t="s">
        <v>1308</v>
      </c>
      <c r="C216" s="2120">
        <v>0.14699999999999999</v>
      </c>
      <c r="D216" s="2120">
        <v>0.14699999999999999</v>
      </c>
      <c r="E216" s="2120">
        <v>0.15</v>
      </c>
      <c r="F216" s="2121">
        <v>0.14000000000000001</v>
      </c>
    </row>
    <row r="217" spans="1:6" ht="14.25" thickBot="1">
      <c r="A217" s="1531" t="s">
        <v>1539</v>
      </c>
      <c r="B217" s="1525" t="s">
        <v>1318</v>
      </c>
      <c r="C217" s="2120">
        <v>0.15</v>
      </c>
      <c r="D217" s="2120">
        <v>0.15</v>
      </c>
      <c r="E217" s="2120">
        <v>0.15</v>
      </c>
      <c r="F217" s="2121">
        <v>0.15</v>
      </c>
    </row>
    <row r="218" spans="1:6" ht="14.25" thickBot="1">
      <c r="A218" s="1531" t="s">
        <v>1539</v>
      </c>
      <c r="B218" s="1525" t="s">
        <v>2213</v>
      </c>
      <c r="C218" s="2120">
        <v>0.15</v>
      </c>
      <c r="D218" s="2120">
        <v>0.15</v>
      </c>
      <c r="E218" s="2120">
        <v>0.15</v>
      </c>
      <c r="F218" s="2121">
        <v>0.15</v>
      </c>
    </row>
    <row r="219" spans="1:6" ht="14.25" thickBot="1">
      <c r="A219" s="1531" t="s">
        <v>1539</v>
      </c>
      <c r="B219" s="1525" t="s">
        <v>1339</v>
      </c>
      <c r="C219" s="2120">
        <v>0.15</v>
      </c>
      <c r="D219" s="2120">
        <v>0.15</v>
      </c>
      <c r="E219" s="2120">
        <v>0.15</v>
      </c>
      <c r="F219" s="2121">
        <v>0.14799999999999999</v>
      </c>
    </row>
    <row r="220" spans="1:6" ht="14.25" thickBot="1">
      <c r="A220" s="1531" t="s">
        <v>1539</v>
      </c>
      <c r="B220" s="1525" t="s">
        <v>2214</v>
      </c>
      <c r="C220" s="2120">
        <v>0.15</v>
      </c>
      <c r="D220" s="2120">
        <v>0.15</v>
      </c>
      <c r="E220" s="2120">
        <v>0.15</v>
      </c>
      <c r="F220" s="2121">
        <v>0.15</v>
      </c>
    </row>
    <row r="221" spans="1:6" ht="14.25" thickBot="1">
      <c r="A221" s="1531" t="s">
        <v>1539</v>
      </c>
      <c r="B221" s="1525" t="s">
        <v>1360</v>
      </c>
      <c r="C221" s="2120"/>
      <c r="D221" s="2133"/>
      <c r="E221" s="2133"/>
      <c r="F221" s="2121">
        <v>0.14799999999999999</v>
      </c>
    </row>
    <row r="222" spans="1:6" ht="14.25" thickBot="1">
      <c r="A222" s="1531" t="s">
        <v>1539</v>
      </c>
      <c r="B222" s="1525" t="s">
        <v>1370</v>
      </c>
      <c r="C222" s="2120"/>
      <c r="D222" s="2133"/>
      <c r="E222" s="2133"/>
      <c r="F222" s="2121">
        <v>0.1</v>
      </c>
    </row>
    <row r="223" spans="1:6" ht="14.25" thickBot="1">
      <c r="A223" s="1531" t="s">
        <v>1539</v>
      </c>
      <c r="B223" s="1525" t="s">
        <v>1380</v>
      </c>
      <c r="C223" s="2120"/>
      <c r="D223" s="2133"/>
      <c r="E223" s="2133"/>
      <c r="F223" s="2121">
        <v>0.15</v>
      </c>
    </row>
    <row r="224" spans="1:6" ht="14.25" thickBot="1">
      <c r="A224" s="1531" t="s">
        <v>1539</v>
      </c>
      <c r="B224" s="1525" t="s">
        <v>1390</v>
      </c>
      <c r="C224" s="2120"/>
      <c r="D224" s="2133"/>
      <c r="E224" s="2133"/>
      <c r="F224" s="2121">
        <v>0.15</v>
      </c>
    </row>
    <row r="225" spans="1:6" ht="14.25" thickBot="1">
      <c r="A225" s="1531" t="s">
        <v>1539</v>
      </c>
      <c r="B225" s="1525" t="s">
        <v>2215</v>
      </c>
      <c r="C225" s="2120">
        <v>0.15</v>
      </c>
      <c r="D225" s="2120">
        <v>0.15</v>
      </c>
      <c r="E225" s="2120">
        <v>0.15</v>
      </c>
      <c r="F225" s="2121">
        <v>0.15</v>
      </c>
    </row>
    <row r="226" spans="1:6" ht="14.25" thickBot="1">
      <c r="A226" s="1531" t="s">
        <v>1539</v>
      </c>
      <c r="B226" s="1525" t="s">
        <v>1408</v>
      </c>
      <c r="C226" s="2120">
        <v>0.15</v>
      </c>
      <c r="D226" s="2120">
        <v>0.15</v>
      </c>
      <c r="E226" s="2120">
        <v>0.15</v>
      </c>
      <c r="F226" s="2121">
        <v>0.14799999999999999</v>
      </c>
    </row>
    <row r="227" spans="1:6" ht="14.25" thickBot="1">
      <c r="A227" s="1531" t="s">
        <v>1539</v>
      </c>
      <c r="B227" s="1525" t="s">
        <v>2216</v>
      </c>
      <c r="C227" s="2120">
        <v>0.15</v>
      </c>
      <c r="D227" s="2120">
        <v>0.15</v>
      </c>
      <c r="E227" s="2120">
        <v>0.15</v>
      </c>
      <c r="F227" s="2121">
        <v>0.15</v>
      </c>
    </row>
    <row r="228" spans="1:6" ht="14.25" thickBot="1">
      <c r="A228" s="1531" t="s">
        <v>1539</v>
      </c>
      <c r="B228" s="1525" t="s">
        <v>1423</v>
      </c>
      <c r="C228" s="2120">
        <v>0.15</v>
      </c>
      <c r="D228" s="2120">
        <v>0.15</v>
      </c>
      <c r="E228" s="2120">
        <v>0.15</v>
      </c>
      <c r="F228" s="2121">
        <v>0.15</v>
      </c>
    </row>
    <row r="229" spans="1:6" ht="14.25" thickBot="1">
      <c r="A229" s="1531" t="s">
        <v>1539</v>
      </c>
      <c r="B229" s="1525" t="s">
        <v>1430</v>
      </c>
      <c r="C229" s="2120">
        <v>0.15</v>
      </c>
      <c r="D229" s="2120">
        <v>0.15</v>
      </c>
      <c r="E229" s="2120">
        <v>0.15</v>
      </c>
      <c r="F229" s="2132"/>
    </row>
    <row r="230" spans="1:6" ht="14.25" thickBot="1">
      <c r="A230" s="1531" t="s">
        <v>1539</v>
      </c>
      <c r="B230" s="1525" t="s">
        <v>1437</v>
      </c>
      <c r="C230" s="2120">
        <v>0.14499999999999999</v>
      </c>
      <c r="D230" s="2120">
        <v>0.14499999999999999</v>
      </c>
      <c r="E230" s="2120">
        <v>0.14399999999999999</v>
      </c>
      <c r="F230" s="2132"/>
    </row>
    <row r="231" spans="1:6" ht="14.25" thickBot="1">
      <c r="A231" s="1531" t="s">
        <v>1539</v>
      </c>
      <c r="B231" s="1525" t="s">
        <v>2217</v>
      </c>
      <c r="C231" s="2120">
        <v>0.128</v>
      </c>
      <c r="D231" s="2120">
        <v>0.125</v>
      </c>
      <c r="E231" s="2120">
        <v>0.13200000000000001</v>
      </c>
      <c r="F231" s="2132"/>
    </row>
    <row r="232" spans="1:6" ht="14.25" thickBot="1">
      <c r="A232" s="1531" t="s">
        <v>1539</v>
      </c>
      <c r="B232" s="1525" t="s">
        <v>2218</v>
      </c>
      <c r="C232" s="2120">
        <v>0.14499999999999999</v>
      </c>
      <c r="D232" s="2120">
        <v>0.14399999999999999</v>
      </c>
      <c r="E232" s="2120">
        <v>0.14599999999999999</v>
      </c>
      <c r="F232" s="2121">
        <v>0.13800000000000001</v>
      </c>
    </row>
    <row r="233" spans="1:6" ht="14.25" thickBot="1">
      <c r="A233" s="1531" t="s">
        <v>1539</v>
      </c>
      <c r="B233" s="1525" t="s">
        <v>2219</v>
      </c>
      <c r="C233" s="2120">
        <v>0.14499999999999999</v>
      </c>
      <c r="D233" s="2120">
        <v>0.14299999999999999</v>
      </c>
      <c r="E233" s="2120">
        <v>0.14199999999999999</v>
      </c>
      <c r="F233" s="2132"/>
    </row>
    <row r="234" spans="1:6" ht="14.25" thickBot="1">
      <c r="A234" s="1531" t="s">
        <v>1539</v>
      </c>
      <c r="B234" s="1525" t="s">
        <v>2220</v>
      </c>
      <c r="C234" s="2120">
        <v>0.14000000000000001</v>
      </c>
      <c r="D234" s="2120">
        <v>0.14000000000000001</v>
      </c>
      <c r="E234" s="2120">
        <v>0.14399999999999999</v>
      </c>
      <c r="F234" s="2132"/>
    </row>
    <row r="235" spans="1:6" ht="14.25" thickBot="1">
      <c r="A235" s="1531" t="s">
        <v>1539</v>
      </c>
      <c r="B235" s="1525" t="s">
        <v>2221</v>
      </c>
      <c r="C235" s="2120">
        <v>0.14099999999999999</v>
      </c>
      <c r="D235" s="2120">
        <v>0.14199999999999999</v>
      </c>
      <c r="E235" s="2120">
        <v>0.14499999999999999</v>
      </c>
      <c r="F235" s="2121">
        <v>0.15</v>
      </c>
    </row>
    <row r="236" spans="1:6" ht="14.25" thickBot="1">
      <c r="A236" s="1531" t="s">
        <v>1539</v>
      </c>
      <c r="B236" s="1525" t="s">
        <v>1472</v>
      </c>
      <c r="C236" s="2133"/>
      <c r="D236" s="2133"/>
      <c r="E236" s="2133"/>
      <c r="F236" s="2121">
        <v>0.14299999999999999</v>
      </c>
    </row>
    <row r="237" spans="1:6" ht="24.75" thickBot="1">
      <c r="A237" s="1531" t="s">
        <v>1539</v>
      </c>
      <c r="B237" s="1525" t="s">
        <v>2222</v>
      </c>
      <c r="C237" s="2133"/>
      <c r="D237" s="2133"/>
      <c r="E237" s="2133"/>
      <c r="F237" s="2121">
        <v>0.05</v>
      </c>
    </row>
    <row r="238" spans="1:6" ht="24.75" thickBot="1">
      <c r="A238" s="1531" t="s">
        <v>1539</v>
      </c>
      <c r="B238" s="1525" t="s">
        <v>2223</v>
      </c>
      <c r="C238" s="2133"/>
      <c r="D238" s="2133"/>
      <c r="E238" s="2133"/>
      <c r="F238" s="2121">
        <v>0.05</v>
      </c>
    </row>
    <row r="239" spans="1:6" ht="24.75" thickBot="1">
      <c r="A239" s="1531" t="s">
        <v>1539</v>
      </c>
      <c r="B239" s="1525" t="s">
        <v>2224</v>
      </c>
      <c r="C239" s="2133"/>
      <c r="D239" s="2133"/>
      <c r="E239" s="2133"/>
      <c r="F239" s="2121">
        <v>0.05</v>
      </c>
    </row>
    <row r="240" spans="1:6" ht="24.75" thickBot="1">
      <c r="A240" s="1531" t="s">
        <v>1539</v>
      </c>
      <c r="B240" s="1525" t="s">
        <v>2225</v>
      </c>
      <c r="C240" s="2133"/>
      <c r="D240" s="2133"/>
      <c r="E240" s="2133"/>
      <c r="F240" s="2121">
        <v>0.05</v>
      </c>
    </row>
    <row r="241" spans="1:6" ht="24.75" thickBot="1">
      <c r="A241" s="1531" t="s">
        <v>1539</v>
      </c>
      <c r="B241" s="1525" t="s">
        <v>2226</v>
      </c>
      <c r="C241" s="2133"/>
      <c r="D241" s="2133"/>
      <c r="E241" s="2133"/>
      <c r="F241" s="2121">
        <v>0.05</v>
      </c>
    </row>
    <row r="242" spans="1:6" ht="24.75" thickBot="1">
      <c r="A242" s="1531" t="s">
        <v>1539</v>
      </c>
      <c r="B242" s="1525" t="s">
        <v>2227</v>
      </c>
      <c r="C242" s="2133"/>
      <c r="D242" s="2133"/>
      <c r="E242" s="2133"/>
      <c r="F242" s="2121">
        <v>0.05</v>
      </c>
    </row>
    <row r="243" spans="1:6" ht="24.75" thickBot="1">
      <c r="A243" s="1531" t="s">
        <v>1539</v>
      </c>
      <c r="B243" s="1525" t="s">
        <v>2228</v>
      </c>
      <c r="C243" s="2133"/>
      <c r="D243" s="2133"/>
      <c r="E243" s="2133"/>
      <c r="F243" s="2121">
        <v>0.05</v>
      </c>
    </row>
    <row r="244" spans="1:6" ht="24.75" thickBot="1">
      <c r="A244" s="1541" t="s">
        <v>1539</v>
      </c>
      <c r="B244" s="1537" t="s">
        <v>2229</v>
      </c>
      <c r="C244" s="2130"/>
      <c r="D244" s="2130"/>
      <c r="E244" s="2130"/>
      <c r="F244" s="2123">
        <v>0.05</v>
      </c>
    </row>
    <row r="245" spans="1:6" ht="14.25" thickBot="1">
      <c r="A245" s="1531" t="s">
        <v>1541</v>
      </c>
      <c r="B245" s="1532" t="s">
        <v>2230</v>
      </c>
      <c r="C245" s="2118">
        <v>0.15</v>
      </c>
      <c r="D245" s="2118">
        <v>0.15</v>
      </c>
      <c r="E245" s="2118">
        <v>0.15</v>
      </c>
      <c r="F245" s="2119">
        <v>0.14299999999999999</v>
      </c>
    </row>
    <row r="246" spans="1:6" ht="14.25" thickBot="1">
      <c r="A246" s="1531" t="s">
        <v>1541</v>
      </c>
      <c r="B246" s="1525" t="s">
        <v>1206</v>
      </c>
      <c r="C246" s="2120">
        <v>0.15</v>
      </c>
      <c r="D246" s="2120">
        <v>0.15</v>
      </c>
      <c r="E246" s="2120">
        <v>0.15</v>
      </c>
      <c r="F246" s="2121">
        <v>0.114</v>
      </c>
    </row>
    <row r="247" spans="1:6" ht="14.25" thickBot="1">
      <c r="A247" s="1531" t="s">
        <v>1541</v>
      </c>
      <c r="B247" s="1525" t="s">
        <v>2231</v>
      </c>
      <c r="C247" s="2120">
        <v>0.15</v>
      </c>
      <c r="D247" s="2120">
        <v>0.15</v>
      </c>
      <c r="E247" s="2120">
        <v>0.15</v>
      </c>
      <c r="F247" s="2121">
        <v>0.15</v>
      </c>
    </row>
    <row r="248" spans="1:6" ht="14.25" thickBot="1">
      <c r="A248" s="1531" t="s">
        <v>1541</v>
      </c>
      <c r="B248" s="1525" t="s">
        <v>2232</v>
      </c>
      <c r="C248" s="2120">
        <v>0.15</v>
      </c>
      <c r="D248" s="2120">
        <v>0.15</v>
      </c>
      <c r="E248" s="2120">
        <v>0.15</v>
      </c>
      <c r="F248" s="2121">
        <v>0.14000000000000001</v>
      </c>
    </row>
    <row r="249" spans="1:6" ht="14.25" thickBot="1">
      <c r="A249" s="1531" t="s">
        <v>1541</v>
      </c>
      <c r="B249" s="1525" t="s">
        <v>2233</v>
      </c>
      <c r="C249" s="2120">
        <v>0.15</v>
      </c>
      <c r="D249" s="2120">
        <v>0.14899999999999999</v>
      </c>
      <c r="E249" s="2120">
        <v>0.15</v>
      </c>
      <c r="F249" s="2121">
        <v>0.1</v>
      </c>
    </row>
    <row r="250" spans="1:6" ht="14.25" thickBot="1">
      <c r="A250" s="1531" t="s">
        <v>1541</v>
      </c>
      <c r="B250" s="1525" t="s">
        <v>2234</v>
      </c>
      <c r="C250" s="2120">
        <v>0.15</v>
      </c>
      <c r="D250" s="2120">
        <v>0.15</v>
      </c>
      <c r="E250" s="2120">
        <v>0.15</v>
      </c>
      <c r="F250" s="2121">
        <v>0.14399999999999999</v>
      </c>
    </row>
    <row r="251" spans="1:6" ht="14.25" thickBot="1">
      <c r="A251" s="1531" t="s">
        <v>1541</v>
      </c>
      <c r="B251" s="1525" t="s">
        <v>1266</v>
      </c>
      <c r="C251" s="2120">
        <v>0.15</v>
      </c>
      <c r="D251" s="2120">
        <v>0.15</v>
      </c>
      <c r="E251" s="2120">
        <v>0.15</v>
      </c>
      <c r="F251" s="2121">
        <v>0.14299999999999999</v>
      </c>
    </row>
    <row r="252" spans="1:6" ht="14.25" thickBot="1">
      <c r="A252" s="1531" t="s">
        <v>1541</v>
      </c>
      <c r="B252" s="1525" t="s">
        <v>1277</v>
      </c>
      <c r="C252" s="2120">
        <v>0.15</v>
      </c>
      <c r="D252" s="2120">
        <v>0.15</v>
      </c>
      <c r="E252" s="2120">
        <v>0.15</v>
      </c>
      <c r="F252" s="2121">
        <v>0.1</v>
      </c>
    </row>
    <row r="253" spans="1:6" ht="14.25" thickBot="1">
      <c r="A253" s="1531" t="s">
        <v>1541</v>
      </c>
      <c r="B253" s="1525" t="s">
        <v>1289</v>
      </c>
      <c r="C253" s="2120">
        <v>0.15</v>
      </c>
      <c r="D253" s="2120">
        <v>0.15</v>
      </c>
      <c r="E253" s="2120">
        <v>0.15</v>
      </c>
      <c r="F253" s="2121">
        <v>0.1</v>
      </c>
    </row>
    <row r="254" spans="1:6" ht="14.25" thickBot="1">
      <c r="A254" s="1531" t="s">
        <v>1541</v>
      </c>
      <c r="B254" s="1525" t="s">
        <v>1299</v>
      </c>
      <c r="C254" s="2133"/>
      <c r="D254" s="2133"/>
      <c r="E254" s="2133"/>
      <c r="F254" s="2121">
        <v>0.15</v>
      </c>
    </row>
    <row r="255" spans="1:6" ht="14.25" thickBot="1">
      <c r="A255" s="1531" t="s">
        <v>1541</v>
      </c>
      <c r="B255" s="1525" t="s">
        <v>1309</v>
      </c>
      <c r="C255" s="2133"/>
      <c r="D255" s="2133"/>
      <c r="E255" s="2133"/>
      <c r="F255" s="2121">
        <v>0.14299999999999999</v>
      </c>
    </row>
    <row r="256" spans="1:6" ht="14.25" thickBot="1">
      <c r="A256" s="1531" t="s">
        <v>1541</v>
      </c>
      <c r="B256" s="1525" t="s">
        <v>2235</v>
      </c>
      <c r="C256" s="2120">
        <v>0.14599999999999999</v>
      </c>
      <c r="D256" s="2120">
        <v>0.14699999999999999</v>
      </c>
      <c r="E256" s="2120">
        <v>0.15</v>
      </c>
      <c r="F256" s="2121">
        <v>0.13200000000000001</v>
      </c>
    </row>
    <row r="257" spans="1:6" ht="14.25" thickBot="1">
      <c r="A257" s="1531" t="s">
        <v>1541</v>
      </c>
      <c r="B257" s="1525" t="s">
        <v>1329</v>
      </c>
      <c r="C257" s="2120">
        <v>0.15</v>
      </c>
      <c r="D257" s="2120">
        <v>0.15</v>
      </c>
      <c r="E257" s="2120">
        <v>0.15</v>
      </c>
      <c r="F257" s="2121">
        <v>0.13900000000000001</v>
      </c>
    </row>
    <row r="258" spans="1:6" ht="14.25" thickBot="1">
      <c r="A258" s="1531" t="s">
        <v>1541</v>
      </c>
      <c r="B258" s="1525" t="s">
        <v>1340</v>
      </c>
      <c r="C258" s="2120">
        <v>0.15</v>
      </c>
      <c r="D258" s="2120">
        <v>0.15</v>
      </c>
      <c r="E258" s="2120">
        <v>0.15</v>
      </c>
      <c r="F258" s="2121">
        <v>0.13</v>
      </c>
    </row>
    <row r="259" spans="1:6" ht="14.25" thickBot="1">
      <c r="A259" s="1531" t="s">
        <v>1541</v>
      </c>
      <c r="B259" s="1525" t="s">
        <v>2236</v>
      </c>
      <c r="C259" s="2120">
        <v>0.14799999999999999</v>
      </c>
      <c r="D259" s="2120">
        <v>0.14899999999999999</v>
      </c>
      <c r="E259" s="2120">
        <v>0.15</v>
      </c>
      <c r="F259" s="2121">
        <v>0.13700000000000001</v>
      </c>
    </row>
    <row r="260" spans="1:6" ht="14.25" thickBot="1">
      <c r="A260" s="1531" t="s">
        <v>1541</v>
      </c>
      <c r="B260" s="1525" t="s">
        <v>1361</v>
      </c>
      <c r="C260" s="2120">
        <v>0.15</v>
      </c>
      <c r="D260" s="2120">
        <v>0.15</v>
      </c>
      <c r="E260" s="2120">
        <v>0.15</v>
      </c>
      <c r="F260" s="2121">
        <v>0.14199999999999999</v>
      </c>
    </row>
    <row r="261" spans="1:6" ht="14.25" thickBot="1">
      <c r="A261" s="1531" t="s">
        <v>1541</v>
      </c>
      <c r="B261" s="1525" t="s">
        <v>1371</v>
      </c>
      <c r="C261" s="2120">
        <v>0.15</v>
      </c>
      <c r="D261" s="2120">
        <v>0.15</v>
      </c>
      <c r="E261" s="2120">
        <v>0.14899999999999999</v>
      </c>
      <c r="F261" s="2121">
        <v>0.14799999999999999</v>
      </c>
    </row>
    <row r="262" spans="1:6" ht="14.25" thickBot="1">
      <c r="A262" s="1531" t="s">
        <v>1541</v>
      </c>
      <c r="B262" s="1525" t="s">
        <v>1381</v>
      </c>
      <c r="C262" s="2120">
        <v>0.15</v>
      </c>
      <c r="D262" s="2120">
        <v>0.15</v>
      </c>
      <c r="E262" s="2120">
        <v>0.15</v>
      </c>
      <c r="F262" s="2132"/>
    </row>
    <row r="263" spans="1:6" ht="14.25" thickBot="1">
      <c r="A263" s="1531" t="s">
        <v>1541</v>
      </c>
      <c r="B263" s="1525" t="s">
        <v>2237</v>
      </c>
      <c r="C263" s="2120">
        <v>0.14899999999999999</v>
      </c>
      <c r="D263" s="2120">
        <v>0.14899999999999999</v>
      </c>
      <c r="E263" s="2120">
        <v>0.15</v>
      </c>
      <c r="F263" s="2121">
        <v>0.13</v>
      </c>
    </row>
    <row r="264" spans="1:6" ht="14.25" thickBot="1">
      <c r="A264" s="1531" t="s">
        <v>1541</v>
      </c>
      <c r="B264" s="1525" t="s">
        <v>1400</v>
      </c>
      <c r="C264" s="2120">
        <v>0.14799999999999999</v>
      </c>
      <c r="D264" s="2120">
        <v>0.14699999999999999</v>
      </c>
      <c r="E264" s="2120">
        <v>0.15</v>
      </c>
      <c r="F264" s="2121">
        <v>7.8E-2</v>
      </c>
    </row>
    <row r="265" spans="1:6" ht="14.25" thickBot="1">
      <c r="A265" s="1531" t="s">
        <v>1541</v>
      </c>
      <c r="B265" s="1525" t="s">
        <v>1409</v>
      </c>
      <c r="C265" s="2120">
        <v>0.15</v>
      </c>
      <c r="D265" s="2120">
        <v>0.15</v>
      </c>
      <c r="E265" s="2120">
        <v>0.15</v>
      </c>
      <c r="F265" s="2121">
        <v>7.3999999999999996E-2</v>
      </c>
    </row>
    <row r="266" spans="1:6" ht="14.25" thickBot="1">
      <c r="A266" s="1531" t="s">
        <v>1541</v>
      </c>
      <c r="B266" s="1525" t="s">
        <v>1417</v>
      </c>
      <c r="C266" s="2120">
        <v>0.14699999999999999</v>
      </c>
      <c r="D266" s="2120">
        <v>0.14699999999999999</v>
      </c>
      <c r="E266" s="2120">
        <v>0.15</v>
      </c>
      <c r="F266" s="2121">
        <v>0.14299999999999999</v>
      </c>
    </row>
    <row r="267" spans="1:6" ht="14.25" thickBot="1">
      <c r="A267" s="1531" t="s">
        <v>1541</v>
      </c>
      <c r="B267" s="1525" t="s">
        <v>1424</v>
      </c>
      <c r="C267" s="2120">
        <v>0.14199999999999999</v>
      </c>
      <c r="D267" s="2120">
        <v>0.14299999999999999</v>
      </c>
      <c r="E267" s="2120">
        <v>0.15</v>
      </c>
      <c r="F267" s="2132"/>
    </row>
    <row r="268" spans="1:6" ht="14.25" thickBot="1">
      <c r="A268" s="1531" t="s">
        <v>1541</v>
      </c>
      <c r="B268" s="1525" t="s">
        <v>2238</v>
      </c>
      <c r="C268" s="2120">
        <v>0.15</v>
      </c>
      <c r="D268" s="2120">
        <v>0.15</v>
      </c>
      <c r="E268" s="2120">
        <v>0.15</v>
      </c>
      <c r="F268" s="2121">
        <v>0.13</v>
      </c>
    </row>
    <row r="269" spans="1:6" ht="14.25" thickBot="1">
      <c r="A269" s="1531" t="s">
        <v>1541</v>
      </c>
      <c r="B269" s="1525" t="s">
        <v>1438</v>
      </c>
      <c r="C269" s="2120">
        <v>0.15</v>
      </c>
      <c r="D269" s="2120">
        <v>0.15</v>
      </c>
      <c r="E269" s="2120">
        <v>0.15</v>
      </c>
      <c r="F269" s="2121">
        <v>0.14299999999999999</v>
      </c>
    </row>
    <row r="270" spans="1:6" ht="14.25" thickBot="1">
      <c r="A270" s="1531" t="s">
        <v>1541</v>
      </c>
      <c r="B270" s="1525" t="s">
        <v>1445</v>
      </c>
      <c r="C270" s="2120">
        <v>0.14499999999999999</v>
      </c>
      <c r="D270" s="2120">
        <v>0.14499999999999999</v>
      </c>
      <c r="E270" s="2120">
        <v>0.15</v>
      </c>
      <c r="F270" s="2121">
        <v>0.14699999999999999</v>
      </c>
    </row>
    <row r="271" spans="1:6" ht="14.25" thickBot="1">
      <c r="A271" s="1531" t="s">
        <v>1541</v>
      </c>
      <c r="B271" s="1525" t="s">
        <v>1452</v>
      </c>
      <c r="C271" s="2120">
        <v>0.15</v>
      </c>
      <c r="D271" s="2120">
        <v>0.15</v>
      </c>
      <c r="E271" s="2120">
        <v>0.15</v>
      </c>
      <c r="F271" s="2121">
        <v>0.13800000000000001</v>
      </c>
    </row>
    <row r="272" spans="1:6" ht="14.25" thickBot="1">
      <c r="A272" s="1531" t="s">
        <v>1541</v>
      </c>
      <c r="B272" s="1525" t="s">
        <v>1459</v>
      </c>
      <c r="C272" s="2133"/>
      <c r="D272" s="2133"/>
      <c r="E272" s="2133"/>
      <c r="F272" s="2121">
        <v>0.14000000000000001</v>
      </c>
    </row>
    <row r="273" spans="1:6" ht="14.25" thickBot="1">
      <c r="A273" s="1531" t="s">
        <v>1541</v>
      </c>
      <c r="B273" s="1525" t="s">
        <v>2239</v>
      </c>
      <c r="C273" s="2120">
        <v>0.14199999999999999</v>
      </c>
      <c r="D273" s="2120">
        <v>0.14299999999999999</v>
      </c>
      <c r="E273" s="2120">
        <v>0.15</v>
      </c>
      <c r="F273" s="2121">
        <v>0.1</v>
      </c>
    </row>
    <row r="274" spans="1:6" ht="14.25" thickBot="1">
      <c r="A274" s="1531" t="s">
        <v>1541</v>
      </c>
      <c r="B274" s="1525" t="s">
        <v>2240</v>
      </c>
      <c r="C274" s="2120">
        <v>0.14799999999999999</v>
      </c>
      <c r="D274" s="2120">
        <v>0.14799999999999999</v>
      </c>
      <c r="E274" s="2120">
        <v>0.15</v>
      </c>
      <c r="F274" s="2121">
        <v>6.7000000000000004E-2</v>
      </c>
    </row>
    <row r="275" spans="1:6" ht="14.25" thickBot="1">
      <c r="A275" s="1531" t="s">
        <v>1541</v>
      </c>
      <c r="B275" s="1525" t="s">
        <v>2241</v>
      </c>
      <c r="C275" s="2120">
        <v>0.15</v>
      </c>
      <c r="D275" s="2120">
        <v>0.15</v>
      </c>
      <c r="E275" s="2120">
        <v>0.15</v>
      </c>
      <c r="F275" s="2121">
        <v>0.15</v>
      </c>
    </row>
    <row r="276" spans="1:6" ht="14.25" thickBot="1">
      <c r="A276" s="1531" t="s">
        <v>1541</v>
      </c>
      <c r="B276" s="1525" t="s">
        <v>2242</v>
      </c>
      <c r="C276" s="2120">
        <v>0.14499999999999999</v>
      </c>
      <c r="D276" s="2120">
        <v>0.14299999999999999</v>
      </c>
      <c r="E276" s="2120">
        <v>0.15</v>
      </c>
      <c r="F276" s="2121">
        <v>5.8999999999999997E-2</v>
      </c>
    </row>
    <row r="277" spans="1:6" ht="14.25" thickBot="1">
      <c r="A277" s="1531" t="s">
        <v>1541</v>
      </c>
      <c r="B277" s="1525" t="s">
        <v>2243</v>
      </c>
      <c r="C277" s="2120">
        <v>0.15</v>
      </c>
      <c r="D277" s="2120">
        <v>0.15</v>
      </c>
      <c r="E277" s="2120">
        <v>0.15</v>
      </c>
      <c r="F277" s="2121">
        <v>0.121</v>
      </c>
    </row>
    <row r="278" spans="1:6" ht="14.25" thickBot="1">
      <c r="A278" s="1531" t="s">
        <v>1541</v>
      </c>
      <c r="B278" s="1525" t="s">
        <v>2244</v>
      </c>
      <c r="C278" s="2120">
        <v>0.15</v>
      </c>
      <c r="D278" s="2120">
        <v>0.15</v>
      </c>
      <c r="E278" s="2120">
        <v>0.15</v>
      </c>
      <c r="F278" s="2121">
        <v>0.13800000000000001</v>
      </c>
    </row>
    <row r="279" spans="1:6" ht="24.75" thickBot="1">
      <c r="A279" s="1531" t="s">
        <v>1541</v>
      </c>
      <c r="B279" s="1525" t="s">
        <v>2245</v>
      </c>
      <c r="C279" s="2133"/>
      <c r="D279" s="2133"/>
      <c r="E279" s="2133"/>
      <c r="F279" s="2121">
        <v>0.05</v>
      </c>
    </row>
    <row r="280" spans="1:6" ht="24.75" thickBot="1">
      <c r="A280" s="1531" t="s">
        <v>1541</v>
      </c>
      <c r="B280" s="1525" t="s">
        <v>2246</v>
      </c>
      <c r="C280" s="2133"/>
      <c r="D280" s="2133"/>
      <c r="E280" s="2133"/>
      <c r="F280" s="2121">
        <v>0.05</v>
      </c>
    </row>
    <row r="281" spans="1:6" ht="24.75" thickBot="1">
      <c r="A281" s="1531" t="s">
        <v>1541</v>
      </c>
      <c r="B281" s="1525" t="s">
        <v>2247</v>
      </c>
      <c r="C281" s="2133"/>
      <c r="D281" s="2133"/>
      <c r="E281" s="2133"/>
      <c r="F281" s="2121">
        <v>0.05</v>
      </c>
    </row>
    <row r="282" spans="1:6" ht="24.75" thickBot="1">
      <c r="A282" s="1531" t="s">
        <v>1541</v>
      </c>
      <c r="B282" s="1525" t="s">
        <v>2248</v>
      </c>
      <c r="C282" s="2133"/>
      <c r="D282" s="2133"/>
      <c r="E282" s="2133"/>
      <c r="F282" s="2121">
        <v>0.05</v>
      </c>
    </row>
    <row r="283" spans="1:6" ht="24.75" thickBot="1">
      <c r="A283" s="1531" t="s">
        <v>1541</v>
      </c>
      <c r="B283" s="1525" t="s">
        <v>2249</v>
      </c>
      <c r="C283" s="2133"/>
      <c r="D283" s="2133"/>
      <c r="E283" s="2133"/>
      <c r="F283" s="2121">
        <v>0.05</v>
      </c>
    </row>
    <row r="284" spans="1:6" ht="24.75" thickBot="1">
      <c r="A284" s="1531" t="s">
        <v>1541</v>
      </c>
      <c r="B284" s="1525" t="s">
        <v>2250</v>
      </c>
      <c r="C284" s="2133"/>
      <c r="D284" s="2133"/>
      <c r="E284" s="2133"/>
      <c r="F284" s="2121">
        <v>0.05</v>
      </c>
    </row>
    <row r="285" spans="1:6" ht="24.75" thickBot="1">
      <c r="A285" s="1531" t="s">
        <v>1541</v>
      </c>
      <c r="B285" s="1525" t="s">
        <v>2251</v>
      </c>
      <c r="C285" s="2133"/>
      <c r="D285" s="2133"/>
      <c r="E285" s="2133"/>
      <c r="F285" s="2121">
        <v>0.05</v>
      </c>
    </row>
    <row r="286" spans="1:6" ht="24.75" thickBot="1">
      <c r="A286" s="1531" t="s">
        <v>1541</v>
      </c>
      <c r="B286" s="1525" t="s">
        <v>2252</v>
      </c>
      <c r="C286" s="2133"/>
      <c r="D286" s="2133"/>
      <c r="E286" s="2133"/>
      <c r="F286" s="2121">
        <v>0.05</v>
      </c>
    </row>
    <row r="287" spans="1:6" ht="24.75" thickBot="1">
      <c r="A287" s="1531" t="s">
        <v>1541</v>
      </c>
      <c r="B287" s="1525" t="s">
        <v>2253</v>
      </c>
      <c r="C287" s="2133"/>
      <c r="D287" s="2133"/>
      <c r="E287" s="2133"/>
      <c r="F287" s="2121">
        <v>0.05</v>
      </c>
    </row>
    <row r="288" spans="1:6" ht="24.75" thickBot="1">
      <c r="A288" s="1531" t="s">
        <v>1541</v>
      </c>
      <c r="B288" s="1525" t="s">
        <v>2254</v>
      </c>
      <c r="C288" s="2133"/>
      <c r="D288" s="2133"/>
      <c r="E288" s="2133"/>
      <c r="F288" s="2121">
        <v>0.05</v>
      </c>
    </row>
    <row r="289" spans="1:6" ht="24.75" thickBot="1">
      <c r="A289" s="1541" t="s">
        <v>1541</v>
      </c>
      <c r="B289" s="1537" t="s">
        <v>2255</v>
      </c>
      <c r="C289" s="2130"/>
      <c r="D289" s="2130"/>
      <c r="E289" s="2130"/>
      <c r="F289" s="2123">
        <v>0.05</v>
      </c>
    </row>
    <row r="290" spans="1:6" ht="14.25" thickBot="1">
      <c r="A290" s="1531" t="s">
        <v>1545</v>
      </c>
      <c r="B290" s="1532" t="s">
        <v>2256</v>
      </c>
      <c r="C290" s="2118">
        <v>0.15</v>
      </c>
      <c r="D290" s="2118">
        <v>0.15</v>
      </c>
      <c r="E290" s="2118">
        <v>0.15</v>
      </c>
      <c r="F290" s="2135"/>
    </row>
    <row r="291" spans="1:6" ht="14.25" thickBot="1">
      <c r="A291" s="1531" t="s">
        <v>1545</v>
      </c>
      <c r="B291" s="1525" t="s">
        <v>1207</v>
      </c>
      <c r="C291" s="2120">
        <v>0.15</v>
      </c>
      <c r="D291" s="2120">
        <v>0.15</v>
      </c>
      <c r="E291" s="2120">
        <v>0.15</v>
      </c>
      <c r="F291" s="2132"/>
    </row>
    <row r="292" spans="1:6" ht="14.25" thickBot="1">
      <c r="A292" s="1531" t="s">
        <v>1545</v>
      </c>
      <c r="B292" s="1525" t="s">
        <v>2257</v>
      </c>
      <c r="C292" s="2120">
        <v>0.15</v>
      </c>
      <c r="D292" s="2120">
        <v>0.15</v>
      </c>
      <c r="E292" s="2120">
        <v>0.15</v>
      </c>
      <c r="F292" s="2121">
        <v>0.14699999999999999</v>
      </c>
    </row>
    <row r="293" spans="1:6" ht="14.25" thickBot="1">
      <c r="A293" s="1531" t="s">
        <v>1545</v>
      </c>
      <c r="B293" s="1525" t="s">
        <v>2258</v>
      </c>
      <c r="C293" s="2133"/>
      <c r="D293" s="2133"/>
      <c r="E293" s="2133"/>
      <c r="F293" s="2121">
        <v>0.1</v>
      </c>
    </row>
    <row r="294" spans="1:6" ht="14.25" thickBot="1">
      <c r="A294" s="1531" t="s">
        <v>1545</v>
      </c>
      <c r="B294" s="1525" t="s">
        <v>2259</v>
      </c>
      <c r="C294" s="2120">
        <v>0.15</v>
      </c>
      <c r="D294" s="2120">
        <v>0.15</v>
      </c>
      <c r="E294" s="2120">
        <v>0.15</v>
      </c>
      <c r="F294" s="2121">
        <v>0.15</v>
      </c>
    </row>
    <row r="295" spans="1:6" ht="14.25" thickBot="1">
      <c r="A295" s="1531" t="s">
        <v>1545</v>
      </c>
      <c r="B295" s="1525" t="s">
        <v>1245</v>
      </c>
      <c r="C295" s="2120">
        <v>0.15</v>
      </c>
      <c r="D295" s="2120">
        <v>0.15</v>
      </c>
      <c r="E295" s="2120">
        <v>0.15</v>
      </c>
      <c r="F295" s="2121">
        <v>0.15</v>
      </c>
    </row>
    <row r="296" spans="1:6" ht="14.25" thickBot="1">
      <c r="A296" s="1531" t="s">
        <v>1545</v>
      </c>
      <c r="B296" s="1525" t="s">
        <v>2260</v>
      </c>
      <c r="C296" s="2120">
        <v>0.15</v>
      </c>
      <c r="D296" s="2120">
        <v>0.15</v>
      </c>
      <c r="E296" s="2120">
        <v>0.15</v>
      </c>
      <c r="F296" s="2121">
        <v>0.15</v>
      </c>
    </row>
    <row r="297" spans="1:6" ht="14.25" thickBot="1">
      <c r="A297" s="1531" t="s">
        <v>1545</v>
      </c>
      <c r="B297" s="1525" t="s">
        <v>2261</v>
      </c>
      <c r="C297" s="2120">
        <v>0.14799999999999999</v>
      </c>
      <c r="D297" s="2120">
        <v>0.14899999999999999</v>
      </c>
      <c r="E297" s="2120">
        <v>0.15</v>
      </c>
      <c r="F297" s="2121">
        <v>0.13700000000000001</v>
      </c>
    </row>
    <row r="298" spans="1:6" ht="14.25" thickBot="1">
      <c r="A298" s="1531" t="s">
        <v>1545</v>
      </c>
      <c r="B298" s="1525" t="s">
        <v>1278</v>
      </c>
      <c r="C298" s="2120">
        <v>0.13400000000000001</v>
      </c>
      <c r="D298" s="2120">
        <v>0.13400000000000001</v>
      </c>
      <c r="E298" s="2120">
        <v>0.14499999999999999</v>
      </c>
      <c r="F298" s="2121">
        <v>0.14799999999999999</v>
      </c>
    </row>
    <row r="299" spans="1:6" ht="14.25" thickBot="1">
      <c r="A299" s="1531" t="s">
        <v>1545</v>
      </c>
      <c r="B299" s="1525" t="s">
        <v>1290</v>
      </c>
      <c r="C299" s="2120">
        <v>0.15</v>
      </c>
      <c r="D299" s="2120">
        <v>0.15</v>
      </c>
      <c r="E299" s="2120">
        <v>0.15</v>
      </c>
      <c r="F299" s="2132"/>
    </row>
    <row r="300" spans="1:6" ht="14.25" thickBot="1">
      <c r="A300" s="1531" t="s">
        <v>1545</v>
      </c>
      <c r="B300" s="1525" t="s">
        <v>2262</v>
      </c>
      <c r="C300" s="2120">
        <v>0.15</v>
      </c>
      <c r="D300" s="2120">
        <v>0.15</v>
      </c>
      <c r="E300" s="2120">
        <v>0.15</v>
      </c>
      <c r="F300" s="2121">
        <v>0.15</v>
      </c>
    </row>
    <row r="301" spans="1:6" ht="14.25" thickBot="1">
      <c r="A301" s="1531" t="s">
        <v>1545</v>
      </c>
      <c r="B301" s="1525" t="s">
        <v>1310</v>
      </c>
      <c r="C301" s="2120">
        <v>0.15</v>
      </c>
      <c r="D301" s="2120">
        <v>0.15</v>
      </c>
      <c r="E301" s="2120">
        <v>0.15</v>
      </c>
      <c r="F301" s="2132"/>
    </row>
    <row r="302" spans="1:6" ht="14.25" thickBot="1">
      <c r="A302" s="1531" t="s">
        <v>1545</v>
      </c>
      <c r="B302" s="1525" t="s">
        <v>2263</v>
      </c>
      <c r="C302" s="2120">
        <v>0.15</v>
      </c>
      <c r="D302" s="2120">
        <v>0.15</v>
      </c>
      <c r="E302" s="2120">
        <v>0.15</v>
      </c>
      <c r="F302" s="2121">
        <v>0.15</v>
      </c>
    </row>
    <row r="303" spans="1:6" ht="14.25" thickBot="1">
      <c r="A303" s="1531" t="s">
        <v>1545</v>
      </c>
      <c r="B303" s="1525" t="s">
        <v>1330</v>
      </c>
      <c r="C303" s="2120">
        <v>0.15</v>
      </c>
      <c r="D303" s="2120">
        <v>0.15</v>
      </c>
      <c r="E303" s="2120">
        <v>0.15</v>
      </c>
      <c r="F303" s="2121">
        <v>0.15</v>
      </c>
    </row>
    <row r="304" spans="1:6" ht="14.25" thickBot="1">
      <c r="A304" s="1531" t="s">
        <v>1545</v>
      </c>
      <c r="B304" s="1525" t="s">
        <v>1341</v>
      </c>
      <c r="C304" s="2120">
        <v>0.15</v>
      </c>
      <c r="D304" s="2120">
        <v>0.15</v>
      </c>
      <c r="E304" s="2120">
        <v>0.15</v>
      </c>
      <c r="F304" s="2132"/>
    </row>
    <row r="305" spans="1:6" ht="14.25" thickBot="1">
      <c r="A305" s="1531" t="s">
        <v>1545</v>
      </c>
      <c r="B305" s="1525" t="s">
        <v>2264</v>
      </c>
      <c r="C305" s="2120">
        <v>0.15</v>
      </c>
      <c r="D305" s="2120">
        <v>0.15</v>
      </c>
      <c r="E305" s="2120">
        <v>0.15</v>
      </c>
      <c r="F305" s="2121">
        <v>0.14000000000000001</v>
      </c>
    </row>
    <row r="306" spans="1:6" ht="14.25" thickBot="1">
      <c r="A306" s="1531" t="s">
        <v>1545</v>
      </c>
      <c r="B306" s="1525" t="s">
        <v>1362</v>
      </c>
      <c r="C306" s="2120">
        <v>0.15</v>
      </c>
      <c r="D306" s="2120">
        <v>0.15</v>
      </c>
      <c r="E306" s="2120">
        <v>0.15</v>
      </c>
      <c r="F306" s="2132"/>
    </row>
    <row r="307" spans="1:6" ht="14.25" thickBot="1">
      <c r="A307" s="1531" t="s">
        <v>1545</v>
      </c>
      <c r="B307" s="1525" t="s">
        <v>2265</v>
      </c>
      <c r="C307" s="2120">
        <v>0.15</v>
      </c>
      <c r="D307" s="2120">
        <v>0.15</v>
      </c>
      <c r="E307" s="2120">
        <v>0.15</v>
      </c>
      <c r="F307" s="2121">
        <v>0.14299999999999999</v>
      </c>
    </row>
    <row r="308" spans="1:6" ht="14.25" thickBot="1">
      <c r="A308" s="1531" t="s">
        <v>1545</v>
      </c>
      <c r="B308" s="1525" t="s">
        <v>1382</v>
      </c>
      <c r="C308" s="2120">
        <v>0.15</v>
      </c>
      <c r="D308" s="2120">
        <v>0.15</v>
      </c>
      <c r="E308" s="2120">
        <v>0.15</v>
      </c>
      <c r="F308" s="2121">
        <v>0.15</v>
      </c>
    </row>
    <row r="309" spans="1:6" ht="14.25" thickBot="1">
      <c r="A309" s="1531" t="s">
        <v>1545</v>
      </c>
      <c r="B309" s="1525" t="s">
        <v>1392</v>
      </c>
      <c r="C309" s="2120">
        <v>0.15</v>
      </c>
      <c r="D309" s="2120">
        <v>0.15</v>
      </c>
      <c r="E309" s="2120">
        <v>0.15</v>
      </c>
      <c r="F309" s="2132"/>
    </row>
    <row r="310" spans="1:6" ht="14.25" thickBot="1">
      <c r="A310" s="1531" t="s">
        <v>1545</v>
      </c>
      <c r="B310" s="1525" t="s">
        <v>2266</v>
      </c>
      <c r="C310" s="2120">
        <v>0.15</v>
      </c>
      <c r="D310" s="2120">
        <v>0.15</v>
      </c>
      <c r="E310" s="2120">
        <v>0.15</v>
      </c>
      <c r="F310" s="2121">
        <v>0.13700000000000001</v>
      </c>
    </row>
    <row r="311" spans="1:6" ht="14.25" thickBot="1">
      <c r="A311" s="1531" t="s">
        <v>1545</v>
      </c>
      <c r="B311" s="1525" t="s">
        <v>2267</v>
      </c>
      <c r="C311" s="2120">
        <v>0.15</v>
      </c>
      <c r="D311" s="2120">
        <v>0.15</v>
      </c>
      <c r="E311" s="2120">
        <v>0.15</v>
      </c>
      <c r="F311" s="2121">
        <v>0.15</v>
      </c>
    </row>
    <row r="312" spans="1:6" ht="14.25" thickBot="1">
      <c r="A312" s="1531" t="s">
        <v>1545</v>
      </c>
      <c r="B312" s="1525" t="s">
        <v>1418</v>
      </c>
      <c r="C312" s="2120">
        <v>0.15</v>
      </c>
      <c r="D312" s="2120">
        <v>0.15</v>
      </c>
      <c r="E312" s="2120">
        <v>0.15</v>
      </c>
      <c r="F312" s="2121">
        <v>0.1</v>
      </c>
    </row>
    <row r="313" spans="1:6" ht="14.25" thickBot="1">
      <c r="A313" s="1531" t="s">
        <v>1545</v>
      </c>
      <c r="B313" s="1525" t="s">
        <v>2268</v>
      </c>
      <c r="C313" s="2120">
        <v>0.15</v>
      </c>
      <c r="D313" s="2120">
        <v>0.15</v>
      </c>
      <c r="E313" s="2120">
        <v>0.15</v>
      </c>
      <c r="F313" s="2121">
        <v>0.15</v>
      </c>
    </row>
    <row r="314" spans="1:6" ht="24.75" thickBot="1">
      <c r="A314" s="1531" t="s">
        <v>1545</v>
      </c>
      <c r="B314" s="1525" t="s">
        <v>2269</v>
      </c>
      <c r="C314" s="2133"/>
      <c r="D314" s="2133"/>
      <c r="E314" s="2133"/>
      <c r="F314" s="2121">
        <v>0.05</v>
      </c>
    </row>
    <row r="315" spans="1:6" ht="24.75" thickBot="1">
      <c r="A315" s="1531" t="s">
        <v>1545</v>
      </c>
      <c r="B315" s="1525" t="s">
        <v>2270</v>
      </c>
      <c r="C315" s="2133"/>
      <c r="D315" s="2133"/>
      <c r="E315" s="2133"/>
      <c r="F315" s="2121">
        <v>0.05</v>
      </c>
    </row>
    <row r="316" spans="1:6" ht="24.75" thickBot="1">
      <c r="A316" s="1541" t="s">
        <v>1545</v>
      </c>
      <c r="B316" s="1537" t="s">
        <v>2271</v>
      </c>
      <c r="C316" s="2130"/>
      <c r="D316" s="2130"/>
      <c r="E316" s="2130"/>
      <c r="F316" s="2123">
        <v>0.05</v>
      </c>
    </row>
    <row r="317" spans="1:6" ht="14.25" thickBot="1">
      <c r="A317" s="1531" t="s">
        <v>2272</v>
      </c>
      <c r="B317" s="1532" t="s">
        <v>2273</v>
      </c>
      <c r="C317" s="2118">
        <v>0.15</v>
      </c>
      <c r="D317" s="2118">
        <v>0.15</v>
      </c>
      <c r="E317" s="2118">
        <v>0.15</v>
      </c>
      <c r="F317" s="2119">
        <v>0.15</v>
      </c>
    </row>
    <row r="318" spans="1:6" ht="14.25" thickBot="1">
      <c r="A318" s="1531" t="s">
        <v>2272</v>
      </c>
      <c r="B318" s="1525" t="s">
        <v>2274</v>
      </c>
      <c r="C318" s="2120">
        <v>0.107</v>
      </c>
      <c r="D318" s="2120">
        <v>0.11</v>
      </c>
      <c r="E318" s="2120">
        <v>0.112</v>
      </c>
      <c r="F318" s="2132"/>
    </row>
    <row r="319" spans="1:6" ht="14.25" thickBot="1">
      <c r="A319" s="1531" t="s">
        <v>2272</v>
      </c>
      <c r="B319" s="1525" t="s">
        <v>2275</v>
      </c>
      <c r="C319" s="2120">
        <v>0.15</v>
      </c>
      <c r="D319" s="2120">
        <v>0.15</v>
      </c>
      <c r="E319" s="2120">
        <v>0.15</v>
      </c>
      <c r="F319" s="2121">
        <v>0.15</v>
      </c>
    </row>
    <row r="320" spans="1:6" ht="14.25" thickBot="1">
      <c r="A320" s="1531" t="s">
        <v>2272</v>
      </c>
      <c r="B320" s="1525" t="s">
        <v>1234</v>
      </c>
      <c r="C320" s="2120">
        <v>0.15</v>
      </c>
      <c r="D320" s="2120">
        <v>0.15</v>
      </c>
      <c r="E320" s="2120">
        <v>0.15</v>
      </c>
      <c r="F320" s="2132"/>
    </row>
    <row r="321" spans="1:6" ht="14.25" thickBot="1">
      <c r="A321" s="1531" t="s">
        <v>2272</v>
      </c>
      <c r="B321" s="1525" t="s">
        <v>2276</v>
      </c>
      <c r="C321" s="2120">
        <v>0.15</v>
      </c>
      <c r="D321" s="2120">
        <v>0.15</v>
      </c>
      <c r="E321" s="2120">
        <v>0.15</v>
      </c>
      <c r="F321" s="2132"/>
    </row>
    <row r="322" spans="1:6" ht="14.25" thickBot="1">
      <c r="A322" s="1531" t="s">
        <v>2272</v>
      </c>
      <c r="B322" s="1525" t="s">
        <v>2277</v>
      </c>
      <c r="C322" s="2120">
        <v>0.15</v>
      </c>
      <c r="D322" s="2120">
        <v>0.15</v>
      </c>
      <c r="E322" s="2120">
        <v>0.15</v>
      </c>
      <c r="F322" s="2121">
        <v>0.15</v>
      </c>
    </row>
    <row r="323" spans="1:6" ht="14.25" thickBot="1">
      <c r="A323" s="1531" t="s">
        <v>2272</v>
      </c>
      <c r="B323" s="1525" t="s">
        <v>2278</v>
      </c>
      <c r="C323" s="2120">
        <v>0.15</v>
      </c>
      <c r="D323" s="2120">
        <v>0.15</v>
      </c>
      <c r="E323" s="2120">
        <v>0.15</v>
      </c>
      <c r="F323" s="2132"/>
    </row>
    <row r="324" spans="1:6" ht="14.25" thickBot="1">
      <c r="A324" s="1531" t="s">
        <v>2272</v>
      </c>
      <c r="B324" s="1525" t="s">
        <v>2279</v>
      </c>
      <c r="C324" s="2120">
        <v>0.15</v>
      </c>
      <c r="D324" s="2120">
        <v>0.15</v>
      </c>
      <c r="E324" s="2120">
        <v>0.15</v>
      </c>
      <c r="F324" s="2132"/>
    </row>
    <row r="325" spans="1:6" ht="14.25" thickBot="1">
      <c r="A325" s="1531" t="s">
        <v>2272</v>
      </c>
      <c r="B325" s="1525" t="s">
        <v>2280</v>
      </c>
      <c r="C325" s="2120">
        <v>0.15</v>
      </c>
      <c r="D325" s="2120">
        <v>0.15</v>
      </c>
      <c r="E325" s="2120">
        <v>0.15</v>
      </c>
      <c r="F325" s="2121">
        <v>0.14699999999999999</v>
      </c>
    </row>
    <row r="326" spans="1:6" ht="14.25" thickBot="1">
      <c r="A326" s="1531" t="s">
        <v>2272</v>
      </c>
      <c r="B326" s="1525" t="s">
        <v>1301</v>
      </c>
      <c r="C326" s="2120">
        <v>0.15</v>
      </c>
      <c r="D326" s="2120">
        <v>0.15</v>
      </c>
      <c r="E326" s="2120">
        <v>0.15</v>
      </c>
      <c r="F326" s="2132"/>
    </row>
    <row r="327" spans="1:6" ht="14.25" thickBot="1">
      <c r="A327" s="1531" t="s">
        <v>2272</v>
      </c>
      <c r="B327" s="1525" t="s">
        <v>2281</v>
      </c>
      <c r="C327" s="2120">
        <v>0.15</v>
      </c>
      <c r="D327" s="2120">
        <v>0.15</v>
      </c>
      <c r="E327" s="2120">
        <v>0.15</v>
      </c>
      <c r="F327" s="2121">
        <v>0.15</v>
      </c>
    </row>
    <row r="328" spans="1:6" ht="14.25" thickBot="1">
      <c r="A328" s="1531" t="s">
        <v>2272</v>
      </c>
      <c r="B328" s="1525" t="s">
        <v>1321</v>
      </c>
      <c r="C328" s="2120">
        <v>0.15</v>
      </c>
      <c r="D328" s="2120">
        <v>0.15</v>
      </c>
      <c r="E328" s="2120">
        <v>0.15</v>
      </c>
      <c r="F328" s="2121">
        <v>0.14099999999999999</v>
      </c>
    </row>
    <row r="329" spans="1:6" ht="14.25" thickBot="1">
      <c r="A329" s="1531" t="s">
        <v>2272</v>
      </c>
      <c r="B329" s="1525" t="s">
        <v>1331</v>
      </c>
      <c r="C329" s="2120">
        <v>0.15</v>
      </c>
      <c r="D329" s="2120">
        <v>0.15</v>
      </c>
      <c r="E329" s="2120">
        <v>0.15</v>
      </c>
      <c r="F329" s="2121">
        <v>0.15</v>
      </c>
    </row>
    <row r="330" spans="1:6" ht="14.25" thickBot="1">
      <c r="A330" s="1531" t="s">
        <v>2272</v>
      </c>
      <c r="B330" s="1525" t="s">
        <v>1342</v>
      </c>
      <c r="C330" s="2120">
        <v>0.15</v>
      </c>
      <c r="D330" s="2120">
        <v>0.15</v>
      </c>
      <c r="E330" s="2120">
        <v>0.15</v>
      </c>
      <c r="F330" s="2132"/>
    </row>
    <row r="331" spans="1:6" ht="14.25" thickBot="1">
      <c r="A331" s="1531" t="s">
        <v>2272</v>
      </c>
      <c r="B331" s="1525" t="s">
        <v>2282</v>
      </c>
      <c r="C331" s="2120">
        <v>0.15</v>
      </c>
      <c r="D331" s="2120">
        <v>0.15</v>
      </c>
      <c r="E331" s="2120">
        <v>0.15</v>
      </c>
      <c r="F331" s="2121">
        <v>0.15</v>
      </c>
    </row>
    <row r="332" spans="1:6" ht="14.25" thickBot="1">
      <c r="A332" s="1531" t="s">
        <v>2272</v>
      </c>
      <c r="B332" s="1525" t="s">
        <v>1363</v>
      </c>
      <c r="C332" s="2120">
        <v>0.15</v>
      </c>
      <c r="D332" s="2120">
        <v>0.15</v>
      </c>
      <c r="E332" s="2120">
        <v>0.15</v>
      </c>
      <c r="F332" s="2121">
        <v>0.15</v>
      </c>
    </row>
    <row r="333" spans="1:6" ht="14.25" thickBot="1">
      <c r="A333" s="1531" t="s">
        <v>2272</v>
      </c>
      <c r="B333" s="1525" t="s">
        <v>2283</v>
      </c>
      <c r="C333" s="2120">
        <v>0.15</v>
      </c>
      <c r="D333" s="2120">
        <v>0.15</v>
      </c>
      <c r="E333" s="2120">
        <v>0.15</v>
      </c>
      <c r="F333" s="2121">
        <v>0.14099999999999999</v>
      </c>
    </row>
    <row r="334" spans="1:6" ht="14.25" thickBot="1">
      <c r="A334" s="1531" t="s">
        <v>2272</v>
      </c>
      <c r="B334" s="1525" t="s">
        <v>1383</v>
      </c>
      <c r="C334" s="2120">
        <v>0.15</v>
      </c>
      <c r="D334" s="2120">
        <v>0.15</v>
      </c>
      <c r="E334" s="2120">
        <v>0.15</v>
      </c>
      <c r="F334" s="2121">
        <v>0.15</v>
      </c>
    </row>
    <row r="335" spans="1:6" ht="14.25" thickBot="1">
      <c r="A335" s="1531" t="s">
        <v>2272</v>
      </c>
      <c r="B335" s="1525" t="s">
        <v>1393</v>
      </c>
      <c r="C335" s="2120">
        <v>0.15</v>
      </c>
      <c r="D335" s="2120">
        <v>0.15</v>
      </c>
      <c r="E335" s="2120">
        <v>0.15</v>
      </c>
      <c r="F335" s="2132"/>
    </row>
    <row r="336" spans="1:6" ht="14.25" thickBot="1">
      <c r="A336" s="1531" t="s">
        <v>2272</v>
      </c>
      <c r="B336" s="1525" t="s">
        <v>2284</v>
      </c>
      <c r="C336" s="2120">
        <v>0.15</v>
      </c>
      <c r="D336" s="2120">
        <v>0.15</v>
      </c>
      <c r="E336" s="2120">
        <v>0.15</v>
      </c>
      <c r="F336" s="2121">
        <v>0.11799999999999999</v>
      </c>
    </row>
    <row r="337" spans="1:6" ht="14.25" thickBot="1">
      <c r="A337" s="1541" t="s">
        <v>2272</v>
      </c>
      <c r="B337" s="1537" t="s">
        <v>1411</v>
      </c>
      <c r="C337" s="2130"/>
      <c r="D337" s="2130"/>
      <c r="E337" s="2130"/>
      <c r="F337" s="2123">
        <v>0.14299999999999999</v>
      </c>
    </row>
    <row r="338" spans="1:6" ht="14.25" thickBot="1">
      <c r="A338" s="1531" t="s">
        <v>2285</v>
      </c>
      <c r="B338" s="1532" t="s">
        <v>2286</v>
      </c>
      <c r="C338" s="2118">
        <v>0.15</v>
      </c>
      <c r="D338" s="2118">
        <v>0.15</v>
      </c>
      <c r="E338" s="2118">
        <v>0.15</v>
      </c>
      <c r="F338" s="2135"/>
    </row>
    <row r="339" spans="1:6" ht="14.25" thickBot="1">
      <c r="A339" s="1531" t="s">
        <v>2285</v>
      </c>
      <c r="B339" s="1525" t="s">
        <v>2287</v>
      </c>
      <c r="C339" s="2120">
        <v>0.15</v>
      </c>
      <c r="D339" s="2120">
        <v>0.15</v>
      </c>
      <c r="E339" s="2120">
        <v>0.15</v>
      </c>
      <c r="F339" s="2132"/>
    </row>
    <row r="340" spans="1:6" ht="14.25" thickBot="1">
      <c r="A340" s="1531" t="s">
        <v>2285</v>
      </c>
      <c r="B340" s="1525" t="s">
        <v>2288</v>
      </c>
      <c r="C340" s="2120">
        <v>0.15</v>
      </c>
      <c r="D340" s="2120">
        <v>0.15</v>
      </c>
      <c r="E340" s="2120">
        <v>0.15</v>
      </c>
      <c r="F340" s="2132"/>
    </row>
    <row r="341" spans="1:6" ht="14.25" thickBot="1">
      <c r="A341" s="1531" t="s">
        <v>2285</v>
      </c>
      <c r="B341" s="1525" t="s">
        <v>2289</v>
      </c>
      <c r="C341" s="2120">
        <v>0.15</v>
      </c>
      <c r="D341" s="2120">
        <v>0.15</v>
      </c>
      <c r="E341" s="2120">
        <v>0.15</v>
      </c>
      <c r="F341" s="2121">
        <v>0.15</v>
      </c>
    </row>
    <row r="342" spans="1:6" ht="14.25" thickBot="1">
      <c r="A342" s="1531" t="s">
        <v>2285</v>
      </c>
      <c r="B342" s="1525" t="s">
        <v>2290</v>
      </c>
      <c r="C342" s="2120">
        <v>0.15</v>
      </c>
      <c r="D342" s="2120">
        <v>0.15</v>
      </c>
      <c r="E342" s="2120">
        <v>0.15</v>
      </c>
      <c r="F342" s="2121">
        <v>0.15</v>
      </c>
    </row>
    <row r="343" spans="1:6" ht="14.25" thickBot="1">
      <c r="A343" s="1531" t="s">
        <v>2285</v>
      </c>
      <c r="B343" s="1525" t="s">
        <v>2291</v>
      </c>
      <c r="C343" s="2120">
        <v>0.15</v>
      </c>
      <c r="D343" s="2120">
        <v>0.15</v>
      </c>
      <c r="E343" s="2120">
        <v>0.15</v>
      </c>
      <c r="F343" s="2121">
        <v>0.15</v>
      </c>
    </row>
    <row r="344" spans="1:6" ht="14.25" thickBot="1">
      <c r="A344" s="1541" t="s">
        <v>2285</v>
      </c>
      <c r="B344" s="1537" t="s">
        <v>2292</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2908</v>
      </c>
      <c r="C1" s="3202">
        <f>项目基本情况!D3</f>
        <v>42941</v>
      </c>
      <c r="D1" s="3208" t="s">
        <v>2909</v>
      </c>
      <c r="E1" s="3203">
        <f>'数据-取费表'!B22</f>
        <v>4</v>
      </c>
      <c r="F1" s="3208" t="s">
        <v>2910</v>
      </c>
      <c r="G1" s="3204">
        <f ca="1">INDIRECT("d"&amp;$K$1)/100</f>
        <v>4.7500000000000001E-2</v>
      </c>
      <c r="H1" s="3208" t="s">
        <v>2940</v>
      </c>
      <c r="I1" s="3204">
        <f ca="1">F4/100</f>
        <v>1.4999999999999999E-2</v>
      </c>
      <c r="J1" s="3209">
        <f>IF(C1&gt;C13,0,MATCH(C1,C$13:C$100,-1))+IF(SUMIF(C13:C100,C1,D13:D100)=0,13,12)</f>
        <v>13</v>
      </c>
      <c r="K1" s="3209">
        <f>MATCH(E1,C3:C7,1)+IF(SUMIF(C3:C7,E1,D3:D7)=0,2,1)</f>
        <v>6</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2911</v>
      </c>
      <c r="E2" s="3144"/>
      <c r="F2" s="3144" t="s">
        <v>2912</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2913</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2914</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2915</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2916</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2917</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2918</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2919</v>
      </c>
      <c r="C10" s="3172"/>
      <c r="D10" s="3172"/>
      <c r="E10" s="3172"/>
      <c r="F10" s="3172"/>
      <c r="G10" s="3172"/>
      <c r="H10" s="3172"/>
      <c r="I10" s="3146"/>
      <c r="J10" s="3146"/>
      <c r="K10" s="3172"/>
      <c r="L10" s="3173" t="s">
        <v>2920</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2921</v>
      </c>
      <c r="C11" s="3177" t="s">
        <v>2922</v>
      </c>
      <c r="D11" s="3178" t="s">
        <v>2923</v>
      </c>
      <c r="E11" s="3179"/>
      <c r="F11" s="3178" t="s">
        <v>2924</v>
      </c>
      <c r="G11" s="3180"/>
      <c r="H11" s="3179"/>
      <c r="I11" s="3178" t="s">
        <v>2925</v>
      </c>
      <c r="J11" s="3179"/>
      <c r="K11" s="3175"/>
      <c r="L11" s="3176" t="s">
        <v>2921</v>
      </c>
      <c r="M11" s="3177" t="s">
        <v>2922</v>
      </c>
      <c r="N11" s="3176" t="s">
        <v>2926</v>
      </c>
      <c r="O11" s="3178" t="s">
        <v>2927</v>
      </c>
      <c r="P11" s="3180"/>
      <c r="Q11" s="3180"/>
      <c r="R11" s="3180"/>
      <c r="S11" s="3180"/>
      <c r="T11" s="3179"/>
      <c r="U11" s="3178" t="s">
        <v>2928</v>
      </c>
      <c r="V11" s="3180"/>
      <c r="W11" s="3179"/>
      <c r="X11" s="3176" t="s">
        <v>2929</v>
      </c>
      <c r="Y11" s="3176" t="s">
        <v>2930</v>
      </c>
      <c r="Z11" s="3176" t="s">
        <v>2931</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2932</v>
      </c>
      <c r="E12" s="3185" t="s">
        <v>2933</v>
      </c>
      <c r="F12" s="3185" t="s">
        <v>2934</v>
      </c>
      <c r="G12" s="3185" t="s">
        <v>2935</v>
      </c>
      <c r="H12" s="3185" t="s">
        <v>2917</v>
      </c>
      <c r="I12" s="3186" t="s">
        <v>2936</v>
      </c>
      <c r="J12" s="3186" t="s">
        <v>2936</v>
      </c>
      <c r="K12" s="3182"/>
      <c r="L12" s="3183"/>
      <c r="M12" s="3184"/>
      <c r="N12" s="3183"/>
      <c r="O12" s="3186" t="s">
        <v>2937</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2938</v>
      </c>
      <c r="C13" s="3190">
        <v>42301</v>
      </c>
      <c r="D13" s="3191">
        <v>4.3499999999999996</v>
      </c>
      <c r="E13" s="3191">
        <v>4.3499999999999996</v>
      </c>
      <c r="F13" s="3191">
        <v>4.75</v>
      </c>
      <c r="G13" s="3191">
        <v>4.75</v>
      </c>
      <c r="H13" s="3191">
        <v>4.9000000000000004</v>
      </c>
      <c r="I13" s="3191">
        <v>2.75</v>
      </c>
      <c r="J13" s="3191">
        <v>3.25</v>
      </c>
      <c r="K13" s="3188"/>
      <c r="L13" s="3189" t="s">
        <v>2938</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2939</v>
      </c>
      <c r="Y42" s="3195" t="s">
        <v>2939</v>
      </c>
      <c r="Z42" s="3195" t="s">
        <v>2939</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2939</v>
      </c>
      <c r="Y43" s="3195" t="s">
        <v>2939</v>
      </c>
      <c r="Z43" s="3195" t="s">
        <v>2939</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2939</v>
      </c>
      <c r="Y44" s="3195" t="s">
        <v>2939</v>
      </c>
      <c r="Z44" s="3195" t="s">
        <v>2939</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2939</v>
      </c>
      <c r="Y45" s="3195" t="s">
        <v>2939</v>
      </c>
      <c r="Z45" s="3195" t="s">
        <v>2939</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2939</v>
      </c>
      <c r="Y46" s="3195" t="s">
        <v>2939</v>
      </c>
      <c r="Z46" s="3195" t="s">
        <v>2939</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2939</v>
      </c>
      <c r="Y47" s="3195" t="s">
        <v>2939</v>
      </c>
      <c r="Z47" s="3195" t="s">
        <v>2939</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2939</v>
      </c>
      <c r="Y48" s="3195" t="s">
        <v>2939</v>
      </c>
      <c r="Z48" s="3195" t="s">
        <v>2939</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2939</v>
      </c>
      <c r="Y49" s="3195" t="s">
        <v>2939</v>
      </c>
      <c r="Z49" s="3195" t="s">
        <v>2939</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2939</v>
      </c>
      <c r="Y50" s="3195" t="s">
        <v>2939</v>
      </c>
      <c r="Z50" s="3195" t="s">
        <v>2939</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2939</v>
      </c>
      <c r="V51" s="3195" t="s">
        <v>2939</v>
      </c>
      <c r="W51" s="3195" t="s">
        <v>2939</v>
      </c>
      <c r="X51" s="3195" t="s">
        <v>2939</v>
      </c>
      <c r="Y51" s="3195" t="s">
        <v>2939</v>
      </c>
      <c r="Z51" s="3195" t="s">
        <v>2939</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2939</v>
      </c>
      <c r="J55" s="3195" t="s">
        <v>2939</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4" t="s">
        <v>3041</v>
      </c>
      <c r="E1" s="3328" t="s">
        <v>3045</v>
      </c>
      <c r="F1" s="3329" t="s">
        <v>3049</v>
      </c>
    </row>
    <row r="2" spans="1:13" ht="20.25">
      <c r="A2" s="3335" t="s">
        <v>3042</v>
      </c>
    </row>
    <row r="3" spans="1:13" ht="16.5">
      <c r="A3" s="3336" t="s">
        <v>3043</v>
      </c>
    </row>
    <row r="4" spans="1:13" ht="14.25">
      <c r="A4" s="3326" t="s">
        <v>3044</v>
      </c>
      <c r="B4" s="3331" t="s">
        <v>3046</v>
      </c>
      <c r="C4" s="3332"/>
      <c r="D4" s="3333"/>
      <c r="E4" s="3331" t="s">
        <v>141</v>
      </c>
      <c r="F4" s="3332"/>
      <c r="G4" s="3333"/>
      <c r="H4" s="3331" t="s">
        <v>3047</v>
      </c>
      <c r="I4" s="3332"/>
      <c r="J4" s="3333"/>
      <c r="K4" s="3331" t="s">
        <v>39</v>
      </c>
      <c r="L4" s="3332"/>
      <c r="M4" s="3333"/>
    </row>
    <row r="5" spans="1:13" ht="14.25">
      <c r="A5" s="3327" t="s">
        <v>3048</v>
      </c>
      <c r="B5" s="3326" t="s">
        <v>3050</v>
      </c>
      <c r="C5" s="3326" t="s">
        <v>3051</v>
      </c>
      <c r="D5" s="3326" t="s">
        <v>3052</v>
      </c>
      <c r="E5" s="3326" t="s">
        <v>3050</v>
      </c>
      <c r="F5" s="3326" t="s">
        <v>3051</v>
      </c>
      <c r="G5" s="3326" t="s">
        <v>3052</v>
      </c>
      <c r="H5" s="3326" t="s">
        <v>3050</v>
      </c>
      <c r="I5" s="3326" t="s">
        <v>3051</v>
      </c>
      <c r="J5" s="3326" t="s">
        <v>3052</v>
      </c>
      <c r="K5" s="3326" t="s">
        <v>3050</v>
      </c>
      <c r="L5" s="3326" t="s">
        <v>3051</v>
      </c>
      <c r="M5" s="3326" t="s">
        <v>3052</v>
      </c>
    </row>
    <row r="6" spans="1:13" ht="14.25">
      <c r="A6" s="3330" t="s">
        <v>1223</v>
      </c>
      <c r="B6" s="3337">
        <v>26980</v>
      </c>
      <c r="C6" s="3337">
        <v>32980</v>
      </c>
      <c r="D6" s="3337">
        <v>29980</v>
      </c>
      <c r="E6" s="3337">
        <v>26170</v>
      </c>
      <c r="F6" s="3337">
        <v>31990</v>
      </c>
      <c r="G6" s="3337">
        <v>29080</v>
      </c>
      <c r="H6" s="3337">
        <v>25850</v>
      </c>
      <c r="I6" s="3337">
        <v>31590</v>
      </c>
      <c r="J6" s="3337">
        <v>28720</v>
      </c>
      <c r="K6" s="3337">
        <v>9860</v>
      </c>
      <c r="L6" s="3338">
        <v>13340</v>
      </c>
      <c r="M6" s="3337">
        <v>11600</v>
      </c>
    </row>
    <row r="7" spans="1:13" ht="14.25">
      <c r="A7" s="3330" t="s">
        <v>1280</v>
      </c>
      <c r="B7" s="3337">
        <v>21970</v>
      </c>
      <c r="C7" s="3337">
        <v>28730</v>
      </c>
      <c r="D7" s="3337">
        <v>25350</v>
      </c>
      <c r="E7" s="3337">
        <v>21480</v>
      </c>
      <c r="F7" s="3337">
        <v>28080</v>
      </c>
      <c r="G7" s="3337">
        <v>24780</v>
      </c>
      <c r="H7" s="3337">
        <v>21250</v>
      </c>
      <c r="I7" s="3337">
        <v>27790</v>
      </c>
      <c r="J7" s="3337">
        <v>24520</v>
      </c>
      <c r="K7" s="3337">
        <v>6660</v>
      </c>
      <c r="L7" s="3338">
        <v>10000</v>
      </c>
      <c r="M7" s="3337">
        <v>8330</v>
      </c>
    </row>
    <row r="8" spans="1:13" ht="14.25">
      <c r="A8" s="3330" t="s">
        <v>1453</v>
      </c>
      <c r="B8" s="3337">
        <v>17430</v>
      </c>
      <c r="C8" s="3337">
        <v>24410</v>
      </c>
      <c r="D8" s="3337">
        <v>20920</v>
      </c>
      <c r="E8" s="3337">
        <v>17140</v>
      </c>
      <c r="F8" s="3337">
        <v>24000</v>
      </c>
      <c r="G8" s="3337">
        <v>20570</v>
      </c>
      <c r="H8" s="3337">
        <v>16990</v>
      </c>
      <c r="I8" s="3337">
        <v>23790</v>
      </c>
      <c r="J8" s="3337">
        <v>20390</v>
      </c>
      <c r="K8" s="3337">
        <v>4530</v>
      </c>
      <c r="L8" s="3338">
        <v>6790</v>
      </c>
      <c r="M8" s="3337">
        <v>5660</v>
      </c>
    </row>
    <row r="9" spans="1:13" ht="14.25">
      <c r="A9" s="3330" t="s">
        <v>1134</v>
      </c>
      <c r="B9" s="3337">
        <v>13330</v>
      </c>
      <c r="C9" s="3337">
        <v>19990</v>
      </c>
      <c r="D9" s="3337">
        <v>16660</v>
      </c>
      <c r="E9" s="3337">
        <v>13160</v>
      </c>
      <c r="F9" s="3337">
        <v>19740</v>
      </c>
      <c r="G9" s="3337">
        <v>16450</v>
      </c>
      <c r="H9" s="3337">
        <v>13060</v>
      </c>
      <c r="I9" s="3337">
        <v>19600</v>
      </c>
      <c r="J9" s="3337">
        <v>16330</v>
      </c>
      <c r="K9" s="3337">
        <v>3090</v>
      </c>
      <c r="L9" s="3338">
        <v>4650</v>
      </c>
      <c r="M9" s="3337">
        <v>3870</v>
      </c>
    </row>
    <row r="10" spans="1:13" ht="14.25">
      <c r="A10" s="3330" t="s">
        <v>1534</v>
      </c>
      <c r="B10" s="3337">
        <v>10420</v>
      </c>
      <c r="C10" s="3337">
        <v>15620</v>
      </c>
      <c r="D10" s="3337">
        <v>13020</v>
      </c>
      <c r="E10" s="3337">
        <v>10310</v>
      </c>
      <c r="F10" s="3337">
        <v>15470</v>
      </c>
      <c r="G10" s="3337">
        <v>12890</v>
      </c>
      <c r="H10" s="3337">
        <v>10250</v>
      </c>
      <c r="I10" s="3337">
        <v>15370</v>
      </c>
      <c r="J10" s="3337">
        <v>12810</v>
      </c>
      <c r="K10" s="3337">
        <v>2140</v>
      </c>
      <c r="L10" s="3338">
        <v>3200</v>
      </c>
      <c r="M10" s="3337">
        <v>2670</v>
      </c>
    </row>
    <row r="11" spans="1:13" ht="14.25">
      <c r="A11" s="3330" t="s">
        <v>203</v>
      </c>
      <c r="B11" s="3337">
        <v>8130</v>
      </c>
      <c r="C11" s="3337">
        <v>12190</v>
      </c>
      <c r="D11" s="3337">
        <v>10160</v>
      </c>
      <c r="E11" s="3337">
        <v>8060</v>
      </c>
      <c r="F11" s="3337">
        <v>12080</v>
      </c>
      <c r="G11" s="3337">
        <v>10070</v>
      </c>
      <c r="H11" s="3337">
        <v>8010</v>
      </c>
      <c r="I11" s="3337">
        <v>12010</v>
      </c>
      <c r="J11" s="3337">
        <v>10010</v>
      </c>
      <c r="K11" s="3337">
        <v>1490</v>
      </c>
      <c r="L11" s="3338">
        <v>2250</v>
      </c>
      <c r="M11" s="3337">
        <v>1870</v>
      </c>
    </row>
    <row r="12" spans="1:13" ht="14.25">
      <c r="A12" s="3330" t="s">
        <v>1537</v>
      </c>
      <c r="B12" s="3337">
        <v>5940</v>
      </c>
      <c r="C12" s="3337">
        <v>8900</v>
      </c>
      <c r="D12" s="3337">
        <v>7420</v>
      </c>
      <c r="E12" s="3337">
        <v>5880</v>
      </c>
      <c r="F12" s="3337">
        <v>8820</v>
      </c>
      <c r="G12" s="3337">
        <v>7350</v>
      </c>
      <c r="H12" s="3337">
        <v>5840</v>
      </c>
      <c r="I12" s="3337">
        <v>8760</v>
      </c>
      <c r="J12" s="3337">
        <v>7300</v>
      </c>
      <c r="K12" s="3337">
        <v>1060</v>
      </c>
      <c r="L12" s="3338">
        <v>1600</v>
      </c>
      <c r="M12" s="3337">
        <v>1330</v>
      </c>
    </row>
    <row r="13" spans="1:13" ht="14.25">
      <c r="A13" s="3330" t="s">
        <v>1539</v>
      </c>
      <c r="B13" s="3337">
        <v>3970</v>
      </c>
      <c r="C13" s="3337">
        <v>6330</v>
      </c>
      <c r="D13" s="3337">
        <v>5150</v>
      </c>
      <c r="E13" s="3337">
        <v>3920</v>
      </c>
      <c r="F13" s="3337">
        <v>6260</v>
      </c>
      <c r="G13" s="3337">
        <v>5090</v>
      </c>
      <c r="H13" s="3337">
        <v>3890</v>
      </c>
      <c r="I13" s="3337">
        <v>6210</v>
      </c>
      <c r="J13" s="3337">
        <v>5050</v>
      </c>
      <c r="K13" s="3337">
        <v>780</v>
      </c>
      <c r="L13" s="3338">
        <v>1160</v>
      </c>
      <c r="M13" s="3337">
        <v>970</v>
      </c>
    </row>
    <row r="14" spans="1:13" ht="14.25">
      <c r="A14" s="3330" t="s">
        <v>1541</v>
      </c>
      <c r="B14" s="3337">
        <v>2680</v>
      </c>
      <c r="C14" s="3337">
        <v>4280</v>
      </c>
      <c r="D14" s="3337">
        <v>3480</v>
      </c>
      <c r="E14" s="3337">
        <v>2640</v>
      </c>
      <c r="F14" s="3337">
        <v>4220</v>
      </c>
      <c r="G14" s="3337">
        <v>3430</v>
      </c>
      <c r="H14" s="3337">
        <v>2620</v>
      </c>
      <c r="I14" s="3337">
        <v>4180</v>
      </c>
      <c r="J14" s="3337">
        <v>3400</v>
      </c>
      <c r="K14" s="3337">
        <v>580</v>
      </c>
      <c r="L14" s="3338">
        <v>880</v>
      </c>
      <c r="M14" s="3337">
        <v>730</v>
      </c>
    </row>
    <row r="15" spans="1:13" ht="14.25">
      <c r="A15" s="3330" t="s">
        <v>1545</v>
      </c>
      <c r="B15" s="3337">
        <v>1700</v>
      </c>
      <c r="C15" s="3337">
        <v>2840</v>
      </c>
      <c r="D15" s="3337">
        <v>2270</v>
      </c>
      <c r="E15" s="3337">
        <v>1670</v>
      </c>
      <c r="F15" s="3337">
        <v>2790</v>
      </c>
      <c r="G15" s="3337">
        <v>2230</v>
      </c>
      <c r="H15" s="3337">
        <v>1650</v>
      </c>
      <c r="I15" s="3337">
        <v>2750</v>
      </c>
      <c r="J15" s="3337">
        <v>2200</v>
      </c>
      <c r="K15" s="3337">
        <v>450</v>
      </c>
      <c r="L15" s="3338">
        <v>670</v>
      </c>
      <c r="M15" s="3337">
        <v>560</v>
      </c>
    </row>
    <row r="16" spans="1:13" ht="14.25">
      <c r="A16" s="3330" t="s">
        <v>1944</v>
      </c>
      <c r="B16" s="3337">
        <v>1070</v>
      </c>
      <c r="C16" s="3337">
        <v>1790</v>
      </c>
      <c r="D16" s="3337">
        <v>1430</v>
      </c>
      <c r="E16" s="3337">
        <v>1050</v>
      </c>
      <c r="F16" s="3337">
        <v>1750</v>
      </c>
      <c r="G16" s="3337">
        <v>1400</v>
      </c>
      <c r="H16" s="3337">
        <v>1030</v>
      </c>
      <c r="I16" s="3337">
        <v>1730</v>
      </c>
      <c r="J16" s="3337">
        <v>1380</v>
      </c>
      <c r="K16" s="3337">
        <v>350</v>
      </c>
      <c r="L16" s="3338">
        <v>530</v>
      </c>
      <c r="M16" s="3337">
        <v>440</v>
      </c>
    </row>
    <row r="17" spans="1:13" ht="14.25">
      <c r="A17" s="3330" t="s">
        <v>1945</v>
      </c>
      <c r="B17" s="3337">
        <v>680</v>
      </c>
      <c r="C17" s="3337">
        <v>1120</v>
      </c>
      <c r="D17" s="3337">
        <v>900</v>
      </c>
      <c r="E17" s="3337">
        <v>650</v>
      </c>
      <c r="F17" s="3337">
        <v>1090</v>
      </c>
      <c r="G17" s="3337">
        <v>870</v>
      </c>
      <c r="H17" s="3337">
        <v>630</v>
      </c>
      <c r="I17" s="3337">
        <v>1070</v>
      </c>
      <c r="J17" s="3337">
        <v>850</v>
      </c>
      <c r="K17" s="3337">
        <v>280</v>
      </c>
      <c r="L17" s="3338">
        <v>420</v>
      </c>
      <c r="M17" s="3337">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523" t="s">
        <v>2039</v>
      </c>
      <c r="B1" s="3523"/>
      <c r="C1" s="3523"/>
      <c r="D1" s="3523"/>
      <c r="E1" s="3523"/>
      <c r="F1" s="3523"/>
      <c r="G1" s="3523"/>
      <c r="H1" s="3523"/>
      <c r="I1" s="3523"/>
    </row>
    <row r="2" spans="1:9" ht="30" customHeight="1" thickTop="1">
      <c r="A2" s="3524" t="s">
        <v>2877</v>
      </c>
      <c r="B2" s="3524" t="s">
        <v>2040</v>
      </c>
      <c r="C2" s="3524" t="s">
        <v>2041</v>
      </c>
      <c r="D2" s="3524" t="str">
        <f>结果表!D116</f>
        <v>出让国有建设用地使用权价值</v>
      </c>
      <c r="E2" s="3524"/>
      <c r="F2" s="3524" t="str">
        <f>结果表!F116</f>
        <v>在建建筑物价值</v>
      </c>
      <c r="G2" s="3524"/>
      <c r="H2" s="3524" t="s">
        <v>6</v>
      </c>
      <c r="I2" s="3524"/>
    </row>
    <row r="3" spans="1:9" ht="14.25">
      <c r="A3" s="3518"/>
      <c r="B3" s="3518"/>
      <c r="C3" s="3518"/>
      <c r="D3" s="1914" t="s">
        <v>7</v>
      </c>
      <c r="E3" s="1914" t="s">
        <v>2042</v>
      </c>
      <c r="F3" s="1914" t="s">
        <v>7</v>
      </c>
      <c r="G3" s="1914" t="s">
        <v>8</v>
      </c>
      <c r="H3" s="1914" t="s">
        <v>7</v>
      </c>
      <c r="I3" s="1914" t="s">
        <v>8</v>
      </c>
    </row>
    <row r="4" spans="1:9" ht="42.75">
      <c r="A4" s="1984" t="str">
        <f>项目基本情况!S2</f>
        <v>北京市密云县司马台村出让国有建设用地使用权及在建建筑物房地产</v>
      </c>
      <c r="B4" s="1978">
        <f>项目基本情况!C17</f>
        <v>326059.4499999999</v>
      </c>
      <c r="C4" s="1978">
        <f>项目基本情况!C18</f>
        <v>346512.69</v>
      </c>
      <c r="D4" s="1978">
        <f ca="1">结果表!D118</f>
        <v>78961</v>
      </c>
      <c r="E4" s="1978">
        <f ca="1">结果表!E118</f>
        <v>2422</v>
      </c>
      <c r="F4" s="1978">
        <f ca="1">结果表!F118</f>
        <v>386938</v>
      </c>
      <c r="G4" s="1978">
        <f ca="1">结果表!G118</f>
        <v>11867</v>
      </c>
      <c r="H4" s="1978">
        <f ca="1">结果表!H118</f>
        <v>465899</v>
      </c>
      <c r="I4" s="1978">
        <f ca="1">结果表!I118</f>
        <v>14289</v>
      </c>
    </row>
    <row r="5" spans="1:9" ht="30" customHeight="1">
      <c r="A5" s="3518" t="s">
        <v>9</v>
      </c>
      <c r="B5" s="3518"/>
      <c r="C5" s="3518"/>
      <c r="D5" s="3519" t="str">
        <f ca="1">结果表!D119</f>
        <v>柒亿捌仟玖佰陆拾壹万元整</v>
      </c>
      <c r="E5" s="3519"/>
      <c r="F5" s="3519" t="str">
        <f ca="1">结果表!F119</f>
        <v>叁拾捌亿陆仟玖佰叁拾捌万元整</v>
      </c>
      <c r="G5" s="3519"/>
      <c r="H5" s="3519" t="str">
        <f ca="1">结果表!H119</f>
        <v>肆拾陆亿伍仟捌佰玖拾玖万元整</v>
      </c>
      <c r="I5" s="3519"/>
    </row>
    <row r="6" spans="1:9" ht="15.75">
      <c r="A6" s="3516" t="str">
        <f>结果表!A120</f>
        <v>估价师知悉的法定优先受偿款</v>
      </c>
      <c r="B6" s="3516"/>
      <c r="C6" s="3516"/>
      <c r="D6" s="3517">
        <f>结果表!D120</f>
        <v>14478</v>
      </c>
      <c r="E6" s="3517"/>
      <c r="F6" s="3517"/>
      <c r="G6" s="3517"/>
      <c r="H6" s="3517"/>
      <c r="I6" s="3517"/>
    </row>
    <row r="7" spans="1:9" ht="14.25">
      <c r="A7" s="3518" t="s">
        <v>9</v>
      </c>
      <c r="B7" s="3518"/>
      <c r="C7" s="3518"/>
      <c r="D7" s="3520" t="str">
        <f>结果表!D121</f>
        <v>壹亿肆仟肆佰柒拾捌万元整</v>
      </c>
      <c r="E7" s="3521"/>
      <c r="F7" s="3521"/>
      <c r="G7" s="3521"/>
      <c r="H7" s="3521"/>
      <c r="I7" s="3522"/>
    </row>
    <row r="8" spans="1:9" ht="15.75">
      <c r="A8" s="3516" t="str">
        <f>结果表!A122</f>
        <v/>
      </c>
      <c r="B8" s="3516"/>
      <c r="C8" s="3516"/>
      <c r="D8" s="3517" t="str">
        <f>结果表!D122</f>
        <v>——</v>
      </c>
      <c r="E8" s="3517"/>
      <c r="F8" s="3517"/>
      <c r="G8" s="3517"/>
      <c r="H8" s="3517"/>
      <c r="I8" s="3517"/>
    </row>
    <row r="9" spans="1:9" ht="14.25">
      <c r="A9" s="3518" t="s">
        <v>9</v>
      </c>
      <c r="B9" s="3518"/>
      <c r="C9" s="3518"/>
      <c r="D9" s="3519" t="e">
        <f>结果表!D123</f>
        <v>#VALUE!</v>
      </c>
      <c r="E9" s="3519"/>
      <c r="F9" s="3519"/>
      <c r="G9" s="3519"/>
      <c r="H9" s="3519"/>
      <c r="I9" s="3519"/>
    </row>
    <row r="10" spans="1:9" ht="15.75">
      <c r="A10" s="3516" t="str">
        <f>结果表!A124</f>
        <v>抵押担保权已注销时的房地产抵押价值</v>
      </c>
      <c r="B10" s="3516"/>
      <c r="C10" s="3516"/>
      <c r="D10" s="3517">
        <f ca="1">结果表!D124</f>
        <v>451421</v>
      </c>
      <c r="E10" s="3517"/>
      <c r="F10" s="3517"/>
      <c r="G10" s="3517"/>
      <c r="H10" s="3517"/>
      <c r="I10" s="3517"/>
    </row>
    <row r="11" spans="1:9" ht="14.25">
      <c r="A11" s="3518" t="s">
        <v>9</v>
      </c>
      <c r="B11" s="3518"/>
      <c r="C11" s="3518"/>
      <c r="D11" s="3519" t="str">
        <f ca="1">结果表!D125</f>
        <v>肆拾伍亿壹仟肆佰贰拾壹万元整</v>
      </c>
      <c r="E11" s="3519"/>
      <c r="F11" s="3519"/>
      <c r="G11" s="3519"/>
      <c r="H11" s="3519"/>
      <c r="I11" s="3519"/>
    </row>
    <row r="12" spans="1:9" ht="15.75">
      <c r="A12" s="3516" t="str">
        <f>结果表!A126</f>
        <v/>
      </c>
      <c r="B12" s="3516"/>
      <c r="C12" s="3516"/>
      <c r="D12" s="3517" t="str">
        <f>结果表!D126</f>
        <v>——</v>
      </c>
      <c r="E12" s="3517"/>
      <c r="F12" s="3517"/>
      <c r="G12" s="3517"/>
      <c r="H12" s="3517"/>
      <c r="I12" s="3517"/>
    </row>
    <row r="13" spans="1:9" ht="15" thickBot="1">
      <c r="A13" s="3513" t="s">
        <v>9</v>
      </c>
      <c r="B13" s="3513"/>
      <c r="C13" s="3513"/>
      <c r="D13" s="3514" t="e">
        <f>结果表!D127</f>
        <v>#VALUE!</v>
      </c>
      <c r="E13" s="3514"/>
      <c r="F13" s="3514"/>
      <c r="G13" s="3514"/>
      <c r="H13" s="3514"/>
      <c r="I13" s="3514"/>
    </row>
    <row r="14" spans="1:9" ht="14.25" thickTop="1">
      <c r="A14" s="3515" t="s">
        <v>2043</v>
      </c>
      <c r="B14" s="3515"/>
      <c r="C14" s="3515"/>
      <c r="D14" s="3515"/>
      <c r="E14" s="3515"/>
      <c r="F14" s="3515"/>
      <c r="G14" s="3515"/>
      <c r="H14" s="3515"/>
      <c r="I14" s="3515"/>
    </row>
    <row r="16" spans="1:9" ht="18.75">
      <c r="A16" s="1993" t="s">
        <v>2044</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531" t="s">
        <v>2853</v>
      </c>
      <c r="B1" s="3531"/>
      <c r="C1" s="3531"/>
      <c r="D1" s="3531"/>
    </row>
    <row r="2" spans="1:4" ht="18.75">
      <c r="A2" s="3532" t="s">
        <v>2113</v>
      </c>
      <c r="B2" s="3532"/>
      <c r="C2" s="3532"/>
      <c r="D2" s="3532"/>
    </row>
    <row r="3" spans="1:4" ht="18.75">
      <c r="A3" s="2613" t="s">
        <v>2114</v>
      </c>
      <c r="B3" s="2613" t="s">
        <v>2115</v>
      </c>
      <c r="C3" s="2613" t="s">
        <v>2116</v>
      </c>
      <c r="D3" s="2613" t="s">
        <v>2117</v>
      </c>
    </row>
    <row r="4" spans="1:4" ht="56.25" customHeight="1">
      <c r="A4" s="2619" t="str">
        <f>项目基本情况!B4</f>
        <v>欧红伟</v>
      </c>
      <c r="B4" s="2614">
        <f ca="1">项目基本情况!C4</f>
        <v>1120000080</v>
      </c>
      <c r="C4" s="2617"/>
      <c r="D4" s="2615" t="s">
        <v>2118</v>
      </c>
    </row>
    <row r="5" spans="1:4" ht="56.25" customHeight="1">
      <c r="A5" s="2619" t="str">
        <f>项目基本情况!D4</f>
        <v>梁津</v>
      </c>
      <c r="B5" s="2614">
        <f ca="1">项目基本情况!E4</f>
        <v>1119970066</v>
      </c>
      <c r="C5" s="2618"/>
      <c r="D5" s="2615" t="s">
        <v>2118</v>
      </c>
    </row>
    <row r="6" spans="1:4" ht="18.75">
      <c r="A6" s="3532" t="s">
        <v>2614</v>
      </c>
      <c r="B6" s="3532"/>
      <c r="C6" s="3532"/>
      <c r="D6" s="3532"/>
    </row>
    <row r="7" spans="1:4" ht="18.75">
      <c r="A7" s="2613" t="s">
        <v>2114</v>
      </c>
      <c r="B7" s="2614" t="s">
        <v>2119</v>
      </c>
      <c r="C7" s="2613" t="s">
        <v>2116</v>
      </c>
      <c r="D7" s="2613" t="s">
        <v>2117</v>
      </c>
    </row>
    <row r="8" spans="1:4" ht="56.25" customHeight="1">
      <c r="A8" s="2616" t="s">
        <v>2120</v>
      </c>
      <c r="B8" s="2616" t="s">
        <v>23</v>
      </c>
      <c r="C8" s="2617"/>
      <c r="D8" s="2615" t="s">
        <v>2118</v>
      </c>
    </row>
    <row r="9" spans="1:4">
      <c r="A9" s="1497"/>
      <c r="B9" s="1497"/>
      <c r="C9" s="1497"/>
      <c r="D9" s="1497"/>
    </row>
    <row r="10" spans="1:4" ht="18.75">
      <c r="A10" s="2095" t="s">
        <v>2121</v>
      </c>
      <c r="B10" s="1497"/>
      <c r="C10" s="1497"/>
      <c r="D10" s="1497"/>
    </row>
    <row r="11" spans="1:4" ht="30" customHeight="1">
      <c r="A11" s="3533" t="s">
        <v>2707</v>
      </c>
      <c r="B11" s="3525"/>
      <c r="C11" s="3525"/>
      <c r="D11" s="3525"/>
    </row>
    <row r="12" spans="1:4" ht="14.25">
      <c r="A12" s="3525" t="str">
        <f>IF(项目基本情况!B8="抵押","2.本《评估意见函》仅供金融机构进行内部审核使用，不做其他目的之用。","")</f>
        <v>2.本《评估意见函》仅供金融机构进行内部审核使用，不做其他目的之用。</v>
      </c>
      <c r="B12" s="3530"/>
      <c r="C12" s="3530"/>
      <c r="D12" s="3530"/>
    </row>
    <row r="13" spans="1:4" ht="30" customHeight="1">
      <c r="A13" s="35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0"/>
      <c r="C13" s="3530"/>
      <c r="D13" s="3530"/>
    </row>
    <row r="14" spans="1:4" ht="15.75" customHeight="1">
      <c r="A14" s="3525" t="str">
        <f>IF(项目基本情况!B8="抵押","4.本次评估估价师所知悉的法定优先受偿款情况说明如下：","")</f>
        <v>4.本次评估估价师所知悉的法定优先受偿款情况说明如下：</v>
      </c>
      <c r="B14" s="3530"/>
      <c r="C14" s="3530"/>
      <c r="D14" s="3530"/>
    </row>
    <row r="15" spans="1:4" ht="42" customHeight="1">
      <c r="A15" s="3525" t="str">
        <f>IF(项目基本情况!B8="抵押","（1）"&amp;CONCATENATE(项目基本情况!L20,项目基本情况!L21,项目基本情况!L22),"")</f>
        <v>（1）根据估价对象《房屋所有权证》——、《国有土地使用权》原件，截至价值时点，估价对象已设定抵押。上述抵押权设定日期为，权利人为，权利范围为，权利价值为。</v>
      </c>
      <c r="B15" s="3525"/>
      <c r="C15" s="3525"/>
      <c r="D15" s="3525"/>
    </row>
    <row r="16" spans="1:4" ht="30" customHeight="1">
      <c r="A16" s="3527" t="s">
        <v>2125</v>
      </c>
      <c r="B16" s="3527"/>
      <c r="C16" s="3527"/>
      <c r="D16" s="3527"/>
    </row>
    <row r="17" spans="1:4" ht="144" customHeight="1">
      <c r="A17" s="3527" t="s">
        <v>2126</v>
      </c>
      <c r="B17" s="3527"/>
      <c r="C17" s="3527"/>
      <c r="D17" s="3527"/>
    </row>
    <row r="18" spans="1:4" ht="15.75" customHeight="1">
      <c r="A18" s="3525" t="str">
        <f>IF(项目基本情况!B8="抵押",结果表!K120,"")</f>
        <v>故，本次评估估价师知悉的法定优先受偿款为人民币14478万元整。</v>
      </c>
      <c r="B18" s="3525"/>
      <c r="C18" s="3525"/>
      <c r="D18" s="3525"/>
    </row>
    <row r="19" spans="1:4" ht="46.5" customHeight="1">
      <c r="A19" s="352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5"/>
      <c r="C19" s="3525"/>
      <c r="D19" s="3525"/>
    </row>
    <row r="20" spans="1:4" ht="57.75" customHeight="1">
      <c r="A20" s="352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5"/>
      <c r="C20" s="3525"/>
      <c r="D20" s="3525"/>
    </row>
    <row r="21" spans="1:4" ht="57.75" customHeight="1">
      <c r="A21" s="352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8"/>
      <c r="C21" s="3528"/>
      <c r="D21" s="3528"/>
    </row>
    <row r="22" spans="1:4" ht="18.75" customHeight="1">
      <c r="A22" s="3529" t="s">
        <v>2875</v>
      </c>
      <c r="B22" s="3529"/>
      <c r="C22" s="3529"/>
      <c r="D22" s="3529"/>
    </row>
    <row r="23" spans="1:4">
      <c r="A23" s="1985"/>
      <c r="B23" s="1994"/>
      <c r="C23" s="1994"/>
      <c r="D23" s="1994"/>
    </row>
    <row r="24" spans="1:4">
      <c r="A24" s="1985"/>
      <c r="B24" s="1994"/>
      <c r="C24" s="1994"/>
      <c r="D24" s="1994"/>
    </row>
    <row r="25" spans="1:4" ht="18.75">
      <c r="A25" s="1983" t="s">
        <v>2122</v>
      </c>
    </row>
    <row r="26" spans="1:4" ht="18.75">
      <c r="A26" s="1955"/>
    </row>
    <row r="27" spans="1:4" ht="18.75">
      <c r="A27" s="1955" t="s">
        <v>2123</v>
      </c>
    </row>
    <row r="30" spans="1:4" ht="18.75">
      <c r="D30" s="1983" t="s">
        <v>2124</v>
      </c>
    </row>
    <row r="31" spans="1:4" ht="13.5" customHeight="1">
      <c r="C31" s="3526">
        <v>42551</v>
      </c>
      <c r="D31" s="3526"/>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5" t="s">
        <v>2129</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576</v>
      </c>
    </row>
    <row r="3" spans="1:7">
      <c r="A3" s="1140" t="s">
        <v>549</v>
      </c>
      <c r="B3" s="1141" t="s">
        <v>550</v>
      </c>
      <c r="G3" s="1142"/>
    </row>
    <row r="4" spans="1:7">
      <c r="G4" s="1142"/>
    </row>
    <row r="5" spans="1:7">
      <c r="A5" s="1144" t="s">
        <v>540</v>
      </c>
      <c r="B5" s="1141" t="s">
        <v>551</v>
      </c>
      <c r="G5" s="1142"/>
    </row>
    <row r="6" spans="1:7">
      <c r="G6" s="1142"/>
    </row>
    <row r="7" spans="1:7">
      <c r="A7" s="1145" t="s">
        <v>1131</v>
      </c>
      <c r="B7" s="1141" t="s">
        <v>552</v>
      </c>
      <c r="G7" s="1142"/>
    </row>
    <row r="8" spans="1:7">
      <c r="G8" s="1142"/>
    </row>
    <row r="9" spans="1:7">
      <c r="A9" s="1146" t="s">
        <v>541</v>
      </c>
      <c r="B9" s="1141" t="s">
        <v>553</v>
      </c>
    </row>
    <row r="11" spans="1:7">
      <c r="A11" s="1147" t="s">
        <v>542</v>
      </c>
      <c r="B11" s="1148" t="s">
        <v>539</v>
      </c>
    </row>
    <row r="13" spans="1:7">
      <c r="A13" s="1149" t="s">
        <v>554</v>
      </c>
    </row>
    <row r="15" spans="1:7" ht="13.5">
      <c r="A15" s="3539" t="s">
        <v>555</v>
      </c>
      <c r="B15" s="3534" t="s">
        <v>1132</v>
      </c>
      <c r="C15" s="3535"/>
    </row>
    <row r="16" spans="1:7" ht="13.5">
      <c r="A16" s="3540"/>
      <c r="B16" s="3534" t="s">
        <v>528</v>
      </c>
      <c r="C16" s="3535"/>
    </row>
    <row r="17" spans="1:3" ht="13.5">
      <c r="A17" s="3540"/>
      <c r="B17" s="3537" t="s">
        <v>556</v>
      </c>
      <c r="C17" s="1150" t="s">
        <v>555</v>
      </c>
    </row>
    <row r="18" spans="1:3" ht="13.5">
      <c r="A18" s="3540"/>
      <c r="B18" s="3537"/>
      <c r="C18" s="1150" t="s">
        <v>557</v>
      </c>
    </row>
    <row r="19" spans="1:3" ht="13.5">
      <c r="A19" s="3540"/>
      <c r="B19" s="3537"/>
      <c r="C19" s="1150" t="s">
        <v>558</v>
      </c>
    </row>
    <row r="20" spans="1:3" ht="13.5">
      <c r="A20" s="3541"/>
      <c r="B20" s="3536" t="s">
        <v>559</v>
      </c>
      <c r="C20" s="3535"/>
    </row>
    <row r="21" spans="1:3" ht="13.5">
      <c r="A21" s="1151" t="s">
        <v>560</v>
      </c>
      <c r="B21" s="1152"/>
      <c r="C21" s="1153"/>
    </row>
    <row r="22" spans="1:3" ht="13.5">
      <c r="A22" s="3538" t="s">
        <v>561</v>
      </c>
      <c r="B22" s="3536" t="s">
        <v>562</v>
      </c>
      <c r="C22" s="3535"/>
    </row>
    <row r="23" spans="1:3" ht="13.5">
      <c r="A23" s="3538"/>
      <c r="B23" s="3536" t="s">
        <v>563</v>
      </c>
      <c r="C23" s="3535"/>
    </row>
    <row r="24" spans="1:3" ht="13.5">
      <c r="A24" s="3538"/>
      <c r="B24" s="3536" t="s">
        <v>564</v>
      </c>
      <c r="C24" s="3535"/>
    </row>
    <row r="25" spans="1:3" ht="13.5">
      <c r="A25" s="3538"/>
      <c r="B25" s="3537" t="s">
        <v>565</v>
      </c>
      <c r="C25" s="1150" t="s">
        <v>566</v>
      </c>
    </row>
    <row r="26" spans="1:3" ht="13.5">
      <c r="A26" s="3538"/>
      <c r="B26" s="3537"/>
      <c r="C26" s="1150" t="s">
        <v>567</v>
      </c>
    </row>
    <row r="27" spans="1:3" ht="13.5">
      <c r="A27" s="3538"/>
      <c r="B27" s="3537"/>
      <c r="C27" s="1150" t="s">
        <v>568</v>
      </c>
    </row>
    <row r="28" spans="1:3" ht="13.5">
      <c r="A28" s="3538"/>
      <c r="B28" s="3537"/>
      <c r="C28" s="1150" t="s">
        <v>569</v>
      </c>
    </row>
    <row r="29" spans="1:3" ht="13.5">
      <c r="A29" s="3538"/>
      <c r="B29" s="3537"/>
      <c r="C29" s="1150" t="s">
        <v>570</v>
      </c>
    </row>
    <row r="30" spans="1:3" ht="13.5">
      <c r="A30" s="3538"/>
      <c r="B30" s="3537"/>
      <c r="C30" s="1150" t="s">
        <v>571</v>
      </c>
    </row>
    <row r="31" spans="1:3" ht="13.5">
      <c r="A31" s="3538"/>
      <c r="B31" s="3537"/>
      <c r="C31" s="1150" t="s">
        <v>572</v>
      </c>
    </row>
    <row r="32" spans="1:3" ht="13.5">
      <c r="A32" s="3538"/>
      <c r="B32" s="3537"/>
      <c r="C32" s="1150" t="s">
        <v>573</v>
      </c>
    </row>
    <row r="33" spans="1:3" ht="13.5">
      <c r="A33" s="3538"/>
      <c r="B33" s="3537"/>
      <c r="C33" s="1150" t="s">
        <v>574</v>
      </c>
    </row>
    <row r="34" spans="1:3">
      <c r="A34" s="1154" t="s">
        <v>543</v>
      </c>
    </row>
    <row r="37" spans="1:3">
      <c r="A37" s="1154" t="s">
        <v>575</v>
      </c>
    </row>
    <row r="38" spans="1:3" ht="13.5">
      <c r="A38" s="1155" t="s">
        <v>544</v>
      </c>
    </row>
    <row r="39" spans="1:3" ht="13.5">
      <c r="A39" s="1155" t="s">
        <v>545</v>
      </c>
    </row>
    <row r="40" spans="1:3" ht="13.5">
      <c r="A40" s="1155" t="s">
        <v>546</v>
      </c>
    </row>
    <row r="41" spans="1:3" ht="13.5">
      <c r="A41" s="1156" t="s">
        <v>547</v>
      </c>
    </row>
    <row r="42" spans="1:3" ht="13.5">
      <c r="A42" s="1155"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1966</v>
      </c>
      <c r="B2" s="1892">
        <f ca="1">TODAY()</f>
        <v>42948</v>
      </c>
      <c r="C2" s="1893" t="s">
        <v>1967</v>
      </c>
      <c r="D2" s="1893"/>
    </row>
    <row r="3" spans="1:6" ht="24" customHeight="1">
      <c r="A3" s="1894" t="s">
        <v>1968</v>
      </c>
      <c r="B3" s="1895" t="s">
        <v>1969</v>
      </c>
      <c r="C3" s="1895" t="s">
        <v>1970</v>
      </c>
      <c r="D3" s="1896" t="s">
        <v>1971</v>
      </c>
      <c r="E3" s="1897" t="s">
        <v>1972</v>
      </c>
      <c r="F3" s="1895" t="s">
        <v>1970</v>
      </c>
    </row>
    <row r="4" spans="1:6" ht="24" customHeight="1">
      <c r="A4" s="3210" t="s">
        <v>1973</v>
      </c>
      <c r="B4" s="1897">
        <f ca="1">IF(C4&lt;B2,"已过期",1119970066)</f>
        <v>1119970066</v>
      </c>
      <c r="C4" s="3211">
        <v>43849</v>
      </c>
      <c r="D4" s="3210" t="s">
        <v>1973</v>
      </c>
      <c r="E4" s="1897">
        <f ca="1">IF(F4&lt;B2,"已过期",96010014)</f>
        <v>96010014</v>
      </c>
      <c r="F4" s="1906">
        <v>47118</v>
      </c>
    </row>
    <row r="5" spans="1:6" ht="24" customHeight="1">
      <c r="A5" s="3210" t="s">
        <v>1974</v>
      </c>
      <c r="B5" s="1897">
        <f ca="1">IF(C5&lt;B2,"已过期",1119970074)</f>
        <v>1119970074</v>
      </c>
      <c r="C5" s="3211">
        <v>43849</v>
      </c>
      <c r="D5" s="3210" t="s">
        <v>1974</v>
      </c>
      <c r="E5" s="1897">
        <f ca="1">IF(F5&lt;B2,"已过期",2002110027)</f>
        <v>2002110027</v>
      </c>
      <c r="F5" s="1906">
        <v>46752</v>
      </c>
    </row>
    <row r="6" spans="1:6" ht="24" customHeight="1">
      <c r="A6" s="3210" t="s">
        <v>1975</v>
      </c>
      <c r="B6" s="1897">
        <f ca="1">IF(C6&lt;B2,"已过期",1119970111)</f>
        <v>1119970111</v>
      </c>
      <c r="C6" s="3211">
        <v>43849</v>
      </c>
      <c r="D6" s="3210" t="s">
        <v>1975</v>
      </c>
      <c r="E6" s="1897">
        <f ca="1">IF(F6&lt;B2,"已过期",94010078)</f>
        <v>94010078</v>
      </c>
      <c r="F6" s="1906">
        <v>46387</v>
      </c>
    </row>
    <row r="7" spans="1:6" ht="24" customHeight="1">
      <c r="A7" s="3210" t="s">
        <v>1976</v>
      </c>
      <c r="B7" s="1897">
        <f ca="1">IF(C7&lt;B2,"已过期",1120050019)</f>
        <v>1120050019</v>
      </c>
      <c r="C7" s="3211">
        <v>43359</v>
      </c>
      <c r="D7" s="3210" t="s">
        <v>1976</v>
      </c>
      <c r="E7" s="1897">
        <f ca="1">IF(F7&lt;B2,"已过期",2002110030)</f>
        <v>2002110030</v>
      </c>
      <c r="F7" s="1906">
        <v>46387</v>
      </c>
    </row>
    <row r="8" spans="1:6" ht="24" customHeight="1">
      <c r="A8" s="3210" t="s">
        <v>1977</v>
      </c>
      <c r="B8" s="1897">
        <f ca="1">IF(C8&lt;B2,"已过期",1120000080)</f>
        <v>1120000080</v>
      </c>
      <c r="C8" s="3211">
        <v>43849</v>
      </c>
      <c r="D8" s="3210" t="s">
        <v>1977</v>
      </c>
      <c r="E8" s="1897">
        <f ca="1">IF(F8&lt;B2,"已过期",2000110082)</f>
        <v>2000110082</v>
      </c>
      <c r="F8" s="1906">
        <v>46387</v>
      </c>
    </row>
    <row r="9" spans="1:6" ht="24" customHeight="1">
      <c r="A9" s="3210" t="s">
        <v>1978</v>
      </c>
      <c r="B9" s="1897">
        <f ca="1">IF(C9&lt;B2,"已过期",1419970001)</f>
        <v>1419970001</v>
      </c>
      <c r="C9" s="3211">
        <v>43867</v>
      </c>
      <c r="D9" s="3210" t="s">
        <v>1978</v>
      </c>
      <c r="E9" s="1897">
        <f ca="1">IF(F9&lt;B2,"已过期",2002110125)</f>
        <v>2002110125</v>
      </c>
      <c r="F9" s="1906">
        <v>47118</v>
      </c>
    </row>
    <row r="10" spans="1:6" ht="24" customHeight="1">
      <c r="A10" s="3210" t="s">
        <v>1979</v>
      </c>
      <c r="B10" s="1897">
        <f ca="1">IF(C10&lt;B2,"已过期",1120060040)</f>
        <v>1120060040</v>
      </c>
      <c r="C10" s="3211">
        <v>43483</v>
      </c>
      <c r="D10" s="3210" t="s">
        <v>1979</v>
      </c>
      <c r="E10" s="1897">
        <f ca="1">IF(F10&lt;B2,"已过期",2004110096)</f>
        <v>2004110096</v>
      </c>
      <c r="F10" s="1906">
        <v>47118</v>
      </c>
    </row>
    <row r="11" spans="1:6" ht="24" customHeight="1">
      <c r="A11" s="3210" t="s">
        <v>1980</v>
      </c>
      <c r="B11" s="1897">
        <f ca="1">IF(C11&lt;B2,"已过期",1120100036)</f>
        <v>1120100036</v>
      </c>
      <c r="C11" s="3211">
        <v>43622</v>
      </c>
      <c r="D11" s="3210" t="s">
        <v>1980</v>
      </c>
      <c r="E11" s="1897">
        <f ca="1">IF(F11&lt;B2,"已过期",2010110070)</f>
        <v>2010110070</v>
      </c>
      <c r="F11" s="1906">
        <v>47907</v>
      </c>
    </row>
    <row r="12" spans="1:6" ht="24" customHeight="1">
      <c r="A12" s="3210"/>
      <c r="B12" s="1897"/>
      <c r="C12" s="3211"/>
      <c r="D12" s="3210"/>
      <c r="E12" s="1897"/>
      <c r="F12" s="1897"/>
    </row>
    <row r="13" spans="1:6" ht="24" customHeight="1">
      <c r="A13" s="3210" t="s">
        <v>1981</v>
      </c>
      <c r="B13" s="1897">
        <f ca="1">IF(C13&lt;B2,"已过期",1120070131)</f>
        <v>1120070131</v>
      </c>
      <c r="C13" s="3211">
        <v>43814</v>
      </c>
      <c r="D13" s="3210" t="s">
        <v>1981</v>
      </c>
      <c r="E13" s="1897">
        <v>2014110011</v>
      </c>
      <c r="F13" s="1906">
        <v>49302</v>
      </c>
    </row>
    <row r="14" spans="1:6" ht="24" customHeight="1">
      <c r="A14" s="3210" t="s">
        <v>1982</v>
      </c>
      <c r="B14" s="1897">
        <f ca="1">IF(C14&lt;B2,"已过期",1120130020)</f>
        <v>1120130020</v>
      </c>
      <c r="C14" s="3211">
        <v>43622</v>
      </c>
      <c r="D14" s="3210"/>
      <c r="E14" s="1897"/>
      <c r="F14" s="1897"/>
    </row>
    <row r="15" spans="1:6" ht="24" customHeight="1">
      <c r="A15" s="3212" t="s">
        <v>2705</v>
      </c>
      <c r="B15" s="1897">
        <v>1120070085</v>
      </c>
      <c r="C15" s="3211">
        <v>43814</v>
      </c>
      <c r="D15" s="3212" t="s">
        <v>2705</v>
      </c>
      <c r="E15" s="1897">
        <v>2004110128</v>
      </c>
      <c r="F15" s="1898">
        <v>47118</v>
      </c>
    </row>
    <row r="16" spans="1:6" ht="24" customHeight="1">
      <c r="A16" s="3210" t="s">
        <v>1983</v>
      </c>
      <c r="B16" s="1897">
        <f ca="1">IF(C16&lt;B2,"已过期",1120140022)</f>
        <v>1120140022</v>
      </c>
      <c r="C16" s="3211">
        <v>42987</v>
      </c>
      <c r="D16" s="3210" t="s">
        <v>1983</v>
      </c>
      <c r="E16" s="1897">
        <f ca="1">IF(F16&lt;B2,"已过期",2008110059)</f>
        <v>2008110059</v>
      </c>
      <c r="F16" s="1906">
        <v>47177</v>
      </c>
    </row>
    <row r="17" spans="1:7" ht="24" customHeight="1">
      <c r="A17" s="3210" t="s">
        <v>1984</v>
      </c>
      <c r="B17" s="1897">
        <f ca="1">IF(C17&lt;B2,"已过期",1120140020)</f>
        <v>1120140020</v>
      </c>
      <c r="C17" s="3211">
        <v>42987</v>
      </c>
      <c r="D17" s="3210"/>
      <c r="E17" s="1897"/>
      <c r="F17" s="1906"/>
    </row>
    <row r="18" spans="1:7" ht="24" customHeight="1">
      <c r="A18" s="3210" t="s">
        <v>1985</v>
      </c>
      <c r="B18" s="1897">
        <f ca="1">IF(C18&lt;B2,"已过期",1120140024)</f>
        <v>1120140024</v>
      </c>
      <c r="C18" s="3211">
        <v>42987</v>
      </c>
      <c r="D18" s="3210" t="s">
        <v>1985</v>
      </c>
      <c r="E18" s="1897">
        <f ca="1">IF(F18&lt;B2,"已过期",2011110048)</f>
        <v>2011110048</v>
      </c>
      <c r="F18" s="1906">
        <v>48302</v>
      </c>
    </row>
    <row r="19" spans="1:7" ht="24" customHeight="1">
      <c r="A19" s="3210" t="s">
        <v>1986</v>
      </c>
      <c r="B19" s="1897">
        <f ca="1">IF(C19&lt;B2,"已过期",1120140019)</f>
        <v>1120140019</v>
      </c>
      <c r="C19" s="3211">
        <v>42987</v>
      </c>
      <c r="D19" s="3210"/>
      <c r="E19" s="1897"/>
      <c r="F19" s="1897"/>
    </row>
    <row r="20" spans="1:7" ht="24" customHeight="1">
      <c r="A20" s="3210" t="s">
        <v>1987</v>
      </c>
      <c r="B20" s="1897">
        <f ca="1">IF(C20&lt;B2,"已过期",1120140023)</f>
        <v>1120140023</v>
      </c>
      <c r="C20" s="3211">
        <v>42987</v>
      </c>
      <c r="D20" s="3210"/>
      <c r="E20" s="1897"/>
      <c r="F20" s="1897"/>
    </row>
    <row r="21" spans="1:7" ht="24" customHeight="1">
      <c r="A21" s="3210"/>
      <c r="B21" s="1897"/>
      <c r="C21" s="3211"/>
      <c r="D21" s="3210" t="s">
        <v>1988</v>
      </c>
      <c r="E21" s="1897">
        <f ca="1">IF(F21&lt;B2,"已过期",2011110090)</f>
        <v>2011110090</v>
      </c>
      <c r="F21" s="1906">
        <v>48302</v>
      </c>
    </row>
    <row r="22" spans="1:7" ht="24" customHeight="1">
      <c r="A22" s="3210" t="s">
        <v>1989</v>
      </c>
      <c r="B22" s="1897">
        <f ca="1">IF(C22&lt;B2,"已过期",1120020033)</f>
        <v>1120020033</v>
      </c>
      <c r="C22" s="3211">
        <v>43304</v>
      </c>
      <c r="D22" s="3210" t="s">
        <v>1989</v>
      </c>
      <c r="E22" s="1897">
        <f ca="1">IF(F22&lt;B2,"已过期",2000110137)</f>
        <v>2000110137</v>
      </c>
      <c r="F22" s="1906">
        <v>46387</v>
      </c>
    </row>
    <row r="23" spans="1:7" ht="24" customHeight="1">
      <c r="A23" s="3210" t="s">
        <v>1990</v>
      </c>
      <c r="B23" s="1897">
        <f ca="1">IF(C23&lt;B2,"已过期",1120130048)</f>
        <v>1120130048</v>
      </c>
      <c r="C23" s="3211">
        <v>43686</v>
      </c>
      <c r="D23" s="3210"/>
      <c r="E23" s="1897"/>
      <c r="F23" s="1897"/>
    </row>
    <row r="24" spans="1:7" s="1899" customFormat="1" ht="24" customHeight="1">
      <c r="A24" s="3212" t="s">
        <v>2941</v>
      </c>
      <c r="B24" s="3212" t="s">
        <v>2941</v>
      </c>
      <c r="C24" s="3212" t="s">
        <v>2941</v>
      </c>
      <c r="D24" s="3212" t="s">
        <v>2941</v>
      </c>
      <c r="E24" s="3212" t="s">
        <v>2941</v>
      </c>
      <c r="F24" s="3212" t="s">
        <v>2941</v>
      </c>
    </row>
    <row r="25" spans="1:7" ht="24" customHeight="1">
      <c r="A25" s="3542" t="s">
        <v>1991</v>
      </c>
      <c r="B25" s="3542"/>
      <c r="C25" s="3542"/>
      <c r="D25" s="3542"/>
      <c r="E25" s="3542"/>
      <c r="F25" s="3542"/>
      <c r="G25" s="3542"/>
    </row>
    <row r="26" spans="1:7" s="1901" customFormat="1" ht="24" customHeight="1">
      <c r="A26" s="3543" t="s">
        <v>1992</v>
      </c>
      <c r="B26" s="3543"/>
      <c r="C26" s="3543"/>
      <c r="D26" s="1900"/>
      <c r="E26" s="3543" t="s">
        <v>1993</v>
      </c>
      <c r="F26" s="3543"/>
      <c r="G26" s="3543"/>
    </row>
    <row r="27" spans="1:7" s="1903" customFormat="1" ht="24" customHeight="1">
      <c r="A27" s="1902" t="s">
        <v>1994</v>
      </c>
      <c r="B27" s="1895" t="s">
        <v>1995</v>
      </c>
      <c r="C27" s="1895" t="s">
        <v>1996</v>
      </c>
      <c r="D27" s="1895"/>
      <c r="E27" s="1897" t="s">
        <v>1994</v>
      </c>
      <c r="F27" s="1895" t="s">
        <v>1995</v>
      </c>
      <c r="G27" s="1895" t="s">
        <v>1996</v>
      </c>
    </row>
    <row r="28" spans="1:7" s="1903" customFormat="1" ht="24" customHeight="1">
      <c r="A28" s="1904" t="s">
        <v>1997</v>
      </c>
      <c r="B28" s="1905" t="s">
        <v>1998</v>
      </c>
      <c r="C28" s="1906">
        <v>43725</v>
      </c>
      <c r="D28" s="1906"/>
      <c r="E28" s="1904" t="s">
        <v>1999</v>
      </c>
      <c r="F28" s="1904" t="s">
        <v>2000</v>
      </c>
      <c r="G28" s="2114">
        <v>44377</v>
      </c>
    </row>
    <row r="29" spans="1:7" s="1903" customFormat="1" ht="24" customHeight="1">
      <c r="A29" s="1904"/>
      <c r="B29" s="1904"/>
      <c r="C29" s="1907"/>
      <c r="D29" s="1907"/>
      <c r="E29" s="1904" t="s">
        <v>2001</v>
      </c>
      <c r="F29" s="2440" t="s">
        <v>3053</v>
      </c>
      <c r="G29" s="2441">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面积房号清单</vt:lpstr>
      <vt:lpstr>面积表</vt:lpstr>
      <vt:lpstr>Sheet2</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2017-08-01T05:18:21Z</dcterms:modified>
</cp:coreProperties>
</file>