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M81" i="9"/>
  <c r="L81" i="9"/>
  <c r="L94" i="9" l="1"/>
  <c r="L95" i="9" s="1"/>
  <c r="L90" i="9" l="1"/>
  <c r="B15" i="74" l="1"/>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C15" i="74" l="1"/>
  <c r="D23" i="80"/>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65" i="72"/>
  <c r="B60"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s="1"/>
  <c r="B16" i="53"/>
  <c r="B33" i="72"/>
  <c r="C7" i="37"/>
  <c r="C7" i="34"/>
  <c r="C59" i="34" s="1"/>
  <c r="C7" i="36"/>
  <c r="W35" i="40"/>
  <c r="A118" i="9"/>
  <c r="A4" i="52"/>
  <c r="B41" i="72" s="1"/>
  <c r="A12" i="52"/>
  <c r="B56"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s="1"/>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D59" i="9"/>
  <c r="M55" i="9" s="1"/>
  <c r="AD3" i="71"/>
  <c r="P22" i="43"/>
  <c r="P23" i="43"/>
  <c r="P24" i="43"/>
  <c r="B66" i="40" s="1"/>
  <c r="P25" i="43"/>
  <c r="I21" i="66"/>
  <c r="D1" i="66"/>
  <c r="C27" i="66" s="1"/>
  <c r="F3" i="73"/>
  <c r="F26" i="15"/>
  <c r="M21" i="67"/>
  <c r="M29" i="67"/>
  <c r="F38" i="67"/>
  <c r="F26" i="67"/>
  <c r="C76" i="67"/>
  <c r="F16" i="67"/>
  <c r="M9" i="15"/>
  <c r="AO12" i="1"/>
  <c r="M26" i="67"/>
  <c r="L48" i="67"/>
  <c r="D2" i="33"/>
  <c r="F36" i="67"/>
  <c r="M28" i="67"/>
  <c r="E10" i="76"/>
  <c r="D2" i="37"/>
  <c r="D6" i="73"/>
  <c r="M8" i="67"/>
  <c r="D35" i="9"/>
  <c r="M6" i="15"/>
  <c r="B12" i="76"/>
  <c r="M23" i="67"/>
  <c r="F6" i="15"/>
  <c r="F38" i="15"/>
  <c r="F8" i="15"/>
  <c r="E7" i="76"/>
  <c r="M22" i="15"/>
  <c r="C76" i="15"/>
  <c r="D34" i="9"/>
  <c r="F13" i="15"/>
  <c r="E12" i="76"/>
  <c r="AO13" i="1"/>
  <c r="M24" i="67"/>
  <c r="L47" i="15"/>
  <c r="D2" i="36"/>
  <c r="F4" i="73"/>
  <c r="M29" i="15"/>
  <c r="M9" i="67"/>
  <c r="F43" i="67"/>
  <c r="F9" i="67"/>
  <c r="D7" i="73"/>
  <c r="B8" i="76"/>
  <c r="F37" i="67"/>
  <c r="M22" i="67"/>
  <c r="AO10" i="1"/>
  <c r="F16" i="15"/>
  <c r="B9" i="76"/>
  <c r="D4" i="73"/>
  <c r="M26" i="15"/>
  <c r="B13" i="76"/>
  <c r="M28" i="15"/>
  <c r="E13" i="76"/>
  <c r="F5" i="73"/>
  <c r="E11" i="76"/>
  <c r="E9" i="76"/>
  <c r="F7" i="73"/>
  <c r="D2" i="34"/>
  <c r="D5" i="73"/>
  <c r="M23" i="15"/>
  <c r="F7" i="15"/>
  <c r="D3" i="73"/>
  <c r="F6" i="73"/>
  <c r="F43" i="15"/>
  <c r="E2" i="69"/>
  <c r="J15" i="15"/>
  <c r="F42" i="15"/>
  <c r="E2" i="68"/>
  <c r="F20" i="31"/>
  <c r="F8" i="67"/>
  <c r="F7" i="67"/>
  <c r="M6" i="67"/>
  <c r="F37" i="15"/>
  <c r="F40" i="15"/>
  <c r="L47" i="67"/>
  <c r="F42" i="67"/>
  <c r="J15" i="67"/>
  <c r="D2" i="21"/>
  <c r="M27" i="15"/>
  <c r="M27" i="67"/>
  <c r="F36" i="15"/>
  <c r="F41" i="67"/>
  <c r="F6" i="67"/>
  <c r="F13" i="67"/>
  <c r="B7" i="76"/>
  <c r="M8" i="15"/>
  <c r="AO11" i="1"/>
  <c r="E8" i="76"/>
  <c r="F40" i="67"/>
  <c r="F9" i="15"/>
  <c r="B10" i="76"/>
  <c r="M24" i="15"/>
  <c r="F35" i="67"/>
  <c r="B11" i="76"/>
  <c r="D2" i="35"/>
  <c r="D9" i="53" l="1"/>
  <c r="B25" i="72" s="1"/>
  <c r="B24" i="72"/>
  <c r="D15" i="74"/>
  <c r="E10" i="66"/>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C16" i="67"/>
  <c r="M17" i="15"/>
  <c r="F31" i="67"/>
  <c r="F59" i="67"/>
  <c r="G1" i="73"/>
  <c r="L48" i="15"/>
  <c r="F59" i="15"/>
  <c r="F31" i="15"/>
  <c r="C16" i="15"/>
  <c r="C17" i="67"/>
  <c r="C14" i="67"/>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F6" i="78"/>
  <c r="F9" i="79"/>
  <c r="M6" i="80"/>
  <c r="L47" i="80"/>
  <c r="M22" i="78"/>
  <c r="M29" i="80"/>
  <c r="M24" i="78"/>
  <c r="F40" i="80"/>
  <c r="F26" i="79"/>
  <c r="J15" i="79"/>
  <c r="C76" i="79"/>
  <c r="F43" i="80"/>
  <c r="F40" i="78"/>
  <c r="M28" i="80"/>
  <c r="C76" i="80"/>
  <c r="F38" i="78"/>
  <c r="M24" i="80"/>
  <c r="F13" i="78"/>
  <c r="M27" i="79"/>
  <c r="M9" i="79"/>
  <c r="F8" i="80"/>
  <c r="M27" i="78"/>
  <c r="M8" i="80"/>
  <c r="J15" i="78"/>
  <c r="M28" i="79"/>
  <c r="M9" i="78"/>
  <c r="F13" i="79"/>
  <c r="L48" i="78"/>
  <c r="F6" i="79"/>
  <c r="F8" i="78"/>
  <c r="M26" i="79"/>
  <c r="F38" i="80"/>
  <c r="M27" i="80"/>
  <c r="M8" i="78"/>
  <c r="F42" i="78"/>
  <c r="F37" i="78"/>
  <c r="F42" i="80"/>
  <c r="F9" i="80"/>
  <c r="F43" i="78"/>
  <c r="M22" i="79"/>
  <c r="F7" i="80"/>
  <c r="F26" i="78"/>
  <c r="L47" i="79"/>
  <c r="M26" i="80"/>
  <c r="F42" i="79"/>
  <c r="F13" i="80"/>
  <c r="M23" i="79"/>
  <c r="C76" i="78"/>
  <c r="F16" i="78"/>
  <c r="F40" i="79"/>
  <c r="F36" i="80"/>
  <c r="M26" i="78"/>
  <c r="J15" i="80"/>
  <c r="F9" i="78"/>
  <c r="M24" i="79"/>
  <c r="F36" i="79"/>
  <c r="M28" i="78"/>
  <c r="F37" i="79"/>
  <c r="M8" i="79"/>
  <c r="L47" i="78"/>
  <c r="M9" i="80"/>
  <c r="M22" i="80"/>
  <c r="M23" i="80"/>
  <c r="M23" i="78"/>
  <c r="L48" i="80"/>
  <c r="M6" i="78"/>
  <c r="F16" i="79"/>
  <c r="F36" i="78"/>
  <c r="F26" i="80"/>
  <c r="F6" i="80"/>
  <c r="F8" i="79"/>
  <c r="F7" i="78"/>
  <c r="F16" i="80"/>
  <c r="F38" i="79"/>
  <c r="L48" i="79"/>
  <c r="M29" i="78"/>
  <c r="F37" i="80"/>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F31" i="80"/>
  <c r="C16" i="78"/>
  <c r="M17" i="78"/>
  <c r="M17" i="80"/>
  <c r="F59" i="80"/>
  <c r="F31" i="78"/>
  <c r="C16" i="80"/>
  <c r="AE6" i="1"/>
  <c r="F59" i="78"/>
  <c r="C48" i="78" l="1"/>
  <c r="C66" i="78" s="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26" i="69"/>
  <c r="D22" i="69" s="1"/>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F41" i="15"/>
  <c r="F7" i="79"/>
  <c r="AE9" i="1"/>
  <c r="F43" i="79"/>
  <c r="AE7" i="1"/>
  <c r="AE8" i="1"/>
  <c r="M29" i="79"/>
  <c r="C60" i="78" l="1"/>
  <c r="F69" i="15"/>
  <c r="J29" i="15"/>
  <c r="G15" i="74"/>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41" i="80"/>
  <c r="F31" i="79"/>
  <c r="F41" i="79"/>
  <c r="C16" i="79"/>
  <c r="M17" i="79"/>
  <c r="F59" i="79"/>
  <c r="F41" i="78"/>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167" i="3"/>
  <c r="AY573" i="3"/>
  <c r="AY155"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80"/>
  <c r="C17" i="78"/>
  <c r="C17" i="15"/>
  <c r="C17" i="79"/>
  <c r="AY268" i="3" l="1"/>
  <c r="AY286" i="3"/>
  <c r="AY103" i="3"/>
  <c r="AY577" i="3"/>
  <c r="AY389" i="3"/>
  <c r="AY319" i="3"/>
  <c r="AY27" i="3"/>
  <c r="AY461" i="3"/>
  <c r="AY340" i="3"/>
  <c r="AY199" i="3"/>
  <c r="AY53" i="3"/>
  <c r="AY474" i="3"/>
  <c r="AY132" i="3"/>
  <c r="AY421" i="3"/>
  <c r="AY175" i="3"/>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7" i="74"/>
  <c r="H6" i="3"/>
  <c r="AC6" i="3"/>
  <c r="C14" i="78"/>
  <c r="C14" i="79"/>
  <c r="C14" i="80"/>
  <c r="C14" i="15"/>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I91" i="9" l="1"/>
  <c r="C91" i="9" s="1"/>
  <c r="C23" i="79"/>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F35" i="15"/>
  <c r="F35" i="78"/>
  <c r="F35" i="79"/>
  <c r="F35" i="80"/>
  <c r="M21" i="15"/>
  <c r="M21" i="78"/>
  <c r="M21" i="79"/>
  <c r="M21" i="80"/>
  <c r="C94" i="9" l="1"/>
  <c r="C92" i="9"/>
  <c r="J19" i="79"/>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79"/>
  <c r="L51" i="80"/>
  <c r="J16" i="80" l="1"/>
  <c r="J25" i="80" s="1"/>
  <c r="J16" i="79"/>
  <c r="J25" i="79" s="1"/>
  <c r="Q67" i="79"/>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15"/>
  <c r="L51" i="78"/>
  <c r="Q65" i="80" l="1"/>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7" i="1"/>
  <c r="AO8" i="1"/>
  <c r="AO6"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C19" i="9"/>
  <c r="D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l="1"/>
  <c r="H5" i="52" s="1"/>
  <c r="I118" i="9"/>
  <c r="E118" i="9" s="1"/>
  <c r="E4" i="52" s="1"/>
  <c r="B48" i="72" s="1"/>
  <c r="H101" i="9"/>
  <c r="M48" i="9" s="1"/>
  <c r="D45" i="9" s="1"/>
  <c r="D14" i="74"/>
  <c r="B5" i="74" s="1"/>
  <c r="D5" i="74" s="1"/>
  <c r="C104" i="9"/>
  <c r="D119" i="9"/>
  <c r="D5" i="52" s="1"/>
  <c r="B49" i="72" s="1"/>
  <c r="C105" i="9"/>
  <c r="F14" i="74"/>
  <c r="C5" i="74" l="1"/>
  <c r="H102" i="9"/>
  <c r="D7" i="53" s="1"/>
  <c r="B21" i="72" s="1"/>
  <c r="I4" i="52"/>
  <c r="H107" i="9"/>
  <c r="M49" i="9" s="1"/>
  <c r="C93" i="9" s="1"/>
  <c r="C86" i="9" s="1"/>
  <c r="D5" i="53"/>
  <c r="B20" i="72" s="1"/>
  <c r="E14" i="74"/>
  <c r="D53" i="9"/>
  <c r="D48" i="9" s="1"/>
  <c r="M52" i="9" s="1"/>
  <c r="C64" i="9"/>
  <c r="C63" i="9" s="1"/>
  <c r="C67" i="9" s="1"/>
  <c r="C68" i="9" s="1"/>
  <c r="D54" i="9" s="1"/>
  <c r="C78" i="9"/>
  <c r="C73" i="9" s="1"/>
  <c r="C72" i="9"/>
  <c r="D55" i="9"/>
  <c r="M53" i="9" s="1"/>
  <c r="D52" i="9"/>
  <c r="C85" i="9"/>
  <c r="C95" i="9" s="1"/>
  <c r="C96" i="9" s="1"/>
  <c r="E96" i="9" s="1"/>
  <c r="E97" i="9" s="1"/>
  <c r="D13" i="53" l="1"/>
  <c r="D6" i="53"/>
  <c r="B22" i="72" s="1"/>
  <c r="H108" i="9"/>
  <c r="D15" i="53" s="1"/>
  <c r="B31" i="72" s="1"/>
  <c r="D122" i="9"/>
  <c r="D8" i="52" s="1"/>
  <c r="L66" i="9"/>
  <c r="M66" i="9" s="1"/>
  <c r="L67" i="9"/>
  <c r="M67" i="9" s="1"/>
  <c r="L63" i="9"/>
  <c r="M63" i="9" s="1"/>
  <c r="L65" i="9"/>
  <c r="M65" i="9" s="1"/>
  <c r="L64" i="9"/>
  <c r="M64" i="9" s="1"/>
  <c r="L68" i="9"/>
  <c r="M68" i="9" s="1"/>
  <c r="C79" i="9"/>
  <c r="C97" i="9"/>
  <c r="D58" i="9" s="1"/>
  <c r="D56" i="9" s="1"/>
  <c r="M54" i="9" s="1"/>
  <c r="N57" i="9" s="1"/>
  <c r="N58" i="9" s="1"/>
  <c r="C80" i="9"/>
  <c r="E80" i="9" s="1"/>
  <c r="E81" i="9" s="1"/>
  <c r="G14" i="74" l="1"/>
  <c r="B6" i="74" s="1"/>
  <c r="D14" i="53"/>
  <c r="B32" i="72" s="1"/>
  <c r="B30" i="72"/>
  <c r="D123" i="9"/>
  <c r="D9" i="52" s="1"/>
  <c r="M69" i="9"/>
  <c r="N69" i="9" s="1"/>
  <c r="N59" i="9"/>
  <c r="P57" i="9"/>
  <c r="C81" i="9"/>
  <c r="N61" i="9" l="1"/>
  <c r="H112" i="9" s="1"/>
  <c r="D21" i="53" s="1"/>
  <c r="B39" i="72" s="1"/>
  <c r="H111" i="9"/>
  <c r="D6" i="74"/>
  <c r="C6" i="74"/>
  <c r="N60" i="9"/>
  <c r="D19" i="53" l="1"/>
  <c r="D126" i="9"/>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<sst xmlns="http://schemas.openxmlformats.org/spreadsheetml/2006/main" count="8841" uniqueCount="3250">
  <si>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</si>
  <si>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</si>
  <si>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</si>
  <si>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</si>
  <si>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</si>
  <si>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</si>
  <si>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</si>
  <si>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</si>
  <si>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</si>
  <si>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</si>
  <si>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</si>
  <si>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</si>
  <si>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</si>
  <si>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</si>
  <si>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</si>
  <si>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</si>
  <si>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</si>
  <si>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</si>
  <si>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</si>
  <si>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</si>
  <si>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</si>
  <si>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</si>
  <si>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</si>
  <si>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</si>
  <si>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</si>
  <si>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</si>
  <si>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</si>
  <si>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</si>
  <si>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</si>
  <si>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</si>
  <si>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</si>
  <si>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</si>
  <si>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</si>
  <si>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</si>
  <si>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</si>
  <si>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</si>
  <si>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</si>
  <si>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</si>
  <si>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</si>
  <si>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</si>
  <si>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</si>
  <si>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</si>
  <si>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</si>
  <si>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</si>
  <si>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</si>
  <si>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</si>
  <si>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</si>
  <si>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</si>
  <si>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</si>
  <si>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</si>
  <si>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</si>
  <si>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</si>
  <si>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</si>
  <si>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</si>
  <si>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</si>
  <si>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</si>
  <si>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</si>
  <si>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</si>
  <si>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</si>
  <si>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</si>
  <si>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</si>
  <si>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</si>
  <si>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</si>
  <si>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</si>
  <si>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</si>
  <si>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</si>
  <si>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</si>
  <si>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</si>
  <si>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</si>
  <si>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</si>
  <si>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</si>
  <si>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</si>
  <si>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</si>
  <si>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</si>
  <si>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</si>
  <si>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</si>
  <si>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</si>
  <si>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</si>
  <si>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</si>
  <si>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</si>
  <si>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</si>
  <si>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</si>
  <si>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</si>
  <si>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</si>
  <si>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</si>
  <si>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</si>
  <si>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</si>
  <si>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</si>
  <si>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</si>
  <si>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</si>
  <si>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</si>
  <si>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</si>
  <si>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</si>
  <si>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</si>
  <si>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</si>
  <si>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</si>
  <si>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</si>
  <si>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</si>
  <si>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</si>
  <si>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</si>
  <si>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</si>
  <si>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</si>
  <si>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</si>
  <si>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</si>
  <si>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</si>
  <si>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</si>
  <si>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</si>
  <si>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</si>
  <si>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</si>
  <si>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</si>
  <si>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</si>
  <si>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</si>
  <si>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</si>
  <si>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</si>
  <si>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</si>
  <si>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</si>
  <si>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</si>
  <si>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</si>
  <si>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</si>
  <si>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</si>
  <si>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</si>
  <si>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</si>
  <si>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</si>
  <si>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</si>
  <si>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</si>
  <si>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</si>
  <si>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</si>
  <si>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</si>
  <si>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</si>
  <si>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</si>
  <si>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</si>
  <si>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</si>
  <si>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</si>
  <si>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</si>
  <si>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</si>
  <si>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</si>
  <si>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</si>
  <si>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</si>
  <si>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</si>
  <si>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</si>
  <si>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</si>
  <si>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</si>
  <si>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</si>
  <si>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</si>
  <si>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</si>
  <si>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</si>
  <si>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</si>
  <si>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</si>
  <si>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</si>
  <si>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</si>
  <si>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</si>
  <si>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</si>
  <si>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</si>
  <si>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</si>
  <si>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</si>
  <si>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</si>
  <si>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</si>
  <si>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</si>
  <si>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</si>
  <si>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</si>
  <si>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</si>
  <si>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</si>
  <si>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</si>
  <si>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</si>
  <si>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</si>
  <si>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</si>
  <si>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</si>
  <si>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</si>
  <si>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</si>
  <si>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</si>
  <si>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</si>
  <si>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</si>
  <si>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</si>
  <si>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</si>
  <si>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</si>
  <si>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</si>
  <si>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</si>
  <si>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</si>
  <si>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</si>
  <si>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</si>
  <si>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</si>
  <si>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</si>
  <si>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</si>
  <si>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</si>
  <si>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</si>
  <si>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</si>
  <si>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</si>
  <si>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</si>
  <si>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</si>
  <si>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</si>
  <si>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</si>
  <si>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</si>
  <si>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</si>
  <si>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</si>
  <si>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</si>
  <si>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</si>
  <si>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</si>
  <si>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</si>
  <si>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</si>
  <si>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</si>
  <si>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</si>
  <si>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</si>
  <si>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</si>
  <si>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</si>
  <si>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</si>
  <si>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</si>
  <si>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</si>
  <si>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</si>
  <si>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</si>
  <si>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</si>
  <si>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</si>
  <si>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</si>
  <si>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</si>
  <si>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</si>
  <si>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</si>
  <si>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</si>
  <si>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</si>
  <si>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</si>
  <si>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</si>
  <si>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</si>
  <si>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</si>
  <si>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</si>
  <si>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</si>
  <si>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</si>
  <si>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</si>
  <si>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</si>
  <si>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</si>
  <si>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</si>
  <si>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</si>
  <si>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</si>
  <si>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</si>
  <si>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</si>
  <si>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</si>
  <si>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</si>
  <si>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</si>
  <si>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</si>
  <si>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</si>
  <si>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</si>
  <si>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</si>
  <si>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</si>
  <si>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</si>
  <si>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</si>
  <si>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</si>
  <si>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</si>
  <si>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</si>
  <si>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</si>
  <si>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</si>
  <si>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</si>
  <si>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</si>
  <si>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</si>
  <si>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</si>
  <si>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</si>
  <si>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</si>
  <si>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</si>
  <si>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</si>
  <si>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</si>
  <si>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</si>
  <si>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</si>
  <si>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</si>
  <si>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</si>
  <si>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</si>
  <si>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</si>
  <si>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</si>
  <si>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</si>
  <si>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</si>
  <si>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</si>
  <si>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</si>
  <si>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</si>
  <si>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</si>
  <si>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</si>
  <si>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</si>
  <si>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</si>
  <si>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</si>
  <si>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</si>
  <si>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</si>
  <si>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</si>
  <si>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</si>
  <si>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</si>
  <si>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</si>
  <si>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</si>
  <si>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</si>
  <si>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</si>
  <si>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</si>
  <si>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</si>
  <si>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</si>
  <si>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</si>
  <si>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</si>
  <si>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</si>
  <si>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</si>
  <si>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</si>
  <si>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</si>
  <si>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</si>
  <si>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</si>
  <si>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</si>
  <si>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</si>
  <si>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</si>
  <si>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</si>
  <si>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</si>
  <si>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</si>
  <si>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</si>
  <si>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</si>
  <si>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</si>
  <si>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</si>
  <si>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</si>
  <si>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</si>
  <si>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</si>
  <si>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</si>
  <si>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</si>
  <si>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</si>
  <si>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</si>
  <si>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</si>
  <si>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</si>
  <si>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</si>
  <si>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</si>
  <si>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</si>
  <si>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</si>
  <si>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</si>
  <si>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</si>
  <si>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</si>
  <si>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</si>
  <si>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</si>
  <si>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</si>
  <si>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</si>
  <si>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</si>
  <si>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</si>
  <si>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</si>
  <si>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</si>
  <si>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</si>
  <si>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</si>
  <si>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</si>
  <si>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</si>
  <si>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</si>
  <si>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</si>
  <si>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</si>
  <si>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</si>
  <si>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</si>
  <si>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</si>
  <si>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</si>
  <si>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</si>
  <si>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</si>
  <si>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</si>
  <si>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</si>
  <si>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</si>
  <si>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</si>
  <si>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</si>
  <si>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</si>
  <si>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</si>
  <si>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</si>
  <si>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</si>
  <si>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</si>
  <si>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</si>
  <si>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</si>
  <si>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</si>
  <si>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</si>
  <si>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</si>
  <si>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</si>
  <si>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</si>
  <si>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</si>
  <si>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</si>
  <si>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</si>
  <si>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</si>
  <si>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</si>
  <si>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</si>
  <si>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</si>
  <si>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</si>
  <si>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</si>
  <si>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</si>
  <si>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</si>
  <si>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</si>
  <si>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</si>
  <si>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</si>
  <si>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</si>
  <si>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</si>
  <si>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</si>
  <si>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</si>
  <si>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</si>
  <si>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</si>
  <si>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</si>
  <si>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</si>
  <si>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</si>
  <si>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</si>
  <si>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</si>
  <si>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</si>
  <si>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</si>
  <si>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</si>
  <si>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</si>
  <si>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</si>
  <si>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</si>
  <si>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</si>
  <si>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</si>
  <si>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</si>
  <si>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</si>
  <si>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</si>
  <si>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</si>
  <si>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</si>
  <si>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</si>
  <si>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</si>
  <si>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</si>
  <si>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</si>
  <si>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</si>
  <si>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</si>
  <si>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</si>
  <si>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</si>
  <si>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</si>
  <si>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</si>
  <si>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</si>
  <si>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</si>
  <si>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</si>
  <si>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</si>
  <si>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</si>
  <si>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</si>
  <si>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</si>
  <si>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</si>
  <si>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</si>
  <si>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</si>
  <si>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</si>
  <si>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</si>
  <si>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</si>
  <si>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</si>
  <si>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</si>
  <si>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</si>
  <si>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</si>
  <si>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</si>
  <si>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</si>
  <si>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</si>
  <si>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</si>
  <si>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</si>
  <si>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</si>
  <si>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</si>
  <si>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</si>
  <si>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</si>
  <si>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</si>
  <si>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</si>
  <si>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</si>
  <si>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</si>
  <si>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</si>
  <si>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</si>
  <si>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</si>
  <si>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</si>
  <si>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</si>
  <si>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</si>
  <si>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</si>
  <si>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</si>
  <si>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</si>
  <si>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</si>
  <si>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</si>
  <si>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</si>
  <si>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</si>
  <si>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</si>
  <si>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</si>
  <si>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</si>
  <si>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</si>
  <si>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</si>
  <si>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</si>
  <si>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</si>
  <si>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</si>
  <si>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</si>
  <si>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</si>
  <si>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</si>
  <si>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</si>
  <si>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</si>
  <si>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</si>
  <si>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</si>
  <si>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</si>
  <si>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</si>
  <si>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</si>
  <si>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</si>
  <si>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</si>
  <si>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</si>
  <si>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</si>
  <si>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</si>
  <si>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</si>
  <si>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</si>
  <si>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</si>
  <si>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</si>
  <si>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</si>
  <si>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</si>
  <si>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</si>
  <si>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</si>
  <si>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</si>
  <si>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</si>
  <si>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</si>
  <si>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</si>
  <si>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</si>
  <si>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</si>
  <si>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</si>
  <si>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</si>
  <si>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</si>
  <si>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</si>
  <si>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</si>
  <si>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</si>
  <si>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</si>
  <si>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</si>
  <si>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</si>
  <si>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</si>
  <si>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</si>
  <si>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</si>
  <si>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</si>
  <si>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</si>
  <si>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</si>
  <si>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</si>
  <si>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</si>
  <si>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</si>
  <si>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</si>
  <si>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</si>
  <si>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</si>
  <si>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</si>
  <si>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</si>
  <si>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</si>
  <si>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</si>
  <si>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</si>
  <si>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</si>
  <si>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</si>
  <si>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</si>
  <si>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</si>
  <si>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</si>
  <si>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</si>
  <si>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</si>
  <si>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</si>
  <si>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</si>
  <si>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</si>
  <si>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</si>
  <si>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</si>
  <si>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</si>
  <si>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</si>
  <si>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</si>
  <si>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</si>
  <si>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</si>
  <si>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</si>
  <si>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</si>
  <si>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</si>
  <si>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</si>
  <si>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</si>
  <si>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</si>
  <si>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</si>
  <si>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</si>
  <si>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</si>
  <si>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</si>
  <si>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</si>
  <si>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</si>
  <si>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</si>
  <si>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</si>
  <si>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</si>
  <si>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</si>
  <si>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</si>
  <si>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</si>
  <si>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</si>
  <si>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</si>
  <si>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</si>
  <si>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</si>
  <si>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</si>
  <si>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</si>
  <si>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</si>
  <si>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</si>
  <si>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</si>
  <si>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</si>
  <si>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</si>
  <si>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</si>
  <si>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</si>
  <si>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</si>
  <si>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</si>
  <si>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</si>
  <si>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</si>
  <si>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</si>
  <si>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</si>
  <si>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</si>
  <si>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</si>
  <si>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</si>
  <si>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</si>
  <si>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</si>
  <si>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</si>
  <si>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</si>
  <si>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</si>
  <si>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</si>
  <si>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</si>
  <si>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</si>
  <si>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</si>
  <si>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</si>
  <si>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</si>
  <si>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</si>
  <si>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</si>
  <si>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</si>
  <si>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</si>
  <si>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</si>
  <si>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</si>
  <si>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</si>
  <si>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</si>
  <si>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</si>
  <si>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</si>
  <si>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</si>
  <si>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</si>
  <si>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</si>
  <si>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</si>
  <si>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</si>
  <si>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</si>
  <si>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</si>
  <si>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</si>
  <si>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</si>
  <si>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</si>
  <si>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</si>
  <si>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</si>
  <si>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</si>
  <si>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</si>
  <si>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</si>
  <si>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</si>
  <si>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</si>
  <si>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</si>
  <si>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</si>
  <si>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</si>
  <si>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</si>
  <si>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</si>
  <si>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</si>
  <si>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</si>
  <si>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</si>
  <si>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</si>
  <si>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</si>
  <si>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</si>
  <si>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</si>
  <si>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</si>
  <si>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</si>
  <si>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</si>
  <si>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</si>
  <si>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</si>
  <si>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</si>
  <si>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</si>
  <si>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</si>
  <si>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</si>
  <si>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</si>
  <si>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</si>
  <si>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</si>
  <si>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</si>
  <si>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</si>
  <si>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</si>
  <si>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</si>
  <si>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</si>
  <si>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</si>
  <si>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</si>
  <si>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</si>
  <si>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</si>
  <si>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</si>
  <si>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</si>
  <si>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</si>
  <si>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</si>
  <si>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</si>
  <si>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</si>
  <si>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</si>
  <si>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</si>
  <si>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</si>
  <si>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</si>
  <si>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</si>
  <si>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</si>
  <si>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</si>
  <si>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</si>
  <si>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</si>
  <si>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</si>
  <si>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</si>
  <si>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</si>
  <si>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</si>
  <si>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</si>
  <si>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</si>
  <si>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</si>
  <si>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</si>
  <si>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</si>
  <si>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</si>
  <si>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</si>
  <si>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</si>
  <si>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</si>
  <si>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</si>
  <si>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</si>
  <si>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</si>
  <si>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</si>
  <si>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</si>
  <si>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</si>
  <si>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</si>
  <si>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</si>
  <si>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</si>
  <si>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</si>
  <si>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</si>
  <si>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</si>
  <si>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</si>
  <si>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</si>
  <si>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</si>
  <si>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</si>
  <si>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</si>
  <si>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</si>
  <si>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</si>
  <si>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</si>
  <si>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</si>
  <si>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</si>
  <si>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</si>
  <si>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</si>
  <si>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</si>
  <si>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</si>
  <si>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</si>
  <si>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</si>
  <si>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</si>
  <si>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</si>
  <si>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</si>
  <si>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</si>
  <si>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</si>
  <si>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</si>
  <si>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</si>
  <si>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</si>
  <si>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</si>
  <si>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</si>
  <si>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</si>
  <si>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</si>
  <si>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</si>
  <si>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</si>
  <si>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</si>
  <si>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</si>
  <si>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</si>
  <si>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</si>
  <si>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</si>
  <si>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</si>
  <si>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</si>
  <si>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</si>
  <si>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</si>
  <si>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</si>
  <si>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</si>
  <si>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</si>
  <si>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</si>
  <si>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</si>
  <si>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</si>
  <si>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</si>
  <si>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</si>
  <si>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</si>
  <si>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</si>
  <si>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</si>
  <si>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</si>
  <si>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</si>
  <si>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</si>
  <si>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</si>
  <si>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</si>
  <si>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</si>
  <si>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</si>
  <si>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</si>
  <si>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</si>
  <si>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</si>
  <si>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</si>
  <si>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</si>
  <si>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</si>
  <si>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</si>
  <si>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</si>
  <si>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</si>
  <si>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</si>
  <si>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</si>
  <si>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</si>
  <si>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</si>
  <si>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</si>
  <si>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</si>
  <si>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</si>
  <si>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</si>
  <si>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</si>
  <si>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</si>
  <si>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</si>
  <si>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</si>
  <si>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</si>
  <si>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</si>
  <si>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</si>
  <si>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</si>
  <si>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</si>
  <si>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</si>
  <si>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</si>
  <si>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</si>
  <si>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</si>
  <si>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</si>
  <si>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</si>
  <si>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</si>
  <si>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</si>
  <si>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</si>
  <si>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</si>
  <si>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</si>
  <si>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</si>
  <si>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</si>
  <si>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</si>
  <si>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</si>
  <si>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</si>
  <si>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</si>
  <si>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</si>
  <si>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</si>
  <si>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</si>
  <si>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</si>
  <si>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</si>
  <si>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</si>
  <si>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</si>
  <si>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</si>
  <si>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</si>
  <si>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</si>
  <si>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</si>
  <si>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</si>
  <si>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</si>
  <si>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</si>
  <si>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</si>
  <si>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</si>
  <si>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</si>
  <si>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</si>
  <si>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</si>
  <si>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</si>
  <si>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</si>
  <si>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</si>
  <si>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</si>
  <si>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</si>
  <si>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</si>
  <si>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</si>
  <si>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</si>
  <si>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</si>
  <si>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</si>
  <si>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</si>
  <si>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</si>
  <si>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</si>
  <si>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</si>
  <si>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</si>
  <si>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</si>
  <si>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</si>
  <si>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</si>
  <si>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</si>
  <si>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</si>
  <si>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</si>
  <si>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</si>
  <si>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</si>
  <si>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</si>
  <si>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</si>
  <si>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</si>
  <si>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</si>
  <si>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</si>
  <si>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</si>
  <si>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</si>
  <si>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</si>
  <si>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</si>
  <si>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</si>
  <si>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</si>
  <si>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</si>
  <si>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</si>
  <si>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</si>
  <si>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</si>
  <si>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</si>
  <si>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</si>
  <si>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</si>
  <si>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</si>
  <si>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</si>
  <si>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</si>
  <si>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</si>
  <si>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</si>
  <si>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</si>
  <si>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</si>
  <si>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</si>
  <si>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</si>
  <si>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</si>
  <si>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</si>
  <si>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</si>
  <si>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</si>
  <si>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</si>
  <si>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</si>
  <si>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</si>
  <si>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</si>
  <si>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</si>
  <si>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</si>
  <si>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</si>
  <si>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</si>
  <si>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</si>
  <si>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</si>
  <si>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</si>
  <si>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</si>
  <si>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</si>
  <si>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</si>
  <si>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</si>
  <si>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</si>
  <si>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</si>
  <si>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</si>
  <si>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</si>
  <si>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</si>
  <si>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</si>
  <si>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</si>
  <si>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</si>
  <si>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</si>
  <si>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</si>
  <si>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</si>
  <si>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</si>
  <si>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</si>
  <si>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</si>
  <si>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</si>
  <si>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</si>
  <si>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</si>
  <si>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</si>
  <si>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</si>
  <si>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</si>
  <si>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</si>
  <si>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</si>
  <si>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</si>
  <si>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</si>
  <si>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</si>
  <si>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</si>
  <si>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</si>
  <si>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</si>
  <si>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</si>
  <si>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</si>
  <si>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</si>
  <si>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</si>
  <si>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</si>
  <si>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</si>
  <si>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</si>
  <si>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</si>
  <si>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</si>
  <si>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</si>
  <si>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</si>
  <si>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</si>
  <si>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</si>
  <si>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</si>
  <si>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</si>
  <si>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</si>
  <si>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</si>
  <si>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</si>
  <si>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</si>
  <si>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</si>
  <si>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</si>
  <si>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</si>
  <si>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</si>
  <si>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</si>
  <si>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</si>
  <si>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</si>
  <si>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</si>
  <si>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</si>
  <si>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</si>
  <si>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</si>
  <si>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</si>
  <si>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</si>
  <si>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</si>
  <si>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</si>
  <si>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</si>
  <si>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</si>
  <si>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</si>
  <si>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</si>
  <si>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</si>
  <si>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</si>
  <si>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</si>
  <si>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</si>
  <si>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</si>
  <si>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</si>
  <si>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</si>
  <si>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</si>
  <si>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</si>
  <si>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</si>
  <si>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</si>
  <si>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</si>
  <si>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</si>
  <si>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</si>
  <si>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</si>
  <si>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</si>
  <si>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</si>
  <si>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</si>
  <si>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</si>
  <si>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</si>
  <si>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</si>
  <si>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</si>
  <si>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</si>
  <si>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</si>
  <si>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</si>
  <si>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</si>
  <si>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</si>
  <si>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</si>
  <si>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</si>
  <si>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</si>
  <si>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</si>
  <si>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</si>
  <si>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</si>
  <si>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</si>
  <si>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</si>
  <si>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</si>
  <si>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</si>
  <si>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</si>
  <si>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</si>
  <si>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</si>
  <si>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</si>
  <si>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</si>
  <si>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</si>
  <si>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</si>
  <si>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</si>
  <si>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</si>
  <si>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</si>
  <si>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</si>
  <si>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</si>
  <si>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</si>
  <si>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</si>
  <si>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</si>
  <si>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</si>
  <si>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</si>
  <si>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</si>
  <si>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</si>
  <si>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</si>
  <si>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</si>
  <si>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</si>
  <si>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</si>
  <si>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</si>
  <si>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</si>
  <si>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</si>
  <si>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</si>
  <si>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</si>
  <si>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</si>
  <si>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</si>
  <si>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</si>
  <si>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</si>
  <si>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</si>
  <si>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</si>
  <si>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</si>
  <si>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</si>
  <si>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</si>
  <si>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</si>
  <si>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</si>
  <si>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</si>
  <si>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</si>
  <si>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</si>
  <si>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</si>
  <si>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</si>
  <si>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</si>
  <si>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</si>
  <si>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</si>
  <si>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</si>
  <si>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</si>
  <si>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</si>
  <si>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</si>
  <si>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</si>
  <si>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</si>
  <si>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</si>
  <si>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</si>
  <si>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</si>
  <si>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</si>
  <si>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</si>
  <si>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</si>
  <si>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</si>
  <si>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</si>
  <si>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</si>
  <si>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</si>
  <si>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</si>
  <si>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</si>
  <si>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</si>
  <si>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</si>
  <si>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</si>
  <si>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</si>
  <si>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</si>
  <si>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</si>
  <si>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</si>
  <si>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</si>
  <si>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</si>
  <si>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</si>
  <si>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</si>
  <si>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</si>
  <si>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</si>
  <si>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</si>
  <si>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</si>
  <si>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</si>
  <si>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</si>
  <si>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</si>
  <si>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</si>
  <si>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</si>
  <si>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</si>
  <si>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</si>
  <si>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</si>
  <si>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</si>
  <si>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</si>
  <si>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</si>
  <si>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</si>
  <si>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</si>
  <si>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</si>
  <si>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</si>
  <si>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</si>
  <si>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</si>
  <si>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</si>
  <si>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</si>
  <si>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</si>
  <si>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</si>
  <si>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</si>
  <si>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</si>
  <si>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</si>
  <si>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</si>
  <si>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</si>
  <si>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</si>
  <si>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</si>
  <si>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</si>
  <si>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</si>
  <si>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</si>
  <si>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</si>
  <si>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</si>
  <si>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</si>
  <si>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</si>
  <si>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</si>
  <si>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</si>
  <si>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</si>
  <si>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</si>
  <si>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</si>
  <si>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</si>
  <si>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</si>
  <si>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</si>
  <si>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</si>
  <si>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</si>
  <si>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</si>
  <si>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</si>
  <si>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</si>
  <si>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</si>
  <si>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</si>
  <si>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</si>
  <si>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</si>
  <si>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</si>
  <si>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</si>
  <si>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</si>
  <si>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</si>
  <si>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</si>
  <si>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</si>
  <si>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</si>
  <si>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</si>
  <si>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</si>
  <si>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</si>
  <si>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</si>
  <si>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</si>
  <si>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</si>
  <si>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</si>
  <si>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</si>
  <si>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</si>
  <si>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</si>
  <si>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</si>
  <si>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</si>
  <si>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</si>
  <si>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</si>
  <si>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</si>
  <si>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</si>
  <si>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</si>
  <si>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</si>
  <si>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</si>
  <si>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</si>
  <si>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</si>
  <si>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</si>
  <si>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</si>
  <si>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</si>
  <si>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</si>
  <si>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</si>
  <si>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</si>
  <si>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</si>
  <si>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</si>
  <si>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</si>
  <si>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</si>
  <si>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</si>
  <si>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</si>
  <si>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</si>
  <si>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</si>
  <si>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</si>
  <si>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</si>
  <si>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</si>
  <si>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</si>
  <si>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</si>
  <si>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</si>
  <si>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</si>
  <si>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</si>
  <si>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</si>
  <si>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</si>
  <si>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</si>
  <si>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</si>
  <si>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</si>
  <si>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</si>
  <si>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</si>
  <si>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</si>
  <si>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</si>
  <si>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</si>
  <si>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</si>
  <si>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</si>
  <si>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</si>
  <si>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</si>
  <si>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</si>
  <si>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</si>
  <si>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</si>
  <si>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</si>
  <si>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</si>
  <si>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</si>
  <si>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</si>
  <si>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</si>
  <si>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</si>
  <si>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</si>
  <si>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</si>
  <si>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</si>
  <si>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</si>
  <si>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</si>
  <si>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</si>
  <si>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</si>
  <si>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</si>
  <si>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</si>
  <si>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</si>
  <si>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</si>
  <si>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</si>
  <si>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</si>
  <si>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</si>
  <si>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</si>
  <si>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</si>
  <si>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</si>
  <si>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</si>
  <si>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</si>
  <si>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</si>
  <si>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</si>
  <si>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</si>
  <si>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</si>
  <si>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</si>
  <si>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</si>
  <si>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</si>
  <si>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</si>
  <si>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</si>
  <si>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</si>
  <si>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</si>
  <si>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</si>
  <si>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</si>
  <si>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</si>
  <si>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</si>
  <si>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</si>
  <si>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</si>
  <si>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</si>
  <si>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</si>
  <si>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</si>
  <si>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</si>
  <si>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</si>
  <si>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</si>
  <si>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</si>
  <si>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</si>
  <si>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</si>
  <si>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</si>
  <si>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</si>
  <si>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</si>
  <si>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</si>
  <si>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</si>
  <si>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</si>
  <si>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</si>
  <si>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</si>
  <si>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</si>
  <si>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</si>
  <si>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</si>
  <si>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</si>
  <si>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</si>
  <si>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</si>
  <si>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</si>
  <si>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</si>
  <si>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</si>
  <si>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</si>
  <si>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</si>
  <si>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</si>
  <si>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</si>
  <si>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</si>
  <si>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</si>
  <si>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</si>
  <si>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</si>
  <si>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</si>
  <si>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</si>
  <si>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</si>
  <si>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</si>
  <si>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</si>
  <si>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</si>
  <si>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</si>
  <si>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</si>
  <si>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</si>
  <si>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</si>
  <si>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</si>
  <si>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</si>
  <si>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</si>
  <si>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</si>
  <si>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</si>
  <si>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</si>
  <si>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</si>
  <si>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</si>
  <si>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</si>
  <si>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</si>
  <si>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</si>
  <si>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</si>
  <si>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</si>
  <si>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</si>
  <si>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</si>
  <si>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</si>
  <si>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</si>
  <si>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</si>
  <si>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</si>
  <si>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</si>
  <si>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</si>
  <si>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</si>
  <si>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</si>
  <si>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</si>
  <si>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</si>
  <si>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</si>
  <si>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</si>
  <si>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</si>
  <si>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</si>
  <si>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</si>
  <si>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</si>
  <si>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</si>
  <si>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</si>
  <si>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</si>
  <si>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</si>
  <si>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</si>
  <si>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</si>
  <si>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</si>
  <si>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</si>
  <si>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</si>
  <si>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</si>
  <si>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</si>
  <si>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</si>
  <si>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</si>
  <si>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</si>
  <si>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</si>
  <si>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</si>
  <si>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</si>
  <si>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</si>
  <si>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</si>
  <si>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</si>
  <si>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</si>
  <si>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</si>
  <si>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</si>
  <si>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</si>
  <si>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</si>
  <si>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</si>
  <si>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</si>
  <si>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</si>
  <si>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</si>
  <si>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</si>
  <si>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</si>
  <si>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</si>
  <si>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</si>
  <si>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</si>
  <si>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</si>
  <si>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</si>
  <si>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</si>
  <si>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</si>
  <si>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</si>
  <si>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</si>
  <si>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</si>
  <si>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</si>
  <si>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</si>
  <si>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</si>
  <si>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</si>
  <si>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</si>
  <si>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</si>
  <si>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</si>
  <si>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</si>
  <si>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</si>
  <si>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</si>
  <si>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</si>
  <si>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</si>
  <si>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</si>
  <si>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</si>
  <si>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</si>
  <si>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</si>
  <si>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</si>
  <si>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</si>
  <si>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</si>
  <si>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</si>
  <si>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</si>
  <si>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</si>
  <si>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</si>
  <si>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</si>
  <si>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</si>
  <si>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</si>
  <si>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</si>
  <si>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</si>
  <si>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</si>
  <si>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</si>
  <si>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</si>
  <si>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</si>
  <si>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</si>
  <si>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</si>
  <si>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</si>
  <si>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</si>
  <si>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</si>
  <si>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</si>
  <si>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</si>
  <si>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</si>
  <si>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</si>
  <si>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</si>
  <si>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</si>
  <si>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</si>
  <si>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</si>
  <si>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</si>
  <si>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</si>
  <si>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</si>
  <si>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</si>
  <si>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</si>
  <si>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</si>
  <si>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</si>
  <si>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</si>
  <si>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</si>
  <si>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</si>
  <si>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</si>
  <si>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</si>
  <si>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</si>
  <si>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</si>
  <si>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</si>
  <si>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</si>
  <si>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</si>
  <si>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</si>
  <si>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</si>
  <si>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</si>
  <si>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</si>
  <si>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</si>
  <si>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</si>
  <si>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</si>
  <si>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</si>
  <si>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</si>
  <si>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</si>
  <si>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</si>
  <si>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</si>
  <si>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</si>
  <si>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</si>
  <si>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</si>
  <si>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</si>
  <si>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</si>
  <si>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</si>
  <si>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</si>
  <si>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</si>
  <si>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</si>
  <si>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</si>
  <si>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</si>
  <si>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</si>
  <si>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</si>
  <si>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</si>
  <si>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</si>
  <si>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</si>
  <si>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</si>
  <si>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</si>
  <si>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</si>
  <si>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</si>
  <si>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</si>
  <si>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</si>
  <si>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</si>
  <si>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</si>
  <si>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</si>
  <si>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</si>
  <si>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</si>
  <si>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</si>
  <si>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</si>
  <si>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</si>
  <si>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</si>
  <si>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</si>
  <si>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</si>
  <si>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</si>
  <si>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</si>
  <si>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</si>
  <si>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</si>
  <si>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</si>
  <si>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</si>
  <si>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</si>
  <si>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</si>
  <si>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</si>
  <si>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</si>
  <si>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</si>
  <si>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</si>
  <si>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</si>
  <si>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</si>
  <si>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</si>
  <si>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</si>
  <si>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</si>
  <si>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</si>
  <si>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</si>
  <si>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</si>
  <si>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</si>
  <si>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</si>
  <si>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</si>
  <si>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</si>
  <si>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</si>
  <si>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</si>
  <si>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</si>
  <si>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</si>
  <si>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</si>
  <si>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</si>
  <si>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</si>
  <si>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</si>
  <si>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</si>
  <si>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</si>
  <si>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</si>
  <si>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</si>
  <si>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</si>
  <si>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</si>
  <si>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</si>
  <si>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</si>
  <si>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</si>
  <si>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</si>
  <si>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</si>
  <si>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</si>
  <si>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</si>
  <si>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</si>
  <si>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</si>
  <si>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</si>
  <si>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</si>
  <si>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</si>
  <si>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</si>
  <si>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</si>
  <si>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</si>
  <si>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</si>
  <si>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</si>
  <si>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</si>
  <si>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</si>
  <si>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</si>
  <si>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</si>
  <si>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</si>
  <si>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</si>
  <si>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</si>
  <si>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</si>
  <si>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</si>
  <si>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</si>
  <si>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</si>
  <si>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</si>
  <si>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</si>
  <si>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</si>
  <si>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</si>
  <si>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</si>
  <si>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</si>
  <si>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</si>
  <si>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</si>
  <si>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</si>
  <si>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</si>
  <si>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</si>
  <si>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</si>
  <si>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</si>
  <si>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</si>
  <si>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</si>
  <si>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</si>
  <si>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</si>
  <si>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</si>
  <si>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</si>
  <si>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</si>
  <si>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</si>
  <si>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</si>
  <si>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</si>
  <si>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</si>
  <si>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</si>
  <si>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</si>
  <si>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</si>
  <si>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</si>
  <si>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</si>
  <si>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</si>
  <si>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</si>
  <si>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</si>
  <si>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</si>
  <si>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</si>
  <si>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</si>
  <si>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</si>
  <si>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</si>
  <si>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</si>
  <si>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</si>
  <si>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</si>
  <si>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</si>
  <si>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</si>
  <si>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</si>
  <si>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</si>
  <si>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</si>
  <si>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</si>
  <si>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</si>
  <si>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</si>
  <si>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</si>
  <si>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</si>
  <si>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</si>
  <si>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</si>
  <si>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</si>
  <si>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</si>
  <si>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</si>
  <si>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</si>
  <si>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</si>
  <si>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</si>
  <si>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</si>
  <si>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</si>
  <si>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</si>
  <si>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</si>
  <si>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</si>
  <si>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</si>
  <si>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</si>
  <si>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</si>
  <si>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</si>
  <si>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</si>
  <si>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</si>
  <si>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</si>
  <si>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</si>
  <si>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</si>
  <si>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</si>
  <si>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</si>
  <si>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</si>
  <si>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</si>
  <si>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</si>
  <si>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</si>
  <si>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</si>
  <si>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</si>
  <si>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</si>
  <si>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</si>
  <si>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</si>
  <si>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</si>
  <si>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</si>
  <si>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</si>
  <si>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</si>
  <si>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</si>
  <si>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</si>
  <si>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</si>
  <si>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</si>
  <si>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</si>
  <si>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</si>
  <si>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</si>
  <si>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</si>
  <si>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</si>
  <si>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</si>
  <si>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</si>
  <si>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</si>
  <si>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</si>
  <si>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</si>
  <si>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</si>
  <si>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</si>
  <si>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</si>
  <si>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</si>
  <si>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</si>
  <si>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</si>
  <si>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</si>
  <si>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</si>
  <si>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</si>
  <si>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</si>
  <si>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</si>
  <si>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</si>
  <si>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</si>
  <si>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</si>
  <si>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</si>
  <si>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</si>
  <si>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</si>
  <si>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</si>
  <si>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</si>
  <si>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</si>
  <si>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</si>
  <si>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</si>
  <si>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</si>
  <si>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</si>
  <si>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</si>
  <si>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</si>
  <si>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</si>
  <si>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</si>
  <si>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</si>
  <si>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</si>
  <si>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</si>
  <si>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</si>
  <si>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</si>
  <si>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</si>
  <si>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</si>
  <si>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</si>
  <si>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</si>
  <si>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</si>
  <si>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</si>
  <si>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</si>
  <si>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</si>
  <si>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</si>
  <si>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</si>
  <si>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</si>
  <si>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</si>
  <si>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</si>
  <si>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</si>
  <si>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</si>
  <si>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</si>
  <si>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</si>
  <si>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</si>
  <si>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</si>
  <si>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</si>
  <si>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</si>
  <si>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</si>
  <si>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</si>
  <si>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</si>
  <si>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</si>
  <si>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</si>
  <si>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</si>
  <si>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</si>
  <si>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</si>
  <si>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</si>
  <si>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</si>
  <si>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</si>
  <si>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</si>
  <si>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</si>
  <si>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</si>
  <si>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</si>
  <si>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</si>
  <si>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</si>
  <si>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</si>
  <si>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</si>
  <si>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</si>
  <si>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</si>
  <si>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</si>
  <si>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</si>
  <si>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</si>
  <si>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</si>
  <si>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</si>
  <si>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</si>
  <si>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</si>
  <si>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</si>
  <si>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</si>
  <si>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</si>
  <si>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</si>
  <si>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</si>
  <si>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</si>
  <si>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</si>
  <si>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</si>
  <si>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</si>
  <si>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</si>
  <si>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</si>
  <si>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</si>
  <si>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</si>
  <si>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</si>
  <si>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</si>
  <si>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</si>
  <si>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</si>
  <si>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</si>
  <si>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</si>
  <si>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</si>
  <si>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</si>
  <si>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</si>
  <si>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</si>
  <si>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</si>
  <si>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</si>
  <si>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</si>
  <si>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</si>
  <si>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</si>
  <si>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</si>
  <si>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</si>
  <si>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</si>
  <si>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</si>
  <si>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</si>
  <si>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</si>
  <si>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</si>
  <si>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</si>
  <si>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</si>
  <si>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</si>
  <si>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</si>
  <si>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</si>
  <si>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</si>
  <si>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</si>
  <si>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</si>
  <si>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</si>
  <si>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</si>
  <si>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</si>
  <si>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</si>
  <si>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</si>
  <si>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</si>
  <si>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</si>
  <si>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</si>
  <si>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</si>
  <si>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</si>
  <si>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</si>
  <si>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</si>
  <si>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</si>
  <si>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</si>
  <si>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</si>
  <si>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</si>
  <si>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</si>
  <si>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</si>
  <si>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</si>
  <si>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</si>
  <si>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</si>
  <si>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</si>
  <si>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</si>
  <si>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</si>
  <si>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</si>
  <si>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</si>
  <si>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</si>
  <si>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</si>
  <si>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</si>
  <si>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</si>
  <si>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</si>
  <si>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</si>
  <si>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</si>
  <si>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</si>
  <si>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</si>
  <si>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</si>
  <si>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</si>
  <si>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</si>
  <si>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</si>
  <si>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</si>
  <si>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</si>
  <si>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</si>
  <si>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</si>
  <si>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</si>
  <si>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</si>
  <si>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</si>
  <si>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</si>
  <si>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</si>
  <si>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</si>
  <si>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</si>
  <si>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</si>
  <si>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</si>
  <si>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</si>
  <si>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</si>
  <si>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</si>
  <si>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</si>
  <si>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</si>
  <si>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</si>
  <si>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</si>
  <si>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</si>
  <si>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</si>
  <si>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</si>
  <si>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</si>
  <si>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</si>
  <si>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</si>
  <si>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</si>
  <si>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</si>
  <si>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</si>
  <si>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</si>
  <si>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</si>
  <si>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</si>
  <si>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</si>
  <si>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</si>
  <si>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</si>
  <si>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</si>
  <si>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</si>
  <si>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</si>
  <si>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</si>
  <si>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</si>
  <si>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</si>
  <si>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</si>
  <si>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</si>
  <si>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</si>
  <si>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</si>
  <si>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</si>
  <si>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</si>
  <si>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</si>
  <si>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</si>
  <si>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</si>
  <si>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</si>
  <si>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</si>
  <si>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</si>
  <si>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</si>
  <si>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</si>
  <si>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</si>
  <si>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</si>
  <si>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</si>
  <si>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</si>
  <si>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</si>
  <si>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</si>
  <si>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</si>
  <si>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</si>
  <si>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</si>
  <si>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</si>
  <si>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</si>
  <si>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</si>
  <si>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</si>
  <si>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</si>
  <si>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</si>
  <si>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</si>
  <si>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</si>
  <si>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</si>
  <si>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</si>
  <si>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</si>
  <si>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</si>
  <si>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</si>
  <si>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</si>
  <si>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</si>
  <si>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</si>
  <si>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</si>
  <si>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</si>
  <si>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</si>
  <si>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</si>
  <si>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</si>
  <si>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</si>
  <si>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</si>
  <si>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</si>
  <si>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</si>
  <si>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</si>
  <si>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</si>
  <si>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</si>
  <si>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</si>
  <si>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</si>
  <si>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</si>
  <si>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</si>
  <si>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</si>
  <si>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</si>
  <si>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</si>
  <si>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</si>
  <si>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</si>
  <si>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</si>
  <si>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</si>
  <si>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</si>
  <si>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</si>
  <si>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</si>
  <si>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</si>
  <si>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</si>
  <si>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</si>
  <si>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</si>
  <si>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</si>
  <si>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</si>
  <si>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</si>
  <si>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</si>
  <si>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</si>
  <si>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</si>
  <si>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</si>
  <si>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</si>
  <si>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</si>
  <si>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</si>
  <si>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</si>
  <si>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</si>
  <si>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</si>
  <si>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</si>
  <si>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</si>
  <si>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</si>
  <si>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</si>
  <si>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</si>
  <si>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</si>
  <si>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</si>
  <si>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</si>
  <si>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</si>
  <si>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</si>
  <si>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</si>
  <si>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</si>
  <si>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</si>
  <si>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</si>
  <si>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</si>
  <si>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</si>
  <si>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</si>
  <si>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</si>
  <si>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</si>
  <si>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</si>
  <si>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</si>
  <si>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</si>
  <si>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</si>
  <si>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</si>
  <si>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</si>
  <si>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</si>
  <si>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</si>
  <si>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</si>
  <si>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</si>
  <si>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</si>
  <si>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</si>
  <si>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</si>
  <si>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</si>
  <si>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</si>
  <si>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</si>
  <si>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</si>
  <si>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</si>
  <si>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</si>
  <si>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</si>
  <si>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</si>
  <si>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</si>
  <si>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</si>
  <si>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</si>
  <si>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</si>
  <si>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</si>
  <si>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</si>
  <si>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</si>
  <si>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</si>
  <si>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</si>
  <si>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</si>
  <si>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</si>
  <si>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</si>
  <si>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</si>
  <si>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</si>
  <si>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</si>
  <si>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</si>
  <si>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</si>
  <si>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</si>
  <si>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</si>
  <si>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</si>
  <si>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</si>
  <si>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</si>
  <si>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</si>
  <si>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</si>
  <si>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</si>
  <si>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</si>
  <si>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</si>
  <si>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</si>
  <si>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</si>
  <si>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</si>
  <si>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</si>
  <si>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</si>
  <si>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</si>
  <si>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</si>
  <si>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</si>
  <si>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</si>
  <si>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</si>
  <si>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</si>
  <si>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</si>
  <si>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</si>
  <si>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</si>
  <si>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</si>
  <si>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</si>
  <si>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</si>
  <si>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</si>
  <si>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</si>
  <si>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</si>
  <si>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</si>
  <si>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</si>
  <si>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</si>
  <si>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</si>
  <si>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</si>
  <si>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</si>
  <si>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</si>
  <si>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</si>
  <si>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</si>
  <si>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</si>
  <si>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</si>
  <si>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</si>
  <si>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</si>
  <si>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</si>
  <si>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</si>
  <si>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</si>
  <si>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</si>
  <si>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</si>
  <si>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</si>
  <si>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</si>
  <si>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</si>
  <si>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</si>
  <si>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</si>
  <si>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</si>
  <si>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</si>
  <si>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</si>
  <si>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</si>
  <si>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</si>
  <si>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</si>
  <si>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</si>
  <si>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</si>
  <si>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</si>
  <si>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</si>
  <si>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</si>
  <si>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</si>
  <si>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</si>
  <si>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</si>
  <si>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</si>
  <si>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</si>
  <si>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</si>
  <si>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</si>
  <si>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</si>
  <si>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</si>
  <si>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</si>
  <si>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</si>
  <si>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</si>
  <si>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</si>
  <si>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</si>
  <si>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</si>
  <si>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</si>
  <si>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</si>
  <si>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</si>
  <si>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</si>
  <si>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</si>
  <si>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</si>
  <si>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</si>
  <si>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</si>
  <si>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</si>
  <si>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</si>
  <si>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</si>
  <si>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</si>
  <si>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</si>
  <si>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</si>
  <si>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</si>
  <si>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</si>
  <si>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</si>
  <si>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</si>
  <si>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</si>
  <si>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</si>
  <si>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</si>
  <si>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</si>
  <si>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</si>
  <si>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</si>
  <si>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</si>
  <si>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</si>
  <si>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</si>
  <si>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</si>
  <si>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</si>
  <si>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</si>
  <si>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</si>
  <si>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</si>
  <si>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</si>
  <si>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</si>
  <si>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</si>
  <si>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</si>
  <si>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</si>
  <si>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</si>
  <si>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</si>
  <si>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</si>
  <si>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</si>
  <si>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</si>
  <si>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</si>
  <si>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</si>
  <si>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</si>
  <si>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</si>
  <si>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</si>
  <si>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</si>
  <si>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</si>
  <si>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</si>
  <si>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</si>
  <si>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</si>
  <si>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</si>
  <si>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</si>
  <si>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</si>
  <si>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</si>
  <si>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</si>
  <si>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</si>
  <si>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</si>
  <si>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</si>
  <si>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</si>
  <si>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</si>
  <si>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</si>
  <si>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</si>
  <si>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</si>
  <si>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</si>
  <si>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</si>
  <si>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</si>
  <si>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</si>
  <si>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</si>
  <si>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</si>
  <si>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</si>
  <si>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</si>
  <si>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</si>
  <si>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</si>
  <si>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</si>
  <si>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</si>
  <si>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</si>
  <si>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</si>
  <si>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</si>
  <si>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</si>
  <si>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</si>
  <si>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</si>
  <si>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</si>
  <si>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</si>
  <si>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</si>
  <si>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</si>
  <si>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</si>
  <si>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</si>
  <si>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</si>
  <si>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</si>
  <si>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</si>
  <si>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</si>
  <si>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</si>
  <si>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</si>
  <si>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</si>
  <si>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</si>
  <si>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</si>
  <si>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</si>
  <si>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</si>
  <si>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</si>
  <si>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</si>
  <si>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</si>
  <si>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</si>
  <si>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</si>
  <si>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</si>
  <si>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</si>
  <si>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</si>
  <si>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</si>
  <si>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</si>
  <si>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</si>
  <si>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</si>
  <si>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</si>
  <si>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</si>
  <si>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</si>
  <si>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</si>
  <si>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</si>
  <si>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</si>
  <si>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</si>
  <si>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</si>
  <si>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</si>
  <si>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</si>
  <si>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</si>
  <si>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</si>
  <si>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</si>
  <si>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</si>
  <si>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</si>
  <si>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</si>
  <si>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</si>
  <si>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</si>
  <si>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</si>
  <si>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</si>
  <si>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</si>
  <si>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</si>
  <si>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</si>
  <si>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</si>
  <si>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</si>
  <si>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</si>
  <si>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</si>
  <si>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</si>
  <si>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</si>
  <si>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</si>
  <si>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</si>
  <si>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</si>
  <si>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</si>
  <si>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</si>
  <si>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</si>
  <si>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</si>
  <si>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</si>
  <si>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</si>
  <si>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</si>
  <si>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</si>
  <si>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</si>
  <si>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</si>
  <si>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</si>
  <si>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</si>
  <si>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</si>
  <si>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</si>
  <si>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</si>
  <si>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</si>
  <si>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</si>
  <si>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</si>
  <si>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</si>
  <si>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</si>
  <si>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</si>
  <si>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</si>
  <si>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</si>
  <si>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</si>
  <si>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</si>
  <si>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</si>
  <si>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</si>
  <si>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</si>
  <si>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</si>
  <si>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</si>
  <si>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</si>
  <si>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</si>
  <si>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</si>
  <si>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</si>
  <si>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</si>
  <si>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</si>
  <si>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</si>
  <si>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</si>
  <si>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</si>
  <si>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</si>
  <si>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</si>
  <si>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</si>
  <si>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</si>
  <si>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</si>
  <si>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</si>
  <si>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</si>
  <si>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</si>
  <si>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</si>
  <si>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</si>
  <si>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</si>
  <si>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</si>
  <si>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</si>
  <si>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</si>
  <si>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</si>
  <si>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</si>
  <si>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</si>
  <si>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</si>
  <si>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</si>
  <si>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</si>
  <si>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</si>
  <si>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</si>
  <si>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</si>
  <si>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</si>
  <si>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</si>
  <si>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</si>
  <si>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</si>
  <si>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</si>
  <si>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</si>
  <si>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</si>
  <si>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</si>
  <si>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</si>
  <si>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</si>
  <si>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</si>
  <si>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</si>
  <si>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</si>
  <si>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</si>
  <si>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</si>
  <si>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</si>
  <si>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</si>
  <si>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</si>
  <si>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</si>
  <si>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</si>
  <si>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</si>
  <si>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</si>
  <si>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</si>
  <si>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</si>
  <si>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</si>
  <si>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</si>
  <si>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</si>
  <si>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</si>
  <si>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</si>
  <si>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</si>
  <si>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</si>
  <si>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</si>
  <si>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</si>
  <si>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</si>
  <si>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</si>
  <si>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</si>
  <si>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</si>
  <si>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</si>
  <si>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</si>
  <si>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</si>
  <si>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</si>
  <si>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</si>
  <si>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</si>
  <si>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</si>
  <si>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</si>
  <si>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</si>
  <si>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</si>
  <si>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</si>
  <si>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</si>
  <si>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</si>
  <si>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</si>
  <si>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</si>
  <si>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</si>
  <si>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</si>
  <si>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</si>
  <si>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</si>
  <si>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</si>
  <si>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</si>
  <si>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</si>
  <si>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</si>
  <si>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</si>
  <si>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</si>
  <si>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</si>
  <si>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</si>
  <si>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</si>
  <si>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</si>
  <si>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</si>
  <si>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</si>
  <si>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</si>
  <si>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</si>
  <si>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</si>
  <si>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</si>
  <si>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</si>
  <si>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</si>
  <si>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</si>
  <si>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</si>
  <si>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</si>
  <si>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</si>
  <si>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</si>
  <si>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</si>
  <si>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</si>
  <si>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</si>
  <si>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</si>
  <si>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</si>
  <si>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</si>
  <si>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</si>
  <si>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</si>
  <si>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</si>
  <si>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</si>
  <si>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</si>
  <si>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</si>
  <si>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</si>
  <si>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</si>
  <si>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</si>
  <si>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</si>
  <si>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</si>
  <si>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</si>
  <si>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</si>
  <si>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</si>
  <si>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</si>
  <si>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</si>
  <si>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</si>
  <si>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</si>
  <si>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</si>
  <si>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</si>
  <si>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</si>
  <si>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</si>
  <si>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</si>
  <si>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</si>
  <si>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</si>
  <si>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</si>
  <si>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</si>
  <si>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</si>
  <si>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</si>
  <si>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</si>
  <si>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</si>
  <si>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</si>
  <si>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</si>
  <si>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</si>
  <si>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</si>
  <si>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</si>
  <si>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</si>
  <si>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</si>
  <si>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</si>
  <si>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</si>
  <si>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</si>
  <si>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</si>
  <si>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</si>
  <si>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</si>
  <si>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</si>
  <si>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</si>
  <si>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</si>
  <si>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</si>
  <si>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</si>
  <si>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</si>
  <si>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</si>
  <si>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</si>
  <si>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</si>
  <si>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</si>
  <si>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</si>
  <si>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</si>
  <si>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</si>
  <si>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</si>
  <si>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</si>
  <si>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</si>
  <si>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</si>
  <si>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</si>
  <si>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</si>
  <si>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</si>
  <si>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</si>
  <si>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</si>
  <si>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</si>
  <si>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</si>
  <si>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</si>
  <si>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</si>
  <si>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</si>
  <si>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</si>
  <si>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</si>
  <si>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</si>
  <si>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</si>
  <si>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</si>
  <si>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</si>
  <si>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</si>
  <si>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</si>
  <si>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</si>
  <si>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</si>
  <si>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</si>
  <si>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</si>
  <si>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</si>
  <si>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</si>
  <si>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</si>
  <si>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</si>
  <si>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</si>
  <si>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</si>
  <si>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</si>
  <si>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</si>
  <si>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</si>
  <si>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</si>
  <si>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</si>
  <si>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</si>
  <si>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</si>
  <si>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</si>
  <si>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</si>
  <si>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</si>
  <si>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</si>
  <si>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</si>
  <si>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</si>
  <si>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</si>
  <si>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</si>
  <si>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</si>
  <si>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</si>
  <si>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</si>
  <si>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</si>
  <si>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</si>
  <si>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</si>
  <si>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</si>
  <si>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</si>
  <si>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</si>
  <si>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</si>
  <si>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</si>
  <si>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</si>
  <si>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</si>
  <si>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</si>
  <si>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</si>
  <si>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</si>
  <si>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</si>
  <si>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</si>
  <si>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</si>
  <si>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</si>
  <si>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</si>
  <si>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</si>
  <si>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</si>
  <si>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</si>
  <si>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</si>
  <si>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</si>
  <si>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</si>
  <si>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</si>
  <si>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</si>
  <si>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</si>
  <si>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</si>
  <si>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</si>
  <si>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</si>
  <si>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</si>
  <si>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</si>
  <si>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</si>
  <si>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</si>
  <si>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</si>
  <si>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</si>
  <si>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</si>
  <si>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</si>
  <si>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</si>
  <si>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</si>
  <si>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</si>
  <si>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</si>
  <si>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</si>
  <si>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</si>
  <si>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</si>
  <si>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</si>
  <si>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</si>
  <si>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</si>
  <si>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</si>
  <si>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</si>
  <si>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</si>
  <si>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</si>
  <si>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</si>
  <si>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</si>
  <si>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</si>
  <si>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</si>
  <si>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</si>
  <si>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</si>
  <si>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</si>
  <si>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</si>
  <si>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</si>
  <si>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</si>
  <si>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</si>
  <si>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</si>
  <si>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</si>
  <si>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</si>
  <si>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</si>
  <si>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</si>
  <si>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</si>
  <si>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</si>
  <si>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</si>
  <si>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</si>
  <si>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</si>
  <si>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</si>
  <si>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</si>
  <si>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</si>
  <si>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</si>
  <si>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</si>
  <si>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</si>
  <si>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</si>
  <si>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</si>
  <si>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</si>
  <si>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</si>
  <si>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</si>
  <si>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</si>
  <si>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</si>
  <si>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</si>
  <si>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</si>
  <si>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</si>
  <si>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</si>
  <si>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</si>
  <si>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</si>
  <si>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</si>
  <si>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</si>
  <si>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</si>
  <si>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</si>
  <si>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</si>
  <si>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</si>
  <si>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</si>
  <si>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</si>
  <si>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</si>
  <si>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</si>
  <si>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</si>
  <si>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</si>
  <si>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</si>
  <si>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</si>
  <si>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</si>
  <si>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</si>
  <si>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</si>
  <si>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</si>
  <si>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</si>
  <si>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</si>
  <si>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</si>
  <si>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</si>
  <si>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</si>
  <si>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</si>
  <si>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</si>
  <si>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</si>
  <si>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</si>
  <si>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</si>
  <si>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</si>
  <si>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</si>
  <si>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</si>
  <si>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</si>
  <si>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</si>
  <si>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</si>
  <si>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</si>
  <si>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</si>
  <si>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</si>
  <si>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</si>
  <si>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</si>
  <si>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</si>
  <si>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</si>
  <si>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</si>
  <si>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</si>
  <si>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</si>
  <si>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</si>
  <si>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</si>
  <si>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</si>
  <si>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</si>
  <si>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</si>
  <si>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</si>
  <si>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</si>
  <si>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</si>
  <si>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</si>
  <si>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</si>
  <si>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</si>
  <si>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</si>
  <si>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</si>
  <si>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</si>
  <si>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</si>
  <si>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</si>
  <si>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</si>
  <si>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</si>
  <si>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</si>
  <si>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</si>
  <si>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</si>
  <si>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</si>
  <si>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</si>
  <si>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</si>
  <si>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</si>
  <si>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</si>
  <si>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</si>
  <si>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</si>
  <si>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</si>
  <si>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</si>
  <si>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</si>
  <si>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</si>
  <si>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</si>
  <si>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</si>
  <si>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</si>
  <si>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</si>
  <si>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</si>
  <si>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</si>
  <si>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</si>
  <si>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</si>
  <si>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</si>
  <si>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</si>
  <si>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</si>
  <si>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</si>
  <si>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</si>
  <si>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</si>
  <si>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</si>
  <si>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</si>
  <si>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</si>
  <si>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</si>
  <si>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</si>
  <si>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</si>
  <si>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</si>
  <si>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</si>
  <si>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</si>
  <si>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</si>
  <si>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</si>
  <si>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</si>
  <si>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</si>
  <si>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</si>
  <si>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</si>
  <si>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</si>
  <si>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</si>
  <si>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</si>
  <si>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</si>
  <si>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</si>
  <si>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</si>
  <si>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</si>
  <si>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</si>
  <si>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</si>
  <si>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</si>
  <si>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</si>
  <si>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</si>
  <si>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</si>
  <si>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</si>
  <si>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</si>
  <si>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</si>
  <si>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</si>
  <si>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</si>
  <si>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</si>
  <si>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</si>
  <si>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</si>
  <si>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</si>
  <si>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</si>
  <si>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</si>
  <si>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</si>
  <si>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</si>
  <si>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</si>
  <si>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</si>
  <si>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</si>
  <si>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</si>
  <si>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</si>
  <si>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</si>
  <si>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</si>
  <si>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</si>
  <si>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</si>
  <si>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</si>
  <si>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</si>
  <si>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</si>
  <si>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</si>
  <si>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</si>
  <si>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</si>
  <si>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</si>
  <si>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</si>
  <si>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</si>
  <si>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</si>
  <si>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</si>
  <si>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</si>
  <si>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</si>
  <si>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</si>
  <si>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</si>
  <si>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</si>
  <si>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</si>
  <si>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</si>
  <si>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</si>
  <si>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</si>
  <si>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</si>
  <si>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</si>
  <si>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</si>
  <si>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</si>
  <si>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</si>
  <si>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</si>
  <si>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</si>
  <si>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</si>
  <si>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</si>
  <si>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</si>
  <si>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</si>
  <si>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</si>
  <si>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</si>
  <si>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</si>
  <si>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</si>
  <si>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</si>
  <si>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</si>
  <si>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</si>
  <si>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</si>
  <si>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</si>
  <si>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</si>
  <si>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</si>
  <si>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</si>
  <si>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</si>
  <si>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</si>
  <si>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</si>
  <si>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</si>
  <si>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</si>
  <si>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</si>
  <si>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</si>
  <si>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</si>
  <si>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</si>
  <si>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</si>
  <si>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</si>
  <si>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</si>
  <si>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</si>
  <si>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</si>
  <si>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</si>
  <si>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</si>
  <si>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</si>
  <si>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</si>
  <si>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</si>
  <si>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</si>
  <si>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</si>
  <si>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</si>
  <si>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</si>
  <si>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</si>
  <si>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</si>
  <si>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</si>
  <si>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</si>
  <si>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</si>
  <si>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</si>
  <si>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</si>
  <si>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</si>
  <si>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</si>
  <si>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</si>
  <si>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</si>
  <si>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</si>
  <si>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</si>
  <si>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</si>
  <si>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</si>
  <si>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</si>
  <si>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</si>
  <si>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</si>
  <si>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</si>
  <si>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</si>
  <si>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</si>
  <si>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</si>
  <si>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</si>
  <si>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</si>
  <si>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</si>
  <si>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</si>
  <si>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</si>
  <si>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</si>
  <si>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</si>
  <si>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</si>
  <si>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</si>
  <si>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</si>
  <si>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</si>
  <si>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</si>
  <si>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</si>
  <si>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</si>
  <si>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</si>
  <si>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</si>
  <si>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</si>
  <si>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</si>
  <si>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</si>
  <si>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</si>
  <si>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</si>
  <si>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</si>
  <si>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</si>
  <si>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</si>
  <si>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</si>
  <si>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</si>
  <si>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</si>
  <si>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</si>
  <si>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</si>
  <si>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</si>
  <si>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</si>
  <si>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</si>
  <si>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</si>
  <si>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</si>
  <si>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</si>
  <si>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</si>
  <si>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</si>
  <si>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</si>
  <si>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</si>
  <si>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</si>
  <si>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</si>
  <si>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</si>
  <si>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</si>
  <si>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</si>
  <si>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</si>
  <si>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</si>
  <si>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</si>
  <si>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</si>
  <si>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</si>
  <si>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</si>
  <si>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</si>
  <si>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</si>
  <si>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</si>
  <si>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</si>
  <si>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</si>
  <si>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</si>
  <si>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</si>
  <si>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</si>
  <si>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</si>
  <si>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</si>
  <si>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</si>
  <si>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</si>
  <si>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</si>
  <si>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</si>
  <si>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</si>
  <si>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</si>
  <si>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</si>
  <si>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</si>
  <si>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</si>
  <si>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</si>
  <si>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</si>
  <si>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</si>
  <si>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</si>
  <si>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</si>
  <si>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</si>
  <si>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</si>
  <si>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</si>
  <si>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</si>
  <si>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</si>
  <si>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</si>
  <si>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</si>
  <si>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</si>
  <si>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</si>
  <si>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</si>
  <si>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</si>
  <si>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</si>
  <si>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</si>
  <si>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</si>
  <si>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</si>
  <si>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</si>
  <si>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</si>
  <si>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</si>
  <si>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</si>
  <si>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</si>
  <si>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</si>
  <si>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</si>
  <si>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</si>
  <si>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</si>
  <si>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</si>
  <si>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</si>
  <si>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</si>
  <si>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</si>
  <si>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</si>
  <si>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</si>
  <si>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</si>
  <si>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</si>
  <si>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</si>
  <si>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</si>
  <si>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</si>
  <si>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</si>
  <si>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</si>
  <si>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</si>
  <si>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</si>
  <si>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</si>
  <si>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</si>
  <si>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</si>
  <si>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</si>
  <si>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</si>
  <si>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</si>
  <si>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</si>
  <si>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</si>
  <si>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</si>
  <si>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</si>
  <si>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</si>
  <si>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</si>
  <si>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</si>
  <si>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</si>
  <si>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</si>
  <si>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</si>
  <si>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</si>
  <si>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</si>
  <si>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</si>
  <si>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</si>
  <si>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</si>
  <si>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</si>
  <si>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</si>
  <si>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</si>
  <si>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</si>
  <si>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</si>
  <si>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</si>
  <si>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</si>
  <si>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</si>
  <si>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</si>
  <si>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</si>
  <si>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</si>
  <si>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</si>
  <si>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</si>
  <si>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</si>
  <si>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</si>
  <si>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</si>
  <si>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</si>
  <si>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</si>
  <si>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</si>
  <si>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</si>
  <si>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</si>
  <si>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</si>
  <si>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</si>
  <si>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</si>
  <si>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</si>
  <si>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</si>
  <si>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</si>
  <si>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</si>
  <si>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</si>
  <si>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</si>
  <si>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</si>
  <si>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</si>
  <si>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</si>
  <si>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</si>
  <si>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</si>
  <si>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</si>
  <si>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</si>
  <si>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</si>
  <si>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</si>
  <si>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</si>
  <si>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</si>
  <si>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</si>
  <si>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</si>
  <si>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</si>
  <si>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</si>
  <si>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</si>
  <si>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</si>
  <si>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</si>
  <si>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</si>
  <si>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</si>
  <si>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</si>
  <si>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</si>
  <si>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</si>
  <si>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</si>
  <si>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</si>
  <si>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</si>
  <si>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</si>
  <si>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</si>
  <si>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</si>
  <si>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</si>
  <si>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</si>
  <si>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</si>
  <si>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</si>
  <si>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</si>
  <si>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</si>
  <si>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</si>
  <si>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</si>
  <si>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</si>
  <si>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</si>
  <si>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</si>
  <si>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</si>
  <si>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</si>
  <si>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</si>
  <si>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</si>
  <si>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</si>
  <si>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</si>
  <si>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</si>
  <si>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</si>
  <si>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</si>
  <si>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</si>
  <si>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</si>
  <si>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</si>
  <si>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</si>
  <si>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</si>
  <si>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</si>
  <si>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</si>
  <si>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</si>
  <si>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</si>
  <si>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</si>
  <si>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</si>
  <si>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</si>
  <si>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</si>
  <si>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</si>
  <si>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</si>
  <si>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</si>
  <si>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</si>
  <si>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</si>
  <si>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</si>
  <si>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</si>
  <si>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</si>
  <si>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</si>
  <si>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</si>
  <si>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</si>
  <si>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</si>
  <si>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</si>
  <si>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</si>
  <si>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</si>
  <si>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</si>
  <si>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</si>
  <si>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</si>
  <si>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</si>
  <si>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</si>
  <si>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</si>
  <si>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</si>
  <si>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</si>
  <si>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</si>
  <si>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</si>
  <si>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</si>
  <si>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</si>
  <si>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</si>
  <si>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</si>
  <si>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</si>
  <si>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</si>
  <si>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</si>
  <si>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</si>
  <si>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</si>
  <si>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</si>
  <si>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</si>
  <si>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</si>
  <si>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</si>
  <si>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</si>
  <si>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</si>
  <si>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</si>
  <si>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</si>
  <si>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</si>
  <si>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</si>
  <si>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</si>
  <si>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</si>
  <si>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</si>
  <si>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</si>
  <si>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</si>
  <si>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</si>
  <si>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</si>
  <si>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</si>
  <si>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</si>
  <si>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</si>
  <si>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</si>
  <si>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</si>
  <si>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</si>
  <si>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</si>
  <si>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</si>
  <si>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</si>
  <si>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</si>
  <si>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</si>
  <si>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</si>
  <si>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</si>
  <si>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</si>
  <si>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</si>
  <si>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</si>
  <si>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</si>
  <si>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</si>
  <si>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</si>
  <si>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</si>
  <si>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</si>
  <si>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</si>
  <si>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</si>
  <si>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</si>
  <si>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</si>
  <si>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</si>
  <si>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</si>
  <si>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</si>
  <si>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</si>
  <si>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</si>
  <si>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</si>
  <si>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</si>
  <si>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</si>
  <si>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</si>
  <si>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</si>
  <si>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</si>
  <si>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</si>
  <si>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</si>
  <si>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</si>
  <si>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</si>
  <si>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</si>
  <si>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</si>
  <si>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</si>
  <si>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</si>
  <si>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</si>
  <si>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</si>
  <si>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</si>
  <si>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</si>
  <si>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</si>
  <si>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</si>
  <si>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</si>
  <si>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</si>
  <si>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</si>
  <si>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</si>
  <si>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</si>
  <si>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</si>
  <si>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</si>
  <si>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</si>
  <si>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</si>
  <si>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</si>
  <si>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</si>
  <si>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</si>
  <si>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</si>
  <si>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</si>
  <si>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</si>
  <si>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</si>
  <si>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</si>
  <si>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</si>
  <si>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</si>
  <si>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</si>
  <si>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</si>
  <si>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</si>
  <si>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</si>
  <si>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</si>
  <si>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</si>
  <si>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</si>
  <si>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</si>
  <si>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</si>
  <si>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</si>
  <si>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</si>
  <si>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</si>
  <si>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</si>
  <si>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</si>
  <si>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</si>
  <si>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</si>
  <si>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</si>
  <si>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</si>
  <si>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</si>
  <si>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</si>
  <si>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</si>
  <si>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</si>
  <si>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</si>
  <si>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</si>
  <si>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</si>
  <si>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</si>
  <si>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</si>
  <si>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</si>
  <si>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</si>
  <si>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</si>
  <si>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</si>
  <si>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</si>
  <si>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</si>
  <si>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</si>
  <si>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</si>
  <si>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</si>
  <si>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</si>
  <si>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</si>
  <si>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</si>
  <si>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</si>
  <si>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</si>
  <si>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</si>
  <si>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</si>
  <si>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</si>
  <si>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</si>
  <si>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</si>
  <si>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</si>
  <si>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</si>
  <si>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</si>
  <si>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</si>
  <si>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</si>
  <si>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</si>
  <si>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</si>
  <si>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</si>
  <si>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</si>
  <si>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</si>
  <si>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</si>
  <si>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</si>
  <si>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</si>
  <si>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</si>
  <si>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</si>
  <si>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</si>
  <si>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</si>
  <si>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</si>
  <si>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</si>
  <si>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</si>
  <si>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</si>
  <si>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</si>
  <si>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</si>
  <si>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</si>
  <si>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</si>
  <si>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</si>
  <si>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</si>
  <si>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</si>
  <si>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</si>
  <si>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</si>
  <si>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</si>
  <si>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</si>
  <si>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</si>
  <si>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</si>
  <si>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</si>
  <si>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</si>
  <si>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</si>
  <si>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</si>
  <si>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</si>
  <si>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</si>
  <si>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</si>
  <si>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</si>
  <si>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</si>
  <si>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</si>
  <si>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</si>
  <si>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</si>
  <si>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</si>
  <si>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</si>
  <si>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</si>
  <si>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</si>
  <si>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</si>
  <si>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</si>
  <si>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</si>
  <si>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</si>
  <si>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</si>
  <si>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</si>
  <si>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</si>
  <si>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</si>
  <si>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</si>
  <si>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</si>
  <si>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</si>
  <si>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</si>
  <si>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</si>
  <si>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</si>
  <si>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</si>
  <si>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</si>
  <si>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</si>
  <si>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</si>
  <si>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</si>
  <si>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</si>
  <si>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</si>
  <si>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</si>
  <si>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</si>
  <si>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</si>
  <si>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</si>
  <si>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</si>
  <si>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</si>
  <si>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</si>
  <si>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</si>
  <si>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</si>
  <si>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</si>
  <si>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</si>
  <si>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</si>
  <si>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</si>
  <si>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</si>
  <si>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</si>
  <si>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</si>
  <si>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</si>
  <si>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</si>
  <si>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</si>
  <si>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</si>
  <si>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</si>
  <si>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</si>
  <si>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</si>
  <si>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</si>
  <si>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</si>
  <si>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</si>
  <si>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</si>
  <si>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</si>
  <si>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</si>
  <si>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</si>
  <si>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</si>
  <si>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</si>
  <si>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</si>
  <si>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</si>
  <si>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</si>
  <si>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</si>
  <si>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</si>
  <si>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</si>
  <si>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</si>
  <si>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</si>
  <si>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</si>
  <si>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</si>
  <si>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改思路</t>
    <phoneticPr fontId="8" type="noConversion"/>
  </si>
  <si>
    <t>单价</t>
    <phoneticPr fontId="8" type="noConversion"/>
  </si>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</sst>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3525.7000000000003</v>
          </cell>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row r="19">
          <cell r="C19">
            <v>22002</v>
          </cell>
        </row>
      </sheetData>
      <sheetData sheetId="23">
        <row r="19">
          <cell r="C19">
            <v>737</v>
          </cell>
        </row>
      </sheetData>
      <sheetData sheetId="24">
        <row r="19">
          <cell r="C19">
            <v>6581</v>
          </cell>
        </row>
      </sheetData>
      <sheetData sheetId="25">
        <row r="19">
          <cell r="C19">
            <v>2406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出让国有建设用地使用权及在建建筑物房地产抵押价值预评估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2673</v>
      </c>
    </row>
    <row r="25" spans="1:2" s="1590" customFormat="1">
      <c r="A25" s="1588" t="s">
        <v>1237</v>
      </c>
      <c r="B25" s="1589" t="str">
        <f>'预评函-2'!D9</f>
        <v>贰仟陆佰柒拾叁万元整</v>
      </c>
    </row>
    <row r="26" spans="1:2" s="1590" customFormat="1">
      <c r="A26" s="1588" t="s">
        <v>1238</v>
      </c>
      <c r="B26" s="1589">
        <f>'预评函-2'!D10</f>
        <v>40000</v>
      </c>
    </row>
    <row r="27" spans="1:2" s="1590" customFormat="1">
      <c r="A27" s="1588" t="s">
        <v>1239</v>
      </c>
      <c r="B27" s="1589">
        <f>'预评函-2'!D11</f>
        <v>2673</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48161</v>
      </c>
    </row>
    <row r="31" spans="1:2" s="1590" customFormat="1">
      <c r="A31" s="1588" t="s">
        <v>1274</v>
      </c>
      <c r="B31" s="1589">
        <f ca="1">'预评函-2'!D15</f>
        <v>9620</v>
      </c>
    </row>
    <row r="32" spans="1:2" s="1590" customFormat="1">
      <c r="A32" s="1588" t="s">
        <v>1241</v>
      </c>
      <c r="B32" s="1589" t="str">
        <f ca="1">'预评函-2'!D14</f>
        <v>肆亿捌仟壹佰陆拾壹万元整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4.抵押净值</v>
      </c>
    </row>
    <row r="38" spans="1:2" s="1590" customFormat="1">
      <c r="A38" s="1588" t="s">
        <v>1295</v>
      </c>
      <c r="B38" s="1589">
        <f ca="1">'预评函-2'!D19</f>
        <v>92473</v>
      </c>
    </row>
    <row r="39" spans="1:2" s="1590" customFormat="1">
      <c r="A39" s="1588" t="s">
        <v>1243</v>
      </c>
      <c r="B39" s="1589">
        <f ca="1">'预评函-2'!D21</f>
        <v>9824</v>
      </c>
    </row>
    <row r="40" spans="1:2" s="1590" customFormat="1">
      <c r="A40" s="1588" t="s">
        <v>1244</v>
      </c>
      <c r="B40" s="1589" t="str">
        <f ca="1">'预评函-2'!D20</f>
        <v>玖亿贰仟肆佰柒拾叁万元整</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抵押净值</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故，本次评估估价师知悉的法定优先受偿款为人民币2673万元整。</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864</v>
      </c>
      <c r="C54" s="2016" t="s">
        <v>1281</v>
      </c>
    </row>
    <row r="55" spans="1:4">
      <c r="A55" s="3005"/>
      <c r="B55" s="2019" t="s">
        <v>865</v>
      </c>
      <c r="C55" s="2016" t="s">
        <v>1282</v>
      </c>
    </row>
    <row r="56" spans="1:4">
      <c r="A56" s="3005"/>
      <c r="B56" s="2019" t="s">
        <v>866</v>
      </c>
      <c r="C56" s="2016" t="s">
        <v>1286</v>
      </c>
    </row>
    <row r="57" spans="1:4">
      <c r="A57" s="300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9" sqref="E9"/>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14" t="str">
        <f>IF(B10="北京市","北京市",C10)&amp;F10&amp;IF(结果表!G1="在建","出让国有建设用地使用权及在建建筑物",IF(结果表!G1="土地","出让国有建设用地使用权",))&amp;B9&amp;"预评估"</f>
        <v>出让国有建设用地使用权及在建建筑物房地产抵押价值预评估</v>
      </c>
      <c r="C1" s="3015"/>
      <c r="D1" s="3015"/>
      <c r="E1" s="3015"/>
      <c r="F1" s="3015"/>
      <c r="G1" s="3015"/>
      <c r="H1" s="3015"/>
      <c r="I1" s="301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t="s">
        <v>3249</v>
      </c>
      <c r="C8" s="2053"/>
      <c r="D8" s="3017" t="s">
        <v>1785</v>
      </c>
      <c r="E8" s="2054" t="s">
        <v>3240</v>
      </c>
      <c r="F8" s="2055"/>
      <c r="G8" s="2023"/>
      <c r="H8" s="2023"/>
      <c r="I8" s="2023"/>
      <c r="J8" s="2039"/>
      <c r="K8" s="2040"/>
      <c r="L8" s="2025"/>
      <c r="M8" s="2025"/>
      <c r="N8" s="2026"/>
      <c r="O8" s="2027"/>
      <c r="P8" s="2026"/>
      <c r="Q8" s="2026"/>
      <c r="R8" s="2026"/>
    </row>
    <row r="9" spans="1:19" ht="18" customHeight="1" thickBot="1">
      <c r="A9" s="2037" t="s">
        <v>1786</v>
      </c>
      <c r="B9" s="2056" t="s">
        <v>3240</v>
      </c>
      <c r="C9" s="2057"/>
      <c r="D9" s="3018"/>
      <c r="E9" s="2056" t="s">
        <v>1285</v>
      </c>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24"/>
      <c r="C16" s="3025"/>
      <c r="D16" s="3026"/>
      <c r="E16" s="2083" t="s">
        <v>1802</v>
      </c>
      <c r="F16" s="3027"/>
      <c r="G16" s="3028"/>
      <c r="H16" s="3028"/>
      <c r="I16" s="3029"/>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30" t="s">
        <v>1806</v>
      </c>
      <c r="F17" s="3031"/>
      <c r="G17" s="3031"/>
      <c r="H17" s="3031"/>
      <c r="I17" s="3032"/>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33" t="s">
        <v>1809</v>
      </c>
      <c r="F18" s="3034"/>
      <c r="G18" s="3034"/>
      <c r="H18" s="3034"/>
      <c r="I18" s="3035"/>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20" t="s">
        <v>1814</v>
      </c>
      <c r="C20" s="3021"/>
      <c r="D20" s="3022" t="s">
        <v>1815</v>
      </c>
      <c r="E20" s="3023"/>
      <c r="F20" s="2095" t="s">
        <v>1816</v>
      </c>
      <c r="G20" s="2039"/>
      <c r="H20" s="2039"/>
      <c r="I20" s="2039"/>
      <c r="J20" s="2039"/>
      <c r="K20" s="301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7"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7"/>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7"/>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8"/>
      <c r="B30" s="2032" t="s">
        <v>1833</v>
      </c>
      <c r="C30" s="3009"/>
      <c r="D30" s="3010"/>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1"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2"/>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2"/>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06" t="s">
        <v>1843</v>
      </c>
      <c r="T34" s="2132" t="str">
        <f>NUMBERSTRING(7-K34,1)&amp;"通"</f>
        <v>七通</v>
      </c>
      <c r="U34" s="2026"/>
      <c r="V34" s="2026"/>
    </row>
    <row r="35" spans="1:22" ht="18" customHeight="1">
      <c r="A35" s="2133"/>
      <c r="B35" s="3013" t="s">
        <v>1844</v>
      </c>
      <c r="C35" s="3013"/>
      <c r="D35" s="3013"/>
      <c r="E35" s="3013"/>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7" t="s">
        <v>1940</v>
      </c>
      <c r="B2" s="3047"/>
      <c r="C2" s="3047"/>
      <c r="D2" s="965" t="s">
        <v>1916</v>
      </c>
      <c r="E2" s="2225" t="s">
        <v>1917</v>
      </c>
      <c r="F2" s="1390"/>
      <c r="G2" s="2226"/>
      <c r="H2" s="2227"/>
      <c r="I2" s="2228" t="s">
        <v>1941</v>
      </c>
      <c r="J2" s="1390"/>
      <c r="K2" s="1390"/>
      <c r="L2" s="1390"/>
      <c r="M2" s="1390"/>
      <c r="N2" s="1425"/>
      <c r="O2" s="1390"/>
      <c r="P2" s="1390"/>
    </row>
    <row r="3" spans="1:16" ht="15.75" thickBot="1">
      <c r="A3" s="3048" t="s">
        <v>1914</v>
      </c>
      <c r="B3" s="3048"/>
      <c r="C3" s="3048"/>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9"/>
      <c r="B4" s="3050"/>
      <c r="C4" s="3051"/>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2" t="s">
        <v>1919</v>
      </c>
      <c r="C5" s="3052"/>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2" t="s">
        <v>1920</v>
      </c>
      <c r="C6" s="3052"/>
      <c r="D6" s="48">
        <f>ROUND($D$3*E6/$E$3,2)</f>
        <v>4005.32</v>
      </c>
      <c r="E6" s="49">
        <f>E3-E5</f>
        <v>50064.18</v>
      </c>
      <c r="F6" s="1390"/>
      <c r="G6" s="2233" t="s">
        <v>1921</v>
      </c>
      <c r="H6" s="1397" t="s">
        <v>1922</v>
      </c>
      <c r="I6" s="937">
        <f>ROUND(F31/D31,2)</f>
        <v>8.32</v>
      </c>
      <c r="J6" s="1390"/>
      <c r="K6" s="1390"/>
      <c r="L6" s="1390"/>
      <c r="M6" s="1390"/>
      <c r="N6" s="1390"/>
      <c r="O6" s="1390"/>
      <c r="P6" s="1390"/>
    </row>
    <row r="7" spans="1:16" ht="15">
      <c r="A7" s="3044"/>
      <c r="B7" s="3045"/>
      <c r="C7" s="3046"/>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1" t="s">
        <v>1944</v>
      </c>
      <c r="L16" s="3042"/>
      <c r="M16" s="3042"/>
      <c r="N16" s="3042"/>
      <c r="O16" s="3042"/>
      <c r="P16" s="3043"/>
    </row>
    <row r="17" spans="1:19" ht="15">
      <c r="A17" s="2240" t="s">
        <v>1945</v>
      </c>
      <c r="B17" s="2241" t="s">
        <v>1946</v>
      </c>
      <c r="C17" s="2242" t="s">
        <v>1947</v>
      </c>
      <c r="D17" s="2243" t="s">
        <v>1935</v>
      </c>
      <c r="E17" s="2244" t="s">
        <v>1936</v>
      </c>
      <c r="F17" s="2245"/>
      <c r="G17" s="2246"/>
      <c r="H17" s="2247" t="s">
        <v>1948</v>
      </c>
      <c r="I17" s="2248" t="s">
        <v>1933</v>
      </c>
      <c r="J17" s="1390"/>
      <c r="K17" s="3038" t="s">
        <v>1949</v>
      </c>
      <c r="L17" s="3039"/>
      <c r="M17" s="3040"/>
      <c r="N17" s="3038" t="s">
        <v>1950</v>
      </c>
      <c r="O17" s="3039"/>
      <c r="P17" s="3040"/>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2086</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97886</v>
      </c>
      <c r="C6" s="1740">
        <f ca="1">ROUND(B6*10000/$B$1,0)</f>
        <v>10399</v>
      </c>
      <c r="D6" s="1740">
        <f ca="1">ROUND(B6*10000/$B$2,0)</f>
        <v>129977</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 ca="1">SUM(I14:I23)</f>
        <v>92473</v>
      </c>
      <c r="C8" s="1740">
        <f ca="1">ROUND(B8*10000/$B$1,0)</f>
        <v>9824</v>
      </c>
      <c r="D8" s="1740">
        <f ca="1">ROUND(B8*10000/$B$2,0)</f>
        <v>122789</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48161</v>
      </c>
      <c r="H14" s="1738" t="str">
        <f>结果表!D124</f>
        <v>——</v>
      </c>
      <c r="I14" s="1738">
        <f ca="1">结果表!D126</f>
        <v>92473</v>
      </c>
      <c r="J14" s="1737"/>
    </row>
    <row r="15" spans="1:10" ht="16.5">
      <c r="A15" s="1736" t="s">
        <v>1349</v>
      </c>
      <c r="B15" s="1743">
        <f>[1]系统读取表!$B$14</f>
        <v>44069.27</v>
      </c>
      <c r="C15" s="1743">
        <f>[1]系统读取表!$C$14</f>
        <v>3525.7</v>
      </c>
      <c r="D15" s="1743">
        <f>[1]系统读取表!$D$14</f>
        <v>49725</v>
      </c>
      <c r="E15" s="1738">
        <f t="shared" ref="E15:E23" si="0">ROUND(D15*10000/B15,0)</f>
        <v>11283</v>
      </c>
      <c r="F15" s="1738">
        <f t="shared" ref="F15:F23" si="1">ROUND(D15*10000/C15,0)</f>
        <v>141036</v>
      </c>
      <c r="G15" s="1744">
        <f>[1]系统读取表!$G$14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0" zoomScale="70" zoomScaleSheetLayoutView="70" zoomScalePageLayoutView="80" workbookViewId="0">
      <selection activeCell="P54" sqref="P5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088" t="str">
        <f>项目基本情况!S2</f>
        <v>出让国有建设用地使用权及在建建筑物房地产</v>
      </c>
      <c r="B2" s="3089"/>
      <c r="C2" s="3089"/>
      <c r="D2" s="3089"/>
      <c r="E2" s="3089"/>
      <c r="F2" s="3089"/>
      <c r="G2" s="3089"/>
      <c r="H2" s="3089"/>
      <c r="I2" s="3090"/>
    </row>
    <row r="3" spans="1:12" ht="12.75">
      <c r="A3" s="3092" t="s">
        <v>2126</v>
      </c>
      <c r="B3" s="3093"/>
      <c r="C3" s="3093"/>
      <c r="D3" s="3093"/>
      <c r="E3" s="3093"/>
      <c r="F3" s="3093"/>
      <c r="G3" s="3093"/>
      <c r="H3" s="3093"/>
      <c r="I3" s="3093"/>
    </row>
    <row r="4" spans="1:12" ht="14.25">
      <c r="A4" s="2423" t="s">
        <v>2127</v>
      </c>
      <c r="B4" s="2424" t="s">
        <v>2128</v>
      </c>
      <c r="C4" s="2425" t="s">
        <v>3172</v>
      </c>
      <c r="D4" s="2425" t="s">
        <v>3173</v>
      </c>
      <c r="E4" s="3085" t="s">
        <v>2129</v>
      </c>
      <c r="F4" s="3086"/>
      <c r="G4" s="3086"/>
      <c r="H4" s="3086"/>
      <c r="I4" s="309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2130</v>
      </c>
      <c r="B5" s="3006">
        <v>25</v>
      </c>
      <c r="C5" s="3071"/>
      <c r="D5" s="3091"/>
      <c r="E5" s="140" t="s">
        <v>2131</v>
      </c>
      <c r="F5" s="2427"/>
      <c r="G5" s="2427"/>
      <c r="H5" s="2427"/>
      <c r="I5" s="1828"/>
    </row>
    <row r="6" spans="1:12" ht="12.75">
      <c r="A6" s="3068"/>
      <c r="B6" s="3006"/>
      <c r="C6" s="3072"/>
      <c r="D6" s="3091"/>
      <c r="E6" s="140" t="s">
        <v>2132</v>
      </c>
      <c r="F6" s="2427"/>
      <c r="G6" s="2427"/>
      <c r="H6" s="2427"/>
      <c r="I6" s="1828"/>
    </row>
    <row r="7" spans="1:12" ht="12.75">
      <c r="A7" s="3068"/>
      <c r="B7" s="3006"/>
      <c r="C7" s="3073"/>
      <c r="D7" s="3091"/>
      <c r="E7" s="140" t="s">
        <v>2133</v>
      </c>
      <c r="F7" s="2427"/>
      <c r="G7" s="2427"/>
      <c r="H7" s="2427"/>
      <c r="I7" s="1828"/>
    </row>
    <row r="8" spans="1:12" ht="12.75">
      <c r="A8" s="3068" t="s">
        <v>2134</v>
      </c>
      <c r="B8" s="3006">
        <v>15</v>
      </c>
      <c r="C8" s="3071"/>
      <c r="D8" s="3091"/>
      <c r="E8" s="140" t="s">
        <v>2135</v>
      </c>
      <c r="F8" s="2427"/>
      <c r="G8" s="2427"/>
      <c r="H8" s="2427"/>
      <c r="I8" s="1828"/>
    </row>
    <row r="9" spans="1:12" ht="12.75">
      <c r="A9" s="3068"/>
      <c r="B9" s="3006"/>
      <c r="C9" s="3073"/>
      <c r="D9" s="3091"/>
      <c r="E9" s="140" t="s">
        <v>2136</v>
      </c>
      <c r="F9" s="2427"/>
      <c r="G9" s="2427"/>
      <c r="H9" s="2427"/>
      <c r="I9" s="1828"/>
    </row>
    <row r="10" spans="1:12" ht="12.75">
      <c r="A10" s="3068" t="s">
        <v>2137</v>
      </c>
      <c r="B10" s="3006">
        <v>15</v>
      </c>
      <c r="C10" s="3071"/>
      <c r="D10" s="3091"/>
      <c r="E10" s="140" t="s">
        <v>2138</v>
      </c>
      <c r="F10" s="2427"/>
      <c r="G10" s="2427"/>
      <c r="H10" s="2427"/>
      <c r="I10" s="1828"/>
    </row>
    <row r="11" spans="1:12" ht="12.75">
      <c r="A11" s="3068"/>
      <c r="B11" s="3006"/>
      <c r="C11" s="3073"/>
      <c r="D11" s="3091"/>
      <c r="E11" s="140" t="s">
        <v>2139</v>
      </c>
      <c r="F11" s="2427"/>
      <c r="G11" s="2427"/>
      <c r="H11" s="2427"/>
      <c r="I11" s="1828"/>
    </row>
    <row r="12" spans="1:12" ht="12.75">
      <c r="A12" s="3068" t="s">
        <v>2140</v>
      </c>
      <c r="B12" s="3006">
        <v>15</v>
      </c>
      <c r="C12" s="3071"/>
      <c r="D12" s="3091"/>
      <c r="E12" s="140" t="s">
        <v>2141</v>
      </c>
      <c r="F12" s="2427"/>
      <c r="G12" s="2427"/>
      <c r="H12" s="2427"/>
      <c r="I12" s="1828"/>
    </row>
    <row r="13" spans="1:12" ht="12.75">
      <c r="A13" s="3068"/>
      <c r="B13" s="3006"/>
      <c r="C13" s="3073"/>
      <c r="D13" s="3091"/>
      <c r="E13" s="140" t="s">
        <v>2142</v>
      </c>
      <c r="F13" s="2427"/>
      <c r="G13" s="2427"/>
      <c r="H13" s="2427"/>
      <c r="I13" s="1828"/>
    </row>
    <row r="14" spans="1:12" ht="12.75">
      <c r="A14" s="3068" t="s">
        <v>2143</v>
      </c>
      <c r="B14" s="3006">
        <v>30</v>
      </c>
      <c r="C14" s="3071">
        <v>5</v>
      </c>
      <c r="D14" s="3091">
        <v>5</v>
      </c>
      <c r="E14" s="140" t="s">
        <v>2144</v>
      </c>
      <c r="F14" s="2427"/>
      <c r="G14" s="2427"/>
      <c r="H14" s="2427"/>
      <c r="I14" s="1828"/>
    </row>
    <row r="15" spans="1:12" ht="12.75">
      <c r="A15" s="3068"/>
      <c r="B15" s="3006"/>
      <c r="C15" s="3072"/>
      <c r="D15" s="3091"/>
      <c r="E15" s="140" t="s">
        <v>2145</v>
      </c>
      <c r="F15" s="2427"/>
      <c r="G15" s="2427"/>
      <c r="H15" s="2427"/>
      <c r="I15" s="1828"/>
    </row>
    <row r="16" spans="1:12" ht="12.75">
      <c r="A16" s="3068"/>
      <c r="B16" s="3006"/>
      <c r="C16" s="3073"/>
      <c r="D16" s="3091"/>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062" t="s">
        <v>2161</v>
      </c>
      <c r="B24" s="2433" t="s">
        <v>2153</v>
      </c>
      <c r="C24" s="145">
        <f>IF(B30=0,0,D30)</f>
        <v>0</v>
      </c>
      <c r="D24" s="2440"/>
      <c r="E24" s="138"/>
      <c r="F24" s="138"/>
      <c r="G24" s="138"/>
      <c r="H24" s="138"/>
      <c r="I24" s="138"/>
    </row>
    <row r="25" spans="1:35" ht="14.25">
      <c r="A25" s="3063"/>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080" t="s">
        <v>2175</v>
      </c>
      <c r="B36" s="2459" t="s">
        <v>2176</v>
      </c>
      <c r="C36" s="154">
        <v>40000</v>
      </c>
      <c r="D36" s="2460"/>
      <c r="E36" s="2461"/>
      <c r="F36" s="2462"/>
      <c r="G36" s="138"/>
      <c r="H36" s="138"/>
      <c r="I36" s="138"/>
    </row>
    <row r="37" spans="1:15" ht="15.75" thickBot="1">
      <c r="A37" s="3081"/>
      <c r="B37" s="2264" t="s">
        <v>2177</v>
      </c>
      <c r="C37" s="156">
        <v>2673</v>
      </c>
      <c r="D37" s="1390"/>
      <c r="E37" s="1390"/>
      <c r="F37" s="2462"/>
      <c r="G37" s="138"/>
      <c r="H37" s="138"/>
      <c r="I37" s="138"/>
    </row>
    <row r="38" spans="1:15" ht="15.75" thickBot="1">
      <c r="A38" s="3082"/>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059" t="s">
        <v>2189</v>
      </c>
      <c r="B45" s="3060"/>
      <c r="C45" s="3061"/>
      <c r="D45" s="164">
        <f ca="1">M48</f>
        <v>100559</v>
      </c>
      <c r="E45" s="165" t="s">
        <v>2190</v>
      </c>
      <c r="F45" s="166">
        <v>1</v>
      </c>
      <c r="G45" s="167" t="s">
        <v>2191</v>
      </c>
      <c r="H45" s="138"/>
      <c r="I45" s="138"/>
      <c r="J45" s="3119" t="s">
        <v>2192</v>
      </c>
      <c r="K45" s="3119"/>
      <c r="L45" s="3119"/>
      <c r="M45" s="3119"/>
      <c r="N45" s="3119"/>
      <c r="O45" s="3119"/>
    </row>
    <row r="46" spans="1:15" ht="14.25" customHeight="1">
      <c r="A46" s="3056" t="s">
        <v>2193</v>
      </c>
      <c r="B46" s="3057"/>
      <c r="C46" s="3057"/>
      <c r="D46" s="3057"/>
      <c r="E46" s="3057"/>
      <c r="F46" s="3057"/>
      <c r="G46" s="3058"/>
      <c r="H46" s="2478"/>
      <c r="I46" s="168"/>
      <c r="J46" s="1806">
        <v>1</v>
      </c>
      <c r="K46" s="3119" t="s">
        <v>2194</v>
      </c>
      <c r="L46" s="3119"/>
      <c r="M46" s="3139"/>
      <c r="N46" s="3139"/>
      <c r="O46" s="3139"/>
    </row>
    <row r="47" spans="1:15" ht="12" customHeight="1">
      <c r="A47" s="169" t="s">
        <v>2195</v>
      </c>
      <c r="B47" s="170"/>
      <c r="C47" s="171"/>
      <c r="D47" s="172" t="s">
        <v>2196</v>
      </c>
      <c r="E47" s="24" t="s">
        <v>2197</v>
      </c>
      <c r="F47" s="173" t="s">
        <v>2198</v>
      </c>
      <c r="G47" s="174" t="s">
        <v>2199</v>
      </c>
      <c r="H47" s="2478"/>
      <c r="I47" s="168"/>
      <c r="J47" s="1806">
        <v>2</v>
      </c>
      <c r="K47" s="3119" t="s">
        <v>2200</v>
      </c>
      <c r="L47" s="3119"/>
      <c r="M47" s="3140">
        <f>'数据-取费表'!B2</f>
        <v>43324</v>
      </c>
      <c r="N47" s="3140"/>
      <c r="O47" s="3140"/>
    </row>
    <row r="48" spans="1:15" ht="25.5">
      <c r="A48" s="3087" t="s">
        <v>2201</v>
      </c>
      <c r="B48" s="3070"/>
      <c r="C48" s="3070"/>
      <c r="D48" s="140">
        <f ca="1">IF(H48="情况1",0,IF(H48="情况2",D52,IF(H48="情况3",D53,IF(H48="情况4",D54))))</f>
        <v>5363</v>
      </c>
      <c r="E48" s="1795" t="str">
        <f>IF(H48="情况4","(销售额-原购置价)×税（费）率","销售额×税（费）率")</f>
        <v>销售额×税（费）率</v>
      </c>
      <c r="F48" s="175">
        <f>IF(H48="情况1","免征",'数据-取费表'!B41)</f>
        <v>5.6000000000000001E-2</v>
      </c>
      <c r="G48" s="2479" t="s">
        <v>2202</v>
      </c>
      <c r="H48" s="2480" t="s">
        <v>3238</v>
      </c>
      <c r="I48" s="2478"/>
      <c r="J48" s="1806">
        <v>3</v>
      </c>
      <c r="K48" s="3119" t="s">
        <v>2203</v>
      </c>
      <c r="L48" s="3119"/>
      <c r="M48" s="3141">
        <f ca="1">H101+[1]结果表!$H$101</f>
        <v>100559</v>
      </c>
      <c r="N48" s="3141"/>
      <c r="O48" s="3141"/>
    </row>
    <row r="49" spans="1:35" ht="25.5" customHeight="1">
      <c r="A49" s="176" t="s">
        <v>2204</v>
      </c>
      <c r="B49" s="3055" t="s">
        <v>2205</v>
      </c>
      <c r="C49" s="3055"/>
      <c r="D49" s="177">
        <v>0</v>
      </c>
      <c r="E49" s="23" t="s">
        <v>2206</v>
      </c>
      <c r="F49" s="28" t="s">
        <v>34</v>
      </c>
      <c r="G49" s="3125"/>
      <c r="H49" s="138"/>
      <c r="I49" s="2481"/>
      <c r="J49" s="1806">
        <v>4</v>
      </c>
      <c r="K49" s="3119" t="str">
        <f>IF(项目基本情况!E8="房地产抵押价值","房地产抵押价值","抵押担保权已注销时的房地产抵押价值")</f>
        <v>房地产抵押价值</v>
      </c>
      <c r="L49" s="3119"/>
      <c r="M49" s="3141">
        <f ca="1">IF(项目基本情况!E8="房地产抵押价值",H107,H109)+[1]结果表!$M$49:$O$49</f>
        <v>97886</v>
      </c>
      <c r="N49" s="3141"/>
      <c r="O49" s="3141"/>
    </row>
    <row r="50" spans="1:35" ht="25.5" customHeight="1">
      <c r="A50" s="178"/>
      <c r="B50" s="3055" t="s">
        <v>2207</v>
      </c>
      <c r="C50" s="3055"/>
      <c r="D50" s="179"/>
      <c r="E50" s="31"/>
      <c r="F50" s="180"/>
      <c r="G50" s="3126"/>
      <c r="H50" s="138"/>
      <c r="I50" s="2481"/>
      <c r="J50" s="3119" t="s">
        <v>2208</v>
      </c>
      <c r="K50" s="3119"/>
      <c r="L50" s="3119"/>
      <c r="M50" s="3119"/>
      <c r="N50" s="3119"/>
      <c r="O50" s="3119"/>
    </row>
    <row r="51" spans="1:35" ht="12" customHeight="1">
      <c r="A51" s="181"/>
      <c r="B51" s="3055" t="s">
        <v>2209</v>
      </c>
      <c r="C51" s="3055"/>
      <c r="D51" s="182"/>
      <c r="E51" s="30"/>
      <c r="F51" s="180"/>
      <c r="G51" s="3127"/>
      <c r="H51" s="138"/>
      <c r="I51" s="2481"/>
      <c r="J51" s="2482" t="s">
        <v>2210</v>
      </c>
      <c r="K51" s="3119" t="s">
        <v>2211</v>
      </c>
      <c r="L51" s="3119"/>
      <c r="M51" s="2482" t="s">
        <v>2212</v>
      </c>
      <c r="N51" s="2482" t="s">
        <v>2213</v>
      </c>
      <c r="O51" s="2482" t="s">
        <v>2214</v>
      </c>
    </row>
    <row r="52" spans="1:35" ht="24" customHeight="1">
      <c r="A52" s="183" t="s">
        <v>2215</v>
      </c>
      <c r="B52" s="3055" t="s">
        <v>2216</v>
      </c>
      <c r="C52" s="3055"/>
      <c r="D52" s="182">
        <f ca="1">ROUND(D45*'数据-取费表'!B41/(1+'数据-取费表'!C42),0)</f>
        <v>5363</v>
      </c>
      <c r="E52" s="11" t="s">
        <v>2217</v>
      </c>
      <c r="F52" s="184">
        <f>'数据-取费表'!B41</f>
        <v>5.6000000000000001E-2</v>
      </c>
      <c r="G52" s="2483"/>
      <c r="H52" s="138"/>
      <c r="I52" s="2481"/>
      <c r="J52" s="1806">
        <v>1</v>
      </c>
      <c r="K52" s="3120" t="s">
        <v>2218</v>
      </c>
      <c r="L52" s="3120"/>
      <c r="M52" s="1748">
        <f ca="1">D48</f>
        <v>5363</v>
      </c>
      <c r="N52" s="1806" t="str">
        <f>E48</f>
        <v>销售额×税（费）率</v>
      </c>
      <c r="O52" s="1749">
        <f>F48</f>
        <v>5.6000000000000001E-2</v>
      </c>
    </row>
    <row r="53" spans="1:35" ht="12" customHeight="1">
      <c r="A53" s="183" t="s">
        <v>2219</v>
      </c>
      <c r="B53" s="3078" t="s">
        <v>2220</v>
      </c>
      <c r="C53" s="3079"/>
      <c r="D53" s="182">
        <f ca="1">ROUND(D45*'数据-取费表'!B41/(1+'数据-取费表'!C42),0)</f>
        <v>5363</v>
      </c>
      <c r="E53" s="11" t="s">
        <v>2217</v>
      </c>
      <c r="F53" s="184">
        <f>'数据-取费表'!B41</f>
        <v>5.6000000000000001E-2</v>
      </c>
      <c r="G53" s="2483"/>
      <c r="H53" s="138"/>
      <c r="I53" s="2481"/>
      <c r="J53" s="1806">
        <v>2</v>
      </c>
      <c r="K53" s="3120" t="s">
        <v>2221</v>
      </c>
      <c r="L53" s="3120"/>
      <c r="M53" s="1748">
        <f t="shared" ref="M53:O54" ca="1" si="0">D55</f>
        <v>50</v>
      </c>
      <c r="N53" s="1806" t="str">
        <f t="shared" si="0"/>
        <v>销售额×税（费）率</v>
      </c>
      <c r="O53" s="1749">
        <f t="shared" si="0"/>
        <v>5.0000000000000001E-4</v>
      </c>
    </row>
    <row r="54" spans="1:35" ht="12" customHeight="1">
      <c r="A54" s="183" t="s">
        <v>2222</v>
      </c>
      <c r="B54" s="3078" t="s">
        <v>2223</v>
      </c>
      <c r="C54" s="3079"/>
      <c r="D54" s="182">
        <f ca="1">C68</f>
        <v>5363</v>
      </c>
      <c r="E54" s="30" t="s">
        <v>2224</v>
      </c>
      <c r="F54" s="184">
        <f>'数据-取费表'!B41</f>
        <v>5.6000000000000001E-2</v>
      </c>
      <c r="G54" s="2483"/>
      <c r="H54" s="2484"/>
      <c r="I54" s="2481"/>
      <c r="J54" s="1806">
        <v>3</v>
      </c>
      <c r="K54" s="3120" t="s">
        <v>2225</v>
      </c>
      <c r="L54" s="3120"/>
      <c r="M54" s="1748">
        <f t="shared" ca="1" si="0"/>
        <v>0</v>
      </c>
      <c r="N54" s="1806" t="str">
        <f t="shared" si="0"/>
        <v>增值额×税（费）率</v>
      </c>
      <c r="O54" s="1750" t="str">
        <f t="shared" si="0"/>
        <v>——</v>
      </c>
    </row>
    <row r="55" spans="1:35" ht="24" customHeight="1">
      <c r="A55" s="3069" t="s">
        <v>2226</v>
      </c>
      <c r="B55" s="3070"/>
      <c r="C55" s="3070"/>
      <c r="D55" s="185">
        <f ca="1">IF(H55="个人住宅",0,ROUND(D45*I55,0))</f>
        <v>50</v>
      </c>
      <c r="E55" s="11" t="s">
        <v>2227</v>
      </c>
      <c r="F55" s="184">
        <f>IF(H55="正常",I55,"免征")</f>
        <v>5.0000000000000001E-4</v>
      </c>
      <c r="G55" s="2483"/>
      <c r="H55" s="2480" t="s">
        <v>2228</v>
      </c>
      <c r="I55" s="186">
        <f>'数据-取费表'!B49</f>
        <v>5.0000000000000001E-4</v>
      </c>
      <c r="J55" s="1806" t="str">
        <f>IF(H59="非个人房产","",4)</f>
        <v/>
      </c>
      <c r="K55" s="3120" t="str">
        <f>IF(H59="非个人房产","——","个人所得税")</f>
        <v>——</v>
      </c>
      <c r="L55" s="3120"/>
      <c r="M55" s="1751" t="str">
        <f>D59</f>
        <v>——</v>
      </c>
      <c r="N55" s="1804" t="str">
        <f>E59</f>
        <v>——</v>
      </c>
      <c r="O55" s="1752" t="str">
        <f>F59</f>
        <v>——</v>
      </c>
    </row>
    <row r="56" spans="1:35" ht="24.75">
      <c r="A56" s="3069" t="s">
        <v>2229</v>
      </c>
      <c r="B56" s="3070"/>
      <c r="C56" s="3070"/>
      <c r="D56" s="185">
        <f ca="1">IF(H56="个人住宅",D57,D58)</f>
        <v>0</v>
      </c>
      <c r="E56" s="11" t="s">
        <v>2230</v>
      </c>
      <c r="F56" s="184" t="str">
        <f>IF(H56="正常",F58,"免征")</f>
        <v>——</v>
      </c>
      <c r="G56" s="2485" t="s">
        <v>2231</v>
      </c>
      <c r="H56" s="2486" t="s">
        <v>2228</v>
      </c>
      <c r="I56" s="2487"/>
      <c r="J56" s="1806" t="str">
        <f>IF(项目基本情况!K6="上海银行",IF(J55="",4,J55+1),"")</f>
        <v/>
      </c>
      <c r="K56" s="3143" t="str">
        <f>IF(项目基本情况!K6="上海银行","其他处置费用","")</f>
        <v/>
      </c>
      <c r="L56" s="3144"/>
      <c r="M56" s="1748" t="str">
        <f>IF(项目基本情况!K6="上海银行",M69,"")</f>
        <v/>
      </c>
      <c r="N56" s="3146" t="str">
        <f>IF(项目基本情况!K6="上海银行","包含处置中涉及的律师、诉讼、拍卖、评估等费用","")</f>
        <v/>
      </c>
      <c r="O56" s="3147"/>
    </row>
    <row r="57" spans="1:35" ht="12.75">
      <c r="A57" s="183" t="s">
        <v>2204</v>
      </c>
      <c r="B57" s="3085" t="s">
        <v>2232</v>
      </c>
      <c r="C57" s="3094"/>
      <c r="D57" s="187">
        <v>0</v>
      </c>
      <c r="E57" s="23" t="s">
        <v>2206</v>
      </c>
      <c r="F57" s="155"/>
      <c r="G57" s="2483"/>
      <c r="H57" s="2487"/>
      <c r="I57" s="2487"/>
      <c r="J57" s="3120">
        <f>IF(AND(J55="",J56=""),4,IF(项目基本情况!K6="上海银行",结果表!J56+1,结果表!J55+1))</f>
        <v>4</v>
      </c>
      <c r="K57" s="3120" t="s">
        <v>2233</v>
      </c>
      <c r="L57" s="2488" t="s">
        <v>2234</v>
      </c>
      <c r="M57" s="1753"/>
      <c r="N57" s="1754">
        <f ca="1">SUMIF(M52:M56,"&lt;9e307")</f>
        <v>5413</v>
      </c>
      <c r="O57" s="2489"/>
      <c r="P57" s="1747">
        <f ca="1">N57/M49</f>
        <v>5.5299021310504057E-2</v>
      </c>
    </row>
    <row r="58" spans="1:35" ht="24.75">
      <c r="A58" s="183" t="s">
        <v>2215</v>
      </c>
      <c r="B58" s="3085" t="s">
        <v>2235</v>
      </c>
      <c r="C58" s="3086"/>
      <c r="D58" s="185">
        <f ca="1">IF(H58="转让取得",C81,C97)</f>
        <v>0</v>
      </c>
      <c r="E58" s="11" t="s">
        <v>2230</v>
      </c>
      <c r="F58" s="24" t="s">
        <v>34</v>
      </c>
      <c r="G58" s="2483"/>
      <c r="H58" s="2486" t="s">
        <v>2236</v>
      </c>
      <c r="I58" s="2487"/>
      <c r="J58" s="3120"/>
      <c r="K58" s="3120"/>
      <c r="L58" s="2488" t="s">
        <v>2237</v>
      </c>
      <c r="M58" s="1755"/>
      <c r="N58" s="2490" t="str">
        <f ca="1">NUMBERSTRING(INT(N57*10000),2)&amp;"元整"</f>
        <v>伍仟肆佰壹拾叁万元整</v>
      </c>
      <c r="O58" s="2491"/>
    </row>
    <row r="59" spans="1:35" ht="24.75" thickBot="1">
      <c r="A59" s="3123" t="s">
        <v>2238</v>
      </c>
      <c r="B59" s="3124"/>
      <c r="C59" s="3124"/>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121">
        <f>J57+1</f>
        <v>5</v>
      </c>
      <c r="K59" s="3120" t="s">
        <v>2240</v>
      </c>
      <c r="L59" s="1806" t="s">
        <v>2234</v>
      </c>
      <c r="M59" s="1756"/>
      <c r="N59" s="1757">
        <f ca="1">M49-N57</f>
        <v>92473</v>
      </c>
      <c r="O59" s="2493"/>
    </row>
    <row r="60" spans="1:35" ht="12" customHeight="1">
      <c r="A60" s="2494"/>
      <c r="B60" s="2416"/>
      <c r="C60" s="2416"/>
      <c r="D60" s="2416"/>
      <c r="E60" s="2164"/>
      <c r="F60" s="2487"/>
      <c r="G60" s="2487"/>
      <c r="H60" s="2495"/>
      <c r="I60" s="138"/>
      <c r="J60" s="3122"/>
      <c r="K60" s="3120"/>
      <c r="L60" s="2488" t="s">
        <v>2237</v>
      </c>
      <c r="M60" s="1755"/>
      <c r="N60" s="2490" t="str">
        <f ca="1">NUMBERSTRING(INT(N59*10000),2)&amp;"元整"</f>
        <v>玖亿贰仟肆佰柒拾叁万元整</v>
      </c>
      <c r="O60" s="2491"/>
    </row>
    <row r="61" spans="1:35" ht="13.5" thickBot="1">
      <c r="A61" s="3067" t="s">
        <v>2241</v>
      </c>
      <c r="B61" s="3067"/>
      <c r="C61" s="3067"/>
      <c r="D61" s="3067"/>
      <c r="E61" s="3067"/>
      <c r="F61" s="2487"/>
      <c r="G61" s="2487"/>
      <c r="H61" s="2495"/>
      <c r="I61" s="138"/>
      <c r="J61" s="1806">
        <f>J59+1</f>
        <v>6</v>
      </c>
      <c r="K61" s="3120" t="s">
        <v>2242</v>
      </c>
      <c r="L61" s="3120"/>
      <c r="M61" s="1758"/>
      <c r="N61" s="1759">
        <f ca="1">ROUND(N59*10000/('数据-汇总表'!E3+'[1]数据-汇总表'!$E$3),0)</f>
        <v>9824</v>
      </c>
      <c r="O61" s="2496"/>
    </row>
    <row r="62" spans="1:35" ht="12.75">
      <c r="A62" s="3083" t="s">
        <v>2243</v>
      </c>
      <c r="B62" s="3084"/>
      <c r="C62" s="1798"/>
      <c r="D62" s="1798" t="s">
        <v>2244</v>
      </c>
      <c r="E62" s="192" t="s">
        <v>2245</v>
      </c>
      <c r="F62" s="2487"/>
      <c r="G62" s="2487"/>
      <c r="H62" s="2495"/>
      <c r="I62" s="138"/>
    </row>
    <row r="63" spans="1:35" ht="12.75">
      <c r="A63" s="203" t="s">
        <v>775</v>
      </c>
      <c r="B63" s="193" t="s">
        <v>2246</v>
      </c>
      <c r="C63" s="194">
        <f ca="1">ROUND((C64+C65)/(1+'数据-取费表'!C42),0)</f>
        <v>95770</v>
      </c>
      <c r="D63" s="195"/>
      <c r="E63" s="196"/>
      <c r="F63" s="2487"/>
      <c r="G63" s="2487"/>
      <c r="H63" s="2495"/>
      <c r="I63" s="138"/>
      <c r="J63" s="3145" t="s">
        <v>2247</v>
      </c>
      <c r="K63" s="2497" t="s">
        <v>2248</v>
      </c>
      <c r="L63" s="1746">
        <f ca="1">IF(M49&gt;10000,M49*0.5%,IF(AND(M49&gt;1000,M49&lt;=10000),M49*1%,IF(AND(M49&gt;100,M49&lt;=1000),M49*3%,IF(AND(M49&gt;10,M49&lt;=100),M49*5%,M49*8%))))</f>
        <v>489.43</v>
      </c>
      <c r="M63" s="24">
        <f ca="1">ROUND(L63,1)</f>
        <v>489.4</v>
      </c>
      <c r="Z63" s="2421"/>
      <c r="AI63" s="2422"/>
    </row>
    <row r="64" spans="1:35" ht="14.25" customHeight="1">
      <c r="A64" s="197" t="s">
        <v>770</v>
      </c>
      <c r="B64" s="198" t="s">
        <v>2249</v>
      </c>
      <c r="C64" s="199">
        <f ca="1">D45</f>
        <v>100559</v>
      </c>
      <c r="D64" s="200" t="s">
        <v>32</v>
      </c>
      <c r="E64" s="201"/>
      <c r="F64" s="2487"/>
      <c r="G64" s="2487"/>
      <c r="H64" s="2495"/>
      <c r="I64" s="138"/>
      <c r="J64" s="3145"/>
      <c r="K64" s="2497" t="s">
        <v>2250</v>
      </c>
      <c r="L64" s="1746">
        <f ca="1">IF(M49&gt;2000,M49*0.5%,IF(AND(M49&gt;1000,M49&lt;=2000),M49*0.6%,IF(AND(M49&gt;500,M49&lt;=1000),M49*0.7%,IF(AND(M49&gt;200,M49&lt;=500),M49*0.8%,IF(AND(M49&gt;100,M49&lt;=200),M49*0.9%,IF(AND(M49&gt;50,M49&lt;=100),M49*1%,IF(AND(M49&gt;20,M49&lt;=50),M49*1.5%,IF(AND(M49&gt;10,M49&lt;=20),M49*2%,IF(AND(M49&gt;1,M49&lt;=10),M49*2.5%)))))))))</f>
        <v>489.43</v>
      </c>
      <c r="M64" s="24">
        <f t="shared" ref="M64:M65" ca="1" si="1">ROUND(L64,1)</f>
        <v>489.4</v>
      </c>
      <c r="N64" s="138" t="s">
        <v>2251</v>
      </c>
      <c r="Z64" s="2421"/>
      <c r="AI64" s="2422"/>
    </row>
    <row r="65" spans="1:35" ht="14.25" customHeight="1">
      <c r="A65" s="197" t="s">
        <v>771</v>
      </c>
      <c r="B65" s="198" t="s">
        <v>2252</v>
      </c>
      <c r="C65" s="202"/>
      <c r="D65" s="200"/>
      <c r="E65" s="201"/>
      <c r="F65" s="2487"/>
      <c r="G65" s="2487"/>
      <c r="H65" s="2495"/>
      <c r="I65" s="138"/>
      <c r="J65" s="3145"/>
      <c r="K65" s="2497" t="s">
        <v>2253</v>
      </c>
      <c r="L65" s="1746">
        <f ca="1">IF(M49&gt;1000,M49*0.1%,IF(AND(M49&gt;500,M49&lt;=1000),M49*0.5%,IF(AND(M49&gt;50,M49&lt;=500),M49*1%,IF(AND(M49&gt;1,M49&lt;=50),M49*1.5%))))</f>
        <v>97.885999999999996</v>
      </c>
      <c r="M65" s="24">
        <f t="shared" ca="1" si="1"/>
        <v>97.9</v>
      </c>
      <c r="N65" s="138" t="s">
        <v>2251</v>
      </c>
      <c r="Z65" s="2421"/>
      <c r="AI65" s="2422"/>
    </row>
    <row r="66" spans="1:35" ht="14.25" customHeight="1">
      <c r="A66" s="203" t="s">
        <v>772</v>
      </c>
      <c r="B66" s="204" t="s">
        <v>2254</v>
      </c>
      <c r="C66" s="205"/>
      <c r="D66" s="206" t="s">
        <v>32</v>
      </c>
      <c r="E66" s="1770" t="s">
        <v>1371</v>
      </c>
      <c r="F66" s="2487"/>
      <c r="G66" s="2487"/>
      <c r="H66" s="2495"/>
      <c r="I66" s="138"/>
      <c r="J66" s="3145"/>
      <c r="K66" s="2497" t="s">
        <v>2255</v>
      </c>
      <c r="L66" s="1746">
        <f ca="1">M49*0.5%</f>
        <v>489.43</v>
      </c>
      <c r="M66" s="24">
        <f ca="1">IF(L66&gt;0.5,0.5,ROUND(L66,0))</f>
        <v>0.5</v>
      </c>
      <c r="N66" s="138" t="s">
        <v>2256</v>
      </c>
      <c r="Z66" s="2421"/>
      <c r="AI66" s="2422"/>
    </row>
    <row r="67" spans="1:35" ht="14.25" customHeight="1">
      <c r="A67" s="203" t="s">
        <v>773</v>
      </c>
      <c r="B67" s="204" t="s">
        <v>2257</v>
      </c>
      <c r="C67" s="207">
        <f ca="1">C63-C66</f>
        <v>95770</v>
      </c>
      <c r="D67" s="200" t="s">
        <v>32</v>
      </c>
      <c r="E67" s="201"/>
      <c r="F67" s="2487"/>
      <c r="G67" s="2487"/>
      <c r="H67" s="2495"/>
      <c r="I67" s="138"/>
      <c r="J67" s="3145"/>
      <c r="K67" s="2497" t="s">
        <v>2258</v>
      </c>
      <c r="L67" s="1746">
        <f ca="1">IF(M49&gt;=10000,(8.25+(M49-10000)*0.01%),IF(AND(M49&gt;=8000,M49&lt;10000),(7.85+(M49-8000)*0.02%),IF(AND(M49&gt;=5000,M49&lt;8000),(6.65+(M49-5000)*0.04%),IF(AND(M49&gt;=2000,M49&lt;5000),(4.25+(PM49-2000)*0.08%),IF(AND(M49&gt;=1000,M49&lt;2000),(2.75+(M49-1000)*0.15%),IF(AND(M49&gt;=100,M49&lt;1000),(0.5+(M49-100)*0.25%),IF(AND(M49&gt;0,M49&lt;100),M49*0.5%)))))))</f>
        <v>17.038600000000002</v>
      </c>
      <c r="M67" s="24">
        <f ca="1">ROUND(L67*0.9,1)</f>
        <v>15.3</v>
      </c>
      <c r="Z67" s="2421"/>
      <c r="AI67" s="2422"/>
    </row>
    <row r="68" spans="1:35" ht="14.25" customHeight="1" thickBot="1">
      <c r="A68" s="208" t="s">
        <v>774</v>
      </c>
      <c r="B68" s="209" t="s">
        <v>2259</v>
      </c>
      <c r="C68" s="210">
        <f ca="1">IF(C67&lt;=0,0,ROUND(C67*D68,0))</f>
        <v>5363</v>
      </c>
      <c r="D68" s="211">
        <f>'数据-取费表'!B41</f>
        <v>5.6000000000000001E-2</v>
      </c>
      <c r="E68" s="212"/>
      <c r="F68" s="2487"/>
      <c r="G68" s="2487"/>
      <c r="H68" s="2495"/>
      <c r="I68" s="138"/>
      <c r="J68" s="3145"/>
      <c r="K68" s="2497" t="s">
        <v>2260</v>
      </c>
      <c r="L68" s="1746">
        <f ca="1">IF(M49&gt;10000,M49*0.5%,IF(AND(M49&gt;5000,M49&lt;=10000),M49*1%,IF(AND(M49&gt;1000,M49&lt;=5000),M49*2%,IF(AND(M49&gt;200,M49&lt;=1000),M49*3%,M49*5%))))</f>
        <v>489.43</v>
      </c>
      <c r="M68" s="24">
        <f ca="1">ROUND(L68,1)</f>
        <v>489.4</v>
      </c>
      <c r="Z68" s="2421"/>
      <c r="AI68" s="2422"/>
    </row>
    <row r="69" spans="1:35" s="2444" customFormat="1" ht="16.5" customHeight="1">
      <c r="A69" s="2498"/>
      <c r="B69" s="2499"/>
      <c r="C69" s="2500"/>
      <c r="D69" s="2501"/>
      <c r="E69" s="2502"/>
      <c r="F69" s="2164"/>
      <c r="G69" s="2164"/>
      <c r="H69" s="2163"/>
      <c r="I69" s="2416"/>
      <c r="J69" s="3145"/>
      <c r="K69" s="2497" t="s">
        <v>2261</v>
      </c>
      <c r="L69" s="2503"/>
      <c r="M69" s="24">
        <f ca="1">ROUND(SUM(M63:M68),0)</f>
        <v>1582</v>
      </c>
      <c r="N69" s="1747">
        <f ca="1">M69/M49</f>
        <v>1.6161657438244489E-2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4" t="s">
        <v>2262</v>
      </c>
      <c r="B70" s="3105"/>
      <c r="C70" s="3105"/>
      <c r="D70" s="3105"/>
      <c r="E70" s="3105"/>
      <c r="F70" s="3105"/>
      <c r="G70" s="3105"/>
      <c r="H70" s="310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3" t="s">
        <v>2243</v>
      </c>
      <c r="B71" s="3084"/>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95770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575</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078" t="s">
        <v>2271</v>
      </c>
      <c r="F76" s="3055"/>
      <c r="G76" s="3055"/>
      <c r="H76" s="310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575</v>
      </c>
      <c r="D78" s="226">
        <f>'数据-取费表'!B43</f>
        <v>6.000000000000001E-3</v>
      </c>
      <c r="E78" s="3064" t="s">
        <v>2276</v>
      </c>
      <c r="F78" s="3065"/>
      <c r="G78" s="3065"/>
      <c r="H78" s="307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95195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165.55652173913043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961" t="s">
        <v>3248</v>
      </c>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961" t="s">
        <v>3247</v>
      </c>
      <c r="K81" s="2961" t="s">
        <v>3243</v>
      </c>
      <c r="L81" s="2506">
        <f>ROUND(2074809190/115749.47,0)</f>
        <v>17925</v>
      </c>
      <c r="M81" s="2506">
        <f>ROUND(L81*('数据-基础表'!A3+'[1]数据-基础表'!$A$3)/10000,0)</f>
        <v>13499</v>
      </c>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4" t="s">
        <v>2280</v>
      </c>
      <c r="B83" s="3105"/>
      <c r="C83" s="3105"/>
      <c r="D83" s="3105"/>
      <c r="E83" s="3105"/>
      <c r="F83" s="3105"/>
      <c r="G83" s="3105"/>
      <c r="H83" s="310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3" t="s">
        <v>2243</v>
      </c>
      <c r="B84" s="3084"/>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95770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129391</v>
      </c>
      <c r="D86" s="235"/>
      <c r="E86" s="1797"/>
      <c r="F86" s="1791"/>
      <c r="G86" s="1791"/>
      <c r="H86" s="234"/>
      <c r="I86" s="2510"/>
      <c r="J86" s="2506"/>
      <c r="K86" s="2961"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13911</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M81</f>
        <v>13499</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412</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85178</v>
      </c>
      <c r="D91" s="226"/>
      <c r="E91" s="3064" t="s">
        <v>2289</v>
      </c>
      <c r="F91" s="3065"/>
      <c r="G91" s="3065"/>
      <c r="H91" s="2516" t="s">
        <v>2290</v>
      </c>
      <c r="I91" s="2517">
        <f ca="1">收益法!C19+'收益法-商业'!C19+'收益法-地下酒店'!C19+'收益法-车库'!C19+[1]收益法!$C$19+'[1]收益法-商业'!$C$19+'[1]收益法-地下酒店'!$C$19+'[1]收益法-车库'!$C$19</f>
        <v>85178</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9909</v>
      </c>
      <c r="D92" s="226">
        <v>0.1</v>
      </c>
      <c r="E92" s="3064" t="s">
        <v>2293</v>
      </c>
      <c r="F92" s="3065"/>
      <c r="G92" s="3065"/>
      <c r="H92" s="3074"/>
      <c r="I92" s="2510"/>
      <c r="J92" s="2506"/>
      <c r="K92" s="2961"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575</v>
      </c>
      <c r="D93" s="226">
        <f>'数据-取费表'!B43</f>
        <v>6.000000000000001E-3</v>
      </c>
      <c r="E93" s="3064" t="s">
        <v>2276</v>
      </c>
      <c r="F93" s="3065"/>
      <c r="G93" s="3065"/>
      <c r="H93" s="3074"/>
      <c r="I93" s="2510"/>
      <c r="J93" s="2506"/>
      <c r="K93" s="2961"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19818</v>
      </c>
      <c r="D94" s="226">
        <v>0.2</v>
      </c>
      <c r="E94" s="3075" t="s">
        <v>2297</v>
      </c>
      <c r="F94" s="3076"/>
      <c r="G94" s="3076"/>
      <c r="H94" s="3077"/>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-33621</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9" t="s">
        <v>2299</v>
      </c>
      <c r="B100" s="3050"/>
      <c r="C100" s="3050"/>
      <c r="D100" s="3066"/>
      <c r="E100" s="3050" t="s">
        <v>2300</v>
      </c>
      <c r="F100" s="3050"/>
      <c r="G100" s="3050"/>
      <c r="H100" s="3066"/>
      <c r="I100" s="138"/>
    </row>
    <row r="101" spans="1:35" ht="18.75" customHeight="1">
      <c r="A101" s="3128" t="s">
        <v>2301</v>
      </c>
      <c r="B101" s="3129"/>
      <c r="C101" s="736" t="str">
        <f>C4</f>
        <v>成本法</v>
      </c>
      <c r="D101" s="737" t="str">
        <f>D4</f>
        <v>假设开发法</v>
      </c>
      <c r="E101" s="3142" t="s">
        <v>2302</v>
      </c>
      <c r="F101" s="3096"/>
      <c r="G101" s="2518" t="s">
        <v>2303</v>
      </c>
      <c r="H101" s="1043">
        <f ca="1">H118</f>
        <v>50834</v>
      </c>
      <c r="I101" s="138"/>
    </row>
    <row r="102" spans="1:35" ht="18.75" customHeight="1">
      <c r="A102" s="3098" t="s">
        <v>2304</v>
      </c>
      <c r="B102" s="2518" t="s">
        <v>2303</v>
      </c>
      <c r="C102" s="736">
        <f ca="1">C19</f>
        <v>50646</v>
      </c>
      <c r="D102" s="737">
        <f ca="1">D19</f>
        <v>51021</v>
      </c>
      <c r="E102" s="3142"/>
      <c r="F102" s="3096"/>
      <c r="G102" s="2518" t="s">
        <v>2305</v>
      </c>
      <c r="H102" s="371">
        <f ca="1">I118</f>
        <v>10154</v>
      </c>
      <c r="I102" s="138"/>
    </row>
    <row r="103" spans="1:35" ht="42.75" customHeight="1">
      <c r="A103" s="3098"/>
      <c r="B103" s="2518" t="s">
        <v>2305</v>
      </c>
      <c r="C103" s="738">
        <f ca="1">C20</f>
        <v>10116</v>
      </c>
      <c r="D103" s="739">
        <f ca="1">D20</f>
        <v>10191</v>
      </c>
      <c r="E103" s="3137" t="s">
        <v>2306</v>
      </c>
      <c r="F103" s="3138"/>
      <c r="G103" s="2519" t="s">
        <v>2307</v>
      </c>
      <c r="H103" s="1043">
        <f>IF(D36="正常操作",H104+H105+H106,H105+H106)</f>
        <v>2673</v>
      </c>
      <c r="I103" s="138"/>
    </row>
    <row r="104" spans="1:35" ht="18.75" customHeight="1">
      <c r="A104" s="3098" t="s">
        <v>2308</v>
      </c>
      <c r="B104" s="2520" t="s">
        <v>2303</v>
      </c>
      <c r="C104" s="740">
        <f ca="1">H118</f>
        <v>50834</v>
      </c>
      <c r="D104" s="741"/>
      <c r="E104" s="2264" t="s">
        <v>2309</v>
      </c>
      <c r="F104" s="2256"/>
      <c r="G104" s="2519" t="s">
        <v>2307</v>
      </c>
      <c r="H104" s="1044">
        <f>IF(D36="同一抵押权人同一抵押物续贷",C36&amp;"（未扣减，详见特别提示）",C36)</f>
        <v>40000</v>
      </c>
      <c r="I104" s="138"/>
    </row>
    <row r="105" spans="1:35" ht="18.75" customHeight="1" thickBot="1">
      <c r="A105" s="3099"/>
      <c r="B105" s="2521" t="s">
        <v>2305</v>
      </c>
      <c r="C105" s="742">
        <f ca="1">I118</f>
        <v>10154</v>
      </c>
      <c r="D105" s="743"/>
      <c r="E105" s="2264" t="s">
        <v>2310</v>
      </c>
      <c r="F105" s="2256"/>
      <c r="G105" s="2519" t="s">
        <v>2307</v>
      </c>
      <c r="H105" s="1044">
        <f>C37</f>
        <v>2673</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5" t="str">
        <f>IF(项目基本情况!E8="已注销","——","3.房地产抵押价值")</f>
        <v>3.房地产抵押价值</v>
      </c>
      <c r="F107" s="3096"/>
      <c r="G107" s="2518" t="s">
        <v>2303</v>
      </c>
      <c r="H107" s="1043">
        <f ca="1">IF(E107="——","——",H101-H103)</f>
        <v>48161</v>
      </c>
      <c r="I107" s="138"/>
    </row>
    <row r="108" spans="1:35" ht="18.75" customHeight="1">
      <c r="A108" s="138"/>
      <c r="B108" s="138"/>
      <c r="C108" s="138"/>
      <c r="D108" s="138"/>
      <c r="E108" s="3095"/>
      <c r="F108" s="3096"/>
      <c r="G108" s="2518" t="s">
        <v>2305</v>
      </c>
      <c r="H108" s="371">
        <f ca="1">ROUND(H107*10000/'数据-汇总表'!E3,0)</f>
        <v>9620</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8" t="s">
        <v>2303</v>
      </c>
      <c r="H109" s="348" t="str">
        <f>IF(E109="——","——",H101-H105-H106)</f>
        <v>——</v>
      </c>
      <c r="I109" s="138"/>
    </row>
    <row r="110" spans="1:35" ht="18.75" customHeight="1">
      <c r="A110" s="138"/>
      <c r="B110" s="138"/>
      <c r="C110" s="138"/>
      <c r="D110" s="138"/>
      <c r="E110" s="3095"/>
      <c r="F110" s="3096"/>
      <c r="G110" s="2518" t="s">
        <v>2305</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4.抵押净值</v>
      </c>
      <c r="F111" s="3131"/>
      <c r="G111" s="2518" t="s">
        <v>2303</v>
      </c>
      <c r="H111" s="1043">
        <f ca="1">IF(E111="——","——",N59)</f>
        <v>92473</v>
      </c>
      <c r="I111" s="138"/>
    </row>
    <row r="112" spans="1:35" ht="18.75" customHeight="1" thickBot="1">
      <c r="A112" s="138"/>
      <c r="B112" s="138"/>
      <c r="C112" s="138"/>
      <c r="D112" s="138"/>
      <c r="E112" s="3132"/>
      <c r="F112" s="3133"/>
      <c r="G112" s="2523" t="s">
        <v>2305</v>
      </c>
      <c r="H112" s="790">
        <f ca="1">IF(E111="——","——",N61)</f>
        <v>9824</v>
      </c>
      <c r="I112" s="138"/>
    </row>
    <row r="113" spans="1:11" ht="18.75" customHeight="1">
      <c r="A113" s="138"/>
      <c r="B113" s="138"/>
      <c r="C113" s="138"/>
      <c r="D113" s="138"/>
      <c r="E113" s="3100" t="s">
        <v>2311</v>
      </c>
      <c r="F113" s="3100"/>
      <c r="G113" s="3100"/>
      <c r="H113" s="3100"/>
      <c r="I113" s="138"/>
    </row>
    <row r="114" spans="1:11" ht="3.75" customHeight="1">
      <c r="A114" s="2416"/>
      <c r="B114" s="2416"/>
      <c r="C114" s="2416"/>
      <c r="D114" s="2416"/>
      <c r="E114" s="2494"/>
      <c r="F114" s="2494"/>
      <c r="G114" s="2494"/>
      <c r="H114" s="2494"/>
      <c r="I114" s="2416"/>
    </row>
    <row r="115" spans="1:11" ht="18.75" customHeight="1">
      <c r="A115" s="3113" t="s">
        <v>2313</v>
      </c>
      <c r="B115" s="3114"/>
      <c r="C115" s="3114"/>
      <c r="D115" s="3114"/>
      <c r="E115" s="3114"/>
      <c r="F115" s="3114"/>
      <c r="G115" s="3114"/>
      <c r="H115" s="3114"/>
      <c r="I115" s="3115"/>
    </row>
    <row r="116" spans="1:11" ht="27" customHeight="1">
      <c r="A116" s="3006" t="s">
        <v>2314</v>
      </c>
      <c r="B116" s="3101" t="s">
        <v>2315</v>
      </c>
      <c r="C116" s="3101" t="s">
        <v>2316</v>
      </c>
      <c r="D116" s="3117" t="s">
        <v>2317</v>
      </c>
      <c r="E116" s="3118"/>
      <c r="F116" s="3109" t="s">
        <v>2318</v>
      </c>
      <c r="G116" s="3109"/>
      <c r="H116" s="3006" t="s">
        <v>2319</v>
      </c>
      <c r="I116" s="3006"/>
    </row>
    <row r="117" spans="1:11" ht="18.75" customHeight="1">
      <c r="A117" s="3006"/>
      <c r="B117" s="3102"/>
      <c r="C117" s="3102"/>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06" t="s">
        <v>2323</v>
      </c>
      <c r="B119" s="3006"/>
      <c r="C119" s="3006"/>
      <c r="D119" s="3106" t="e">
        <f ca="1">NUMBERSTRING(INT(D118*10000),2)&amp;"元整"</f>
        <v>#REF!</v>
      </c>
      <c r="E119" s="3108"/>
      <c r="F119" s="3106" t="e">
        <f ca="1">NUMBERSTRING(INT(F118*10000),2)&amp;"元整"</f>
        <v>#REF!</v>
      </c>
      <c r="G119" s="3108"/>
      <c r="H119" s="3106" t="str">
        <f ca="1">NUMBERSTRING(INT(H118*10000),2)&amp;"元整"</f>
        <v>伍亿零捌佰叁拾肆万元整</v>
      </c>
      <c r="I119" s="3108"/>
    </row>
    <row r="120" spans="1:11" ht="18.75" customHeight="1">
      <c r="A120" s="3134" t="str">
        <f>IF(项目基本情况!B9="房地产市场价值","",MID(E103,3,LEN(E103)-2))</f>
        <v>估价师知悉的法定优先受偿款</v>
      </c>
      <c r="B120" s="3135"/>
      <c r="C120" s="3136"/>
      <c r="D120" s="3134">
        <f>H103</f>
        <v>2673</v>
      </c>
      <c r="E120" s="3135"/>
      <c r="F120" s="3135"/>
      <c r="G120" s="3135"/>
      <c r="H120" s="3135"/>
      <c r="I120" s="3136"/>
      <c r="K120" s="2421" t="str">
        <f>IF(D120=0,"故，本次评估不存在"&amp;A120,"故，本次评估"&amp;A120&amp;"为人民币"&amp;D120&amp;"万元整。")</f>
        <v>故，本次评估估价师知悉的法定优先受偿款为人民币2673万元整。</v>
      </c>
    </row>
    <row r="121" spans="1:11" ht="18.75" customHeight="1">
      <c r="A121" s="3110" t="s">
        <v>2323</v>
      </c>
      <c r="B121" s="3111"/>
      <c r="C121" s="3112"/>
      <c r="D121" s="3106" t="str">
        <f>IF(D120=0,"零元整",NUMBERSTRING(INT(D120*10000),2)&amp;"元整")</f>
        <v>贰仟陆佰柒拾叁万元整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48161</v>
      </c>
      <c r="E122" s="3135"/>
      <c r="F122" s="3135"/>
      <c r="G122" s="3135"/>
      <c r="H122" s="3135"/>
      <c r="I122" s="3136"/>
    </row>
    <row r="123" spans="1:11" ht="18.75" customHeight="1">
      <c r="A123" s="3006" t="s">
        <v>2323</v>
      </c>
      <c r="B123" s="3006"/>
      <c r="C123" s="3006"/>
      <c r="D123" s="3106" t="str">
        <f ca="1">NUMBERSTRING(INT(D122*10000),2)&amp;"元整"</f>
        <v>肆亿捌仟壹佰陆拾壹万元整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2323</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抵押净值</v>
      </c>
      <c r="B126" s="3097"/>
      <c r="C126" s="3097"/>
      <c r="D126" s="3134">
        <f ca="1">H111</f>
        <v>92473</v>
      </c>
      <c r="E126" s="3135"/>
      <c r="F126" s="3135"/>
      <c r="G126" s="3135"/>
      <c r="H126" s="3135"/>
      <c r="I126" s="3136"/>
    </row>
    <row r="127" spans="1:11" ht="18.75" customHeight="1">
      <c r="A127" s="3006" t="s">
        <v>2323</v>
      </c>
      <c r="B127" s="3006"/>
      <c r="C127" s="3006"/>
      <c r="D127" s="3106" t="str">
        <f ca="1">NUMBERSTRING(INT(D126*10000),2)&amp;"元整"</f>
        <v>玖亿贰仟肆佰柒拾叁万元整</v>
      </c>
      <c r="E127" s="3107"/>
      <c r="F127" s="3107"/>
      <c r="G127" s="3107"/>
      <c r="H127" s="3107"/>
      <c r="I127" s="3108"/>
    </row>
    <row r="128" spans="1:11" ht="21.75" customHeight="1">
      <c r="A128" s="3116" t="s">
        <v>2324</v>
      </c>
      <c r="B128" s="3116"/>
      <c r="C128" s="3116"/>
      <c r="D128" s="3116"/>
      <c r="E128" s="3116"/>
      <c r="F128" s="3116"/>
      <c r="G128" s="3116"/>
      <c r="H128" s="3116"/>
      <c r="I128" s="3116"/>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8" t="s">
        <v>2415</v>
      </c>
    </row>
    <row r="43" spans="1:7" ht="13.5" customHeight="1">
      <c r="A43" s="949" t="s">
        <v>792</v>
      </c>
      <c r="B43" s="259" t="s">
        <v>2416</v>
      </c>
      <c r="C43" s="282">
        <f ca="1">ROUND(IF('数据-取费表'!B22&lt;=1,C39*F22*'数据-取费表'!B21/2,C39*(POWER((1+F22),'数据-取费表'!B21/2)-1)),0)</f>
        <v>15</v>
      </c>
      <c r="D43" s="282"/>
      <c r="E43" s="282"/>
      <c r="F43" s="283"/>
      <c r="G43" s="3149"/>
    </row>
    <row r="44" spans="1:7" ht="13.5" customHeight="1">
      <c r="A44" s="949" t="s">
        <v>793</v>
      </c>
      <c r="B44" s="259" t="s">
        <v>2417</v>
      </c>
      <c r="C44" s="282">
        <f ca="1">ROUND(IF('数据-取费表'!B22&lt;=1,C40*F22*'数据-取费表'!B21/2,C40*(POWER((1+F22),'数据-取费表'!B21/2)-1)),4)</f>
        <v>1.4E-3</v>
      </c>
      <c r="D44" s="282"/>
      <c r="E44" s="282"/>
      <c r="F44" s="283"/>
      <c r="G44" s="3150"/>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出让国有建设用地使用权及在建建筑物房地产抵押价值预评估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8" t="s">
        <v>2462</v>
      </c>
    </row>
    <row r="43" spans="1:7" ht="13.5" customHeight="1">
      <c r="A43" s="949" t="s">
        <v>792</v>
      </c>
      <c r="B43" s="259" t="s">
        <v>2416</v>
      </c>
      <c r="C43" s="282">
        <f ca="1">ROUND(IF('数据-取费表'!B22&lt;=1,C39*F22*'数据-取费表'!B20/2,C39*(POWER((1+F22),'数据-取费表'!B20/2)-1)),0)</f>
        <v>770645</v>
      </c>
      <c r="D43" s="282"/>
      <c r="E43" s="282"/>
      <c r="F43" s="283"/>
      <c r="G43" s="3149"/>
    </row>
    <row r="44" spans="1:7" ht="13.5" customHeight="1">
      <c r="A44" s="949" t="s">
        <v>793</v>
      </c>
      <c r="B44" s="259" t="s">
        <v>2417</v>
      </c>
      <c r="C44" s="282">
        <f ca="1">ROUND(IF('数据-取费表'!B22&lt;=1,C40*F22*'数据-取费表'!B20/2,C40*(POWER((1+F22),'数据-取费表'!B20/2)-1)),4)</f>
        <v>2.2000000000000001E-3</v>
      </c>
      <c r="D44" s="282"/>
      <c r="E44" s="282"/>
      <c r="F44" s="283"/>
      <c r="G44" s="3150"/>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30" ht="15">
      <c r="A5" s="404"/>
      <c r="B5" s="405"/>
      <c r="C5" s="3185" t="s">
        <v>2545</v>
      </c>
      <c r="D5" s="3186"/>
      <c r="E5" s="3193" t="s">
        <v>3190</v>
      </c>
      <c r="F5" s="3194"/>
      <c r="G5" s="3185" t="s">
        <v>3191</v>
      </c>
      <c r="H5" s="3186"/>
      <c r="I5" s="3185" t="s">
        <v>3192</v>
      </c>
      <c r="J5" s="3186"/>
      <c r="K5" s="610"/>
      <c r="L5" s="1128"/>
      <c r="M5" s="1129"/>
      <c r="N5" s="1129"/>
      <c r="O5" s="1129"/>
      <c r="P5" s="3173"/>
      <c r="Q5" s="3174"/>
      <c r="R5" s="3179"/>
      <c r="S5" s="3180"/>
      <c r="T5" s="3179"/>
      <c r="U5" s="3180"/>
      <c r="V5" s="3164"/>
      <c r="W5" s="3164"/>
      <c r="X5" s="1810"/>
      <c r="Y5" s="3179"/>
      <c r="Z5" s="3180"/>
      <c r="AA5" s="3166"/>
      <c r="AB5" s="3166"/>
      <c r="AC5" s="3166"/>
    </row>
    <row r="6" spans="1:30" ht="15.75" thickBot="1">
      <c r="A6" s="406"/>
      <c r="B6" s="407"/>
      <c r="C6" s="3190" t="s">
        <v>2549</v>
      </c>
      <c r="D6" s="3184"/>
      <c r="E6" s="3191" t="s">
        <v>3193</v>
      </c>
      <c r="F6" s="3192"/>
      <c r="G6" s="3183" t="s">
        <v>3194</v>
      </c>
      <c r="H6" s="3184"/>
      <c r="I6" s="3183" t="s">
        <v>3195</v>
      </c>
      <c r="J6" s="3184"/>
      <c r="K6" s="610" t="s">
        <v>2550</v>
      </c>
      <c r="L6" s="1128"/>
      <c r="M6" s="1129"/>
      <c r="N6" s="1129"/>
      <c r="O6" s="1129"/>
      <c r="P6" s="3175"/>
      <c r="Q6" s="3176"/>
      <c r="R6" s="3179"/>
      <c r="S6" s="3180"/>
      <c r="T6" s="3181"/>
      <c r="U6" s="3182"/>
      <c r="V6" s="3164"/>
      <c r="W6" s="3164"/>
      <c r="X6" s="1810"/>
      <c r="Y6" s="3181"/>
      <c r="Z6" s="3182"/>
      <c r="AA6" s="3167"/>
      <c r="AB6" s="3167"/>
      <c r="AC6" s="3167"/>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87" t="s">
        <v>2552</v>
      </c>
      <c r="Q7" s="3189"/>
      <c r="R7" s="770" t="s">
        <v>17</v>
      </c>
      <c r="S7" s="771">
        <f t="shared" ref="S7:S15" si="0">F7</f>
        <v>99</v>
      </c>
      <c r="T7" s="770" t="s">
        <v>17</v>
      </c>
      <c r="U7" s="771">
        <f t="shared" ref="U7:U15" si="1">H7</f>
        <v>98</v>
      </c>
      <c r="V7" s="770" t="s">
        <v>17</v>
      </c>
      <c r="W7" s="771">
        <f t="shared" ref="W7:W15" si="2">J7</f>
        <v>97</v>
      </c>
      <c r="X7" s="772"/>
      <c r="Y7" s="3187" t="s">
        <v>2552</v>
      </c>
      <c r="Z7" s="3188"/>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87" t="s">
        <v>2555</v>
      </c>
      <c r="Q8" s="3188"/>
      <c r="R8" s="770" t="s">
        <v>17</v>
      </c>
      <c r="S8" s="771">
        <f t="shared" si="0"/>
        <v>100</v>
      </c>
      <c r="T8" s="770" t="s">
        <v>17</v>
      </c>
      <c r="U8" s="771">
        <f t="shared" si="1"/>
        <v>100</v>
      </c>
      <c r="V8" s="770" t="s">
        <v>17</v>
      </c>
      <c r="W8" s="771">
        <f t="shared" si="2"/>
        <v>100</v>
      </c>
      <c r="X8" s="772"/>
      <c r="Y8" s="3187" t="s">
        <v>2555</v>
      </c>
      <c r="Z8" s="3188"/>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58"/>
      <c r="Q11" s="1792" t="str">
        <f t="shared" si="6"/>
        <v>容积率</v>
      </c>
      <c r="R11" s="770" t="s">
        <v>17</v>
      </c>
      <c r="S11" s="771">
        <f t="shared" si="0"/>
        <v>112</v>
      </c>
      <c r="T11" s="770" t="s">
        <v>17</v>
      </c>
      <c r="U11" s="771">
        <f t="shared" si="1"/>
        <v>110</v>
      </c>
      <c r="V11" s="770" t="s">
        <v>17</v>
      </c>
      <c r="W11" s="771">
        <f t="shared" si="2"/>
        <v>104</v>
      </c>
      <c r="X11" s="772"/>
      <c r="Y11" s="3006"/>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8"/>
      <c r="Q12" s="1792"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0" t="s">
        <v>2563</v>
      </c>
      <c r="Q15" s="1807" t="str">
        <f t="shared" si="6"/>
        <v>居住社区成熟度</v>
      </c>
      <c r="R15" s="774" t="s">
        <v>17</v>
      </c>
      <c r="S15" s="775">
        <f t="shared" si="0"/>
        <v>100</v>
      </c>
      <c r="T15" s="774" t="s">
        <v>17</v>
      </c>
      <c r="U15" s="775">
        <f t="shared" si="1"/>
        <v>100</v>
      </c>
      <c r="V15" s="774" t="s">
        <v>17</v>
      </c>
      <c r="W15" s="775">
        <f t="shared" si="2"/>
        <v>100</v>
      </c>
      <c r="X15" s="1810"/>
      <c r="Y15" s="3160"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61"/>
      <c r="Q17" s="1807" t="str">
        <f>B17</f>
        <v>商业繁华度</v>
      </c>
      <c r="R17" s="774" t="s">
        <v>17</v>
      </c>
      <c r="S17" s="775">
        <f>F17</f>
        <v>97</v>
      </c>
      <c r="T17" s="774" t="s">
        <v>17</v>
      </c>
      <c r="U17" s="775">
        <f>H17</f>
        <v>97</v>
      </c>
      <c r="V17" s="774" t="s">
        <v>17</v>
      </c>
      <c r="W17" s="775">
        <f>J17</f>
        <v>100</v>
      </c>
      <c r="X17" s="1810"/>
      <c r="Y17" s="3161"/>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1"/>
      <c r="Q19" s="1807" t="str">
        <f>B19</f>
        <v>办公集聚程度</v>
      </c>
      <c r="R19" s="774" t="s">
        <v>17</v>
      </c>
      <c r="S19" s="775">
        <f>F19</f>
        <v>100</v>
      </c>
      <c r="T19" s="774" t="s">
        <v>17</v>
      </c>
      <c r="U19" s="775">
        <f>H19</f>
        <v>100</v>
      </c>
      <c r="V19" s="774" t="s">
        <v>17</v>
      </c>
      <c r="W19" s="775">
        <f>J19</f>
        <v>100</v>
      </c>
      <c r="X19" s="1810"/>
      <c r="Y19" s="3161"/>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61"/>
      <c r="Q20" s="1807"/>
      <c r="R20" s="774"/>
      <c r="S20" s="775"/>
      <c r="T20" s="774"/>
      <c r="U20" s="775"/>
      <c r="V20" s="774"/>
      <c r="W20" s="775"/>
      <c r="X20" s="1810"/>
      <c r="Y20" s="3161"/>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61"/>
      <c r="Q21" s="1807" t="str">
        <f>B21</f>
        <v>交通便捷度</v>
      </c>
      <c r="R21" s="774" t="s">
        <v>17</v>
      </c>
      <c r="S21" s="775">
        <f>F21</f>
        <v>100</v>
      </c>
      <c r="T21" s="774" t="s">
        <v>17</v>
      </c>
      <c r="U21" s="775">
        <f>H21</f>
        <v>100</v>
      </c>
      <c r="V21" s="774" t="s">
        <v>17</v>
      </c>
      <c r="W21" s="775">
        <f>J21</f>
        <v>100</v>
      </c>
      <c r="X21" s="1810"/>
      <c r="Y21" s="3161"/>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61"/>
      <c r="Q23" s="1807" t="str">
        <f t="shared" ref="Q23:Q37" si="8">B23</f>
        <v>区域土地利用方向</v>
      </c>
      <c r="R23" s="774" t="s">
        <v>17</v>
      </c>
      <c r="S23" s="775">
        <f>F23</f>
        <v>95</v>
      </c>
      <c r="T23" s="774" t="s">
        <v>17</v>
      </c>
      <c r="U23" s="775">
        <f>H23</f>
        <v>95</v>
      </c>
      <c r="V23" s="774" t="s">
        <v>17</v>
      </c>
      <c r="W23" s="775">
        <f>J23</f>
        <v>95</v>
      </c>
      <c r="X23" s="1810"/>
      <c r="Y23" s="3161"/>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61"/>
      <c r="Q24" s="1807"/>
      <c r="R24" s="774"/>
      <c r="S24" s="775"/>
      <c r="T24" s="774"/>
      <c r="U24" s="775"/>
      <c r="V24" s="774"/>
      <c r="W24" s="775"/>
      <c r="X24" s="1810"/>
      <c r="Y24" s="3161"/>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61"/>
      <c r="Q25" s="1807" t="str">
        <f t="shared" si="8"/>
        <v>自然及人文环境状况</v>
      </c>
      <c r="R25" s="774" t="s">
        <v>17</v>
      </c>
      <c r="S25" s="775">
        <f>F25</f>
        <v>100</v>
      </c>
      <c r="T25" s="774" t="s">
        <v>17</v>
      </c>
      <c r="U25" s="775">
        <f>H25</f>
        <v>100</v>
      </c>
      <c r="V25" s="774" t="s">
        <v>17</v>
      </c>
      <c r="W25" s="775">
        <f>J25</f>
        <v>100</v>
      </c>
      <c r="X25" s="1810"/>
      <c r="Y25" s="3161"/>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61"/>
      <c r="Q26" s="1807"/>
      <c r="R26" s="774"/>
      <c r="S26" s="775"/>
      <c r="T26" s="774"/>
      <c r="U26" s="775"/>
      <c r="V26" s="774"/>
      <c r="W26" s="775"/>
      <c r="X26" s="1810"/>
      <c r="Y26" s="3161"/>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61"/>
      <c r="Q27" s="1792" t="str">
        <f t="shared" si="8"/>
        <v>公共配套设施</v>
      </c>
      <c r="R27" s="770" t="s">
        <v>17</v>
      </c>
      <c r="S27" s="771">
        <f>F27</f>
        <v>100</v>
      </c>
      <c r="T27" s="770" t="s">
        <v>17</v>
      </c>
      <c r="U27" s="771">
        <f>H27</f>
        <v>100</v>
      </c>
      <c r="V27" s="770" t="s">
        <v>17</v>
      </c>
      <c r="W27" s="771">
        <f>J27</f>
        <v>100</v>
      </c>
      <c r="X27" s="772"/>
      <c r="Y27" s="3161"/>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61"/>
      <c r="Q28" s="1792"/>
      <c r="R28" s="770"/>
      <c r="S28" s="771"/>
      <c r="T28" s="770"/>
      <c r="U28" s="771"/>
      <c r="V28" s="770"/>
      <c r="W28" s="771"/>
      <c r="X28" s="772"/>
      <c r="Y28" s="3161"/>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61"/>
      <c r="Q29" s="1792" t="str">
        <f t="shared" ref="Q29" si="9">B29</f>
        <v>基础设施水平</v>
      </c>
      <c r="R29" s="770" t="s">
        <v>17</v>
      </c>
      <c r="S29" s="771">
        <f>F29</f>
        <v>100</v>
      </c>
      <c r="T29" s="770" t="s">
        <v>17</v>
      </c>
      <c r="U29" s="771">
        <f>H29</f>
        <v>100</v>
      </c>
      <c r="V29" s="770" t="s">
        <v>17</v>
      </c>
      <c r="W29" s="771">
        <f>J29</f>
        <v>100</v>
      </c>
      <c r="X29" s="772"/>
      <c r="Y29" s="3161"/>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61"/>
      <c r="Q30" s="1792"/>
      <c r="R30" s="770"/>
      <c r="S30" s="771"/>
      <c r="T30" s="770"/>
      <c r="U30" s="771"/>
      <c r="V30" s="770"/>
      <c r="W30" s="771"/>
      <c r="X30" s="772"/>
      <c r="Y30" s="3161"/>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61"/>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61"/>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61"/>
      <c r="Q32" s="1807" t="str">
        <f t="shared" si="8"/>
        <v>毗邻道路的类型与等级</v>
      </c>
      <c r="R32" s="774" t="s">
        <v>17</v>
      </c>
      <c r="S32" s="775">
        <f t="shared" si="10"/>
        <v>100</v>
      </c>
      <c r="T32" s="774" t="s">
        <v>17</v>
      </c>
      <c r="U32" s="775">
        <f t="shared" si="11"/>
        <v>100</v>
      </c>
      <c r="V32" s="774" t="s">
        <v>17</v>
      </c>
      <c r="W32" s="775">
        <f t="shared" si="12"/>
        <v>102</v>
      </c>
      <c r="X32" s="1810"/>
      <c r="Y32" s="3161"/>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61"/>
      <c r="Q33" s="1807"/>
      <c r="R33" s="774"/>
      <c r="S33" s="775"/>
      <c r="T33" s="774"/>
      <c r="U33" s="775"/>
      <c r="V33" s="774"/>
      <c r="W33" s="775"/>
      <c r="X33" s="1810"/>
      <c r="Y33" s="3161"/>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1"/>
      <c r="Q34" s="1807" t="str">
        <f t="shared" si="8"/>
        <v>土地级别</v>
      </c>
      <c r="R34" s="774" t="s">
        <v>17</v>
      </c>
      <c r="S34" s="775">
        <f t="shared" si="10"/>
        <v>100</v>
      </c>
      <c r="T34" s="774" t="s">
        <v>17</v>
      </c>
      <c r="U34" s="775">
        <f t="shared" si="11"/>
        <v>100</v>
      </c>
      <c r="V34" s="774" t="s">
        <v>17</v>
      </c>
      <c r="W34" s="775">
        <f t="shared" si="12"/>
        <v>100</v>
      </c>
      <c r="X34" s="1810"/>
      <c r="Y34" s="3161"/>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1"/>
      <c r="Q35" s="1807">
        <f t="shared" si="8"/>
        <v>111</v>
      </c>
      <c r="R35" s="774" t="s">
        <v>17</v>
      </c>
      <c r="S35" s="775">
        <f t="shared" si="10"/>
        <v>100</v>
      </c>
      <c r="T35" s="774" t="s">
        <v>17</v>
      </c>
      <c r="U35" s="775">
        <f t="shared" si="11"/>
        <v>100</v>
      </c>
      <c r="V35" s="774" t="s">
        <v>17</v>
      </c>
      <c r="W35" s="775">
        <f t="shared" si="12"/>
        <v>100</v>
      </c>
      <c r="X35" s="1810"/>
      <c r="Y35" s="3161"/>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62" t="s">
        <v>2568</v>
      </c>
      <c r="Q36" s="1807">
        <f t="shared" si="8"/>
        <v>111</v>
      </c>
      <c r="R36" s="774" t="s">
        <v>17</v>
      </c>
      <c r="S36" s="775">
        <f t="shared" si="10"/>
        <v>100</v>
      </c>
      <c r="T36" s="774" t="s">
        <v>17</v>
      </c>
      <c r="U36" s="775">
        <f t="shared" si="11"/>
        <v>100</v>
      </c>
      <c r="V36" s="774" t="s">
        <v>17</v>
      </c>
      <c r="W36" s="775">
        <f t="shared" si="12"/>
        <v>100</v>
      </c>
      <c r="X36" s="1810"/>
      <c r="Y36" s="3163"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3"/>
      <c r="Q37" s="1807">
        <f t="shared" si="8"/>
        <v>111</v>
      </c>
      <c r="R37" s="777" t="s">
        <v>17</v>
      </c>
      <c r="S37" s="778">
        <f t="shared" si="10"/>
        <v>100</v>
      </c>
      <c r="T37" s="777" t="s">
        <v>17</v>
      </c>
      <c r="U37" s="778">
        <f t="shared" si="11"/>
        <v>100</v>
      </c>
      <c r="V37" s="777" t="s">
        <v>17</v>
      </c>
      <c r="W37" s="778">
        <f t="shared" si="12"/>
        <v>100</v>
      </c>
      <c r="X37" s="779"/>
      <c r="Y37" s="3163"/>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63"/>
      <c r="Q38" s="1807" t="str">
        <f>B38</f>
        <v>宗地面积</v>
      </c>
      <c r="R38" s="774" t="s">
        <v>17</v>
      </c>
      <c r="S38" s="775">
        <f t="shared" si="10"/>
        <v>98.5</v>
      </c>
      <c r="T38" s="774" t="s">
        <v>17</v>
      </c>
      <c r="U38" s="775">
        <f t="shared" si="11"/>
        <v>98.5</v>
      </c>
      <c r="V38" s="774" t="s">
        <v>17</v>
      </c>
      <c r="W38" s="775">
        <f t="shared" si="12"/>
        <v>99</v>
      </c>
      <c r="X38" s="1810"/>
      <c r="Y38" s="3163"/>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63"/>
      <c r="Q39" s="1807" t="str">
        <f t="shared" ref="Q39:Q45" si="14">B39</f>
        <v>宗地形状</v>
      </c>
      <c r="R39" s="774" t="s">
        <v>17</v>
      </c>
      <c r="S39" s="775">
        <f t="shared" si="10"/>
        <v>100</v>
      </c>
      <c r="T39" s="774" t="s">
        <v>17</v>
      </c>
      <c r="U39" s="775">
        <f t="shared" si="11"/>
        <v>100</v>
      </c>
      <c r="V39" s="774" t="s">
        <v>17</v>
      </c>
      <c r="W39" s="775">
        <f t="shared" si="12"/>
        <v>100</v>
      </c>
      <c r="X39" s="1810"/>
      <c r="Y39" s="3163"/>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3"/>
      <c r="Q40" s="1807" t="str">
        <f t="shared" si="14"/>
        <v>临街宽度及深度</v>
      </c>
      <c r="R40" s="774" t="s">
        <v>17</v>
      </c>
      <c r="S40" s="775">
        <f t="shared" si="10"/>
        <v>100</v>
      </c>
      <c r="T40" s="774" t="s">
        <v>17</v>
      </c>
      <c r="U40" s="775">
        <f t="shared" si="11"/>
        <v>100</v>
      </c>
      <c r="V40" s="774" t="s">
        <v>17</v>
      </c>
      <c r="W40" s="775">
        <f t="shared" si="12"/>
        <v>100</v>
      </c>
      <c r="X40" s="1810"/>
      <c r="Y40" s="3163"/>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63"/>
      <c r="Q41" s="1807" t="str">
        <f t="shared" si="14"/>
        <v>宗地开发程度</v>
      </c>
      <c r="R41" s="770" t="s">
        <v>17</v>
      </c>
      <c r="S41" s="771">
        <f t="shared" si="10"/>
        <v>98</v>
      </c>
      <c r="T41" s="770" t="s">
        <v>17</v>
      </c>
      <c r="U41" s="771">
        <f t="shared" si="11"/>
        <v>98</v>
      </c>
      <c r="V41" s="770" t="s">
        <v>17</v>
      </c>
      <c r="W41" s="771">
        <f t="shared" si="12"/>
        <v>98</v>
      </c>
      <c r="X41" s="772"/>
      <c r="Y41" s="3163"/>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3" t="s">
        <v>2568</v>
      </c>
      <c r="Q42" s="1807" t="str">
        <f t="shared" si="14"/>
        <v>工程地质条件</v>
      </c>
      <c r="R42" s="774" t="s">
        <v>17</v>
      </c>
      <c r="S42" s="775">
        <f t="shared" si="10"/>
        <v>100</v>
      </c>
      <c r="T42" s="774" t="s">
        <v>17</v>
      </c>
      <c r="U42" s="775">
        <f t="shared" si="11"/>
        <v>100</v>
      </c>
      <c r="V42" s="774" t="s">
        <v>17</v>
      </c>
      <c r="W42" s="775">
        <f t="shared" si="12"/>
        <v>100</v>
      </c>
      <c r="X42" s="1810"/>
      <c r="Y42" s="3163"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3"/>
      <c r="Q43" s="1807">
        <f t="shared" si="14"/>
        <v>111</v>
      </c>
      <c r="R43" s="774" t="s">
        <v>17</v>
      </c>
      <c r="S43" s="775">
        <f t="shared" si="10"/>
        <v>100</v>
      </c>
      <c r="T43" s="774" t="s">
        <v>17</v>
      </c>
      <c r="U43" s="775">
        <f t="shared" si="11"/>
        <v>100</v>
      </c>
      <c r="V43" s="774" t="s">
        <v>17</v>
      </c>
      <c r="W43" s="775">
        <f t="shared" si="12"/>
        <v>100</v>
      </c>
      <c r="X43" s="1810"/>
      <c r="Y43" s="3163"/>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3"/>
      <c r="Q44" s="1807">
        <f t="shared" si="14"/>
        <v>111</v>
      </c>
      <c r="R44" s="774" t="s">
        <v>17</v>
      </c>
      <c r="S44" s="775">
        <f t="shared" si="10"/>
        <v>100</v>
      </c>
      <c r="T44" s="774" t="s">
        <v>17</v>
      </c>
      <c r="U44" s="775">
        <f t="shared" si="11"/>
        <v>100</v>
      </c>
      <c r="V44" s="774" t="s">
        <v>17</v>
      </c>
      <c r="W44" s="775">
        <f t="shared" si="12"/>
        <v>100</v>
      </c>
      <c r="X44" s="1810"/>
      <c r="Y44" s="3163"/>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3"/>
      <c r="Q45" s="1807">
        <f t="shared" si="14"/>
        <v>111</v>
      </c>
      <c r="R45" s="777" t="s">
        <v>17</v>
      </c>
      <c r="S45" s="778">
        <f t="shared" si="10"/>
        <v>100</v>
      </c>
      <c r="T45" s="777" t="s">
        <v>17</v>
      </c>
      <c r="U45" s="778">
        <f t="shared" si="11"/>
        <v>100</v>
      </c>
      <c r="V45" s="777" t="s">
        <v>17</v>
      </c>
      <c r="W45" s="778">
        <f t="shared" si="12"/>
        <v>100</v>
      </c>
      <c r="X45" s="779"/>
      <c r="Y45" s="3163"/>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58" t="str">
        <f>A46</f>
        <v>成交单价</v>
      </c>
      <c r="Q46" s="3158"/>
      <c r="R46" s="3164">
        <f>E46</f>
        <v>7010</v>
      </c>
      <c r="S46" s="3164"/>
      <c r="T46" s="3164">
        <f>G46</f>
        <v>6900</v>
      </c>
      <c r="U46" s="3164"/>
      <c r="V46" s="3164">
        <f>I46</f>
        <v>7120</v>
      </c>
      <c r="W46" s="3164"/>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58" t="str">
        <f>A47</f>
        <v>比较价值（元/平方米）</v>
      </c>
      <c r="Q47" s="3158"/>
      <c r="R47" s="3151">
        <f>ROUND(PRODUCT(R46,AA7:AA45),0)</f>
        <v>6751</v>
      </c>
      <c r="S47" s="3151"/>
      <c r="T47" s="3151">
        <f>ROUND(PRODUCT(T46,AB7:AB45),0)</f>
        <v>6623</v>
      </c>
      <c r="U47" s="3151"/>
      <c r="V47" s="3151">
        <f>ROUND(PRODUCT(V46,AC7:AC45),0)</f>
        <v>6703</v>
      </c>
      <c r="W47" s="3151"/>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52" t="str">
        <f>A48</f>
        <v>估价对象XX用房的比较价值（楼面单价，元/平方米）</v>
      </c>
      <c r="Q48" s="3153"/>
      <c r="R48" s="3154">
        <f>ROUND(AVERAGE(R47:V47),0)</f>
        <v>6692</v>
      </c>
      <c r="S48" s="3154"/>
      <c r="T48" s="3154"/>
      <c r="U48" s="3154"/>
      <c r="V48" s="3154"/>
      <c r="W48" s="315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55" t="s">
        <v>2767</v>
      </c>
      <c r="H55" s="3156"/>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57"/>
      <c r="H56" s="3158"/>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59"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59"/>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59"/>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59"/>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7628</v>
      </c>
      <c r="D6" s="164" t="s">
        <v>3036</v>
      </c>
      <c r="E6" s="347" t="s">
        <v>1405</v>
      </c>
      <c r="F6" s="348">
        <f ca="1">INDIRECT("'数据-取费表'!u"&amp;$G$1)</f>
        <v>7</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33173.370000000003</v>
      </c>
      <c r="G7" s="1848"/>
      <c r="H7" s="349"/>
      <c r="I7" s="3198"/>
      <c r="J7" s="351"/>
      <c r="K7" s="352"/>
      <c r="L7" s="347" t="s">
        <v>1406</v>
      </c>
      <c r="M7" s="348">
        <f ca="1">F7</f>
        <v>33173.370000000003</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7" t="s">
        <v>1403</v>
      </c>
      <c r="C6" s="1294">
        <f ca="1">ROUND(F6*F8*F7*(1-F9),0)</f>
        <v>0</v>
      </c>
      <c r="D6" s="164" t="s">
        <v>3033</v>
      </c>
      <c r="E6" s="347" t="s">
        <v>1405</v>
      </c>
      <c r="F6" s="348">
        <f ca="1">INDIRECT("'数据-取费表'!u"&amp;$G$1)</f>
        <v>0</v>
      </c>
      <c r="G6" s="1848"/>
      <c r="H6" s="1289" t="s">
        <v>1035</v>
      </c>
      <c r="I6" s="3197" t="s">
        <v>1403</v>
      </c>
      <c r="J6" s="346">
        <f ca="1">ROUND(M6*M8*M7*(1-M9),0)</f>
        <v>0</v>
      </c>
      <c r="K6" s="1831" t="s">
        <v>3034</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0</v>
      </c>
      <c r="G7" s="1848"/>
      <c r="H7" s="349"/>
      <c r="I7" s="3198"/>
      <c r="J7" s="351"/>
      <c r="K7" s="352"/>
      <c r="L7" s="347" t="s">
        <v>1406</v>
      </c>
      <c r="M7" s="348">
        <f ca="1">F7</f>
        <v>0</v>
      </c>
    </row>
    <row r="8" spans="1:37" ht="18" customHeight="1">
      <c r="A8" s="349"/>
      <c r="B8" s="3198"/>
      <c r="C8" s="351"/>
      <c r="D8" s="352"/>
      <c r="E8" s="347" t="s">
        <v>1407</v>
      </c>
      <c r="F8" s="348">
        <f ca="1">INDIRECT("'数据-取费表'!ai"&amp;$G$1)</f>
        <v>0</v>
      </c>
      <c r="G8" s="1848"/>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5" t="s">
        <v>1548</v>
      </c>
      <c r="L53" s="319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200" t="s">
        <v>2525</v>
      </c>
      <c r="C5" s="3200"/>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42</v>
      </c>
      <c r="D6" s="164" t="s">
        <v>3036</v>
      </c>
      <c r="E6" s="347" t="s">
        <v>1405</v>
      </c>
      <c r="F6" s="348">
        <f ca="1">INDIRECT("'数据-取费表'!u"&amp;$G$1)</f>
        <v>10</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129.16999999999999</v>
      </c>
      <c r="G7" s="1848"/>
      <c r="H7" s="349"/>
      <c r="I7" s="3198"/>
      <c r="J7" s="351"/>
      <c r="K7" s="352"/>
      <c r="L7" s="347" t="s">
        <v>1406</v>
      </c>
      <c r="M7" s="348">
        <f ca="1">F7</f>
        <v>129.16999999999999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1123</v>
      </c>
      <c r="D6" s="164" t="s">
        <v>3036</v>
      </c>
      <c r="E6" s="347" t="s">
        <v>1405</v>
      </c>
      <c r="F6" s="348">
        <f ca="1">INDIRECT("'数据-取费表'!u"&amp;$G$1)</f>
        <v>3.5</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9767.31</v>
      </c>
      <c r="G7" s="1848"/>
      <c r="H7" s="349"/>
      <c r="I7" s="3198"/>
      <c r="J7" s="351"/>
      <c r="K7" s="352"/>
      <c r="L7" s="347" t="s">
        <v>1406</v>
      </c>
      <c r="M7" s="348">
        <f ca="1">F7</f>
        <v>9767.31</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228</v>
      </c>
      <c r="D6" s="164" t="s">
        <v>3036</v>
      </c>
      <c r="E6" s="347" t="s">
        <v>1405</v>
      </c>
      <c r="F6" s="348">
        <f ca="1">INDIRECT("'数据-取费表'!u"&amp;$G$1)</f>
        <v>1</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6954.59</v>
      </c>
      <c r="G7" s="1848"/>
      <c r="H7" s="349"/>
      <c r="I7" s="3198"/>
      <c r="J7" s="351"/>
      <c r="K7" s="352"/>
      <c r="L7" s="347" t="s">
        <v>1406</v>
      </c>
      <c r="M7" s="348">
        <f ca="1">F7</f>
        <v>6954.59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15866</v>
      </c>
      <c r="E1" s="3220"/>
      <c r="F1" s="3220"/>
      <c r="G1" s="3220"/>
      <c r="H1" s="3220"/>
      <c r="I1" s="3221"/>
    </row>
    <row r="2" spans="1:9">
      <c r="A2" s="3207" t="s">
        <v>1077</v>
      </c>
      <c r="B2" s="3208" t="s">
        <v>1078</v>
      </c>
      <c r="C2" s="3208"/>
      <c r="D2" s="1299" t="s">
        <v>1079</v>
      </c>
      <c r="E2" s="1299" t="s">
        <v>1080</v>
      </c>
      <c r="F2" s="1299" t="s">
        <v>1081</v>
      </c>
      <c r="G2" s="1299" t="s">
        <v>1082</v>
      </c>
      <c r="H2" s="1299" t="s">
        <v>1083</v>
      </c>
      <c r="I2" s="1300" t="s">
        <v>1084</v>
      </c>
    </row>
    <row r="3" spans="1:9">
      <c r="A3" s="3207"/>
      <c r="B3" s="3208" t="s">
        <v>1085</v>
      </c>
      <c r="C3" s="3208"/>
      <c r="D3" s="1301">
        <v>1</v>
      </c>
      <c r="E3" s="2945">
        <f>29999*0.7</f>
        <v>20999.3</v>
      </c>
      <c r="F3" s="1302">
        <v>0.6</v>
      </c>
      <c r="G3" s="1302">
        <v>0.4</v>
      </c>
      <c r="H3" s="1303">
        <v>365</v>
      </c>
      <c r="I3" s="1304">
        <f>ROUND(D3*E3*F3*G3*H3/10000,0)</f>
        <v>184</v>
      </c>
    </row>
    <row r="4" spans="1:9">
      <c r="A4" s="3207"/>
      <c r="B4" s="3208" t="s">
        <v>1086</v>
      </c>
      <c r="C4" s="3208"/>
      <c r="D4" s="1301">
        <v>36</v>
      </c>
      <c r="E4" s="2945">
        <f>8000*0.7</f>
        <v>5600</v>
      </c>
      <c r="F4" s="1302">
        <v>0.7</v>
      </c>
      <c r="G4" s="1302">
        <v>0.6</v>
      </c>
      <c r="H4" s="1303">
        <v>365</v>
      </c>
      <c r="I4" s="1304">
        <f t="shared" ref="I4:I6" si="0">ROUND(D4*E4*F4*G4*H4/10000,0)</f>
        <v>3091</v>
      </c>
    </row>
    <row r="5" spans="1:9">
      <c r="A5" s="3207"/>
      <c r="B5" s="3208" t="s">
        <v>1087</v>
      </c>
      <c r="C5" s="3208"/>
      <c r="D5" s="1301"/>
      <c r="E5" s="2945"/>
      <c r="F5" s="1302"/>
      <c r="G5" s="1302"/>
      <c r="H5" s="1303"/>
      <c r="I5" s="1304">
        <f t="shared" si="0"/>
        <v>0</v>
      </c>
    </row>
    <row r="6" spans="1:9">
      <c r="A6" s="3207"/>
      <c r="B6" s="3208" t="s">
        <v>1088</v>
      </c>
      <c r="C6" s="3208"/>
      <c r="D6" s="1301">
        <f>279-D3-D4</f>
        <v>242</v>
      </c>
      <c r="E6" s="2945">
        <f>2000*0.7</f>
        <v>1400</v>
      </c>
      <c r="F6" s="1302">
        <v>0.8</v>
      </c>
      <c r="G6" s="1302">
        <v>0.8</v>
      </c>
      <c r="H6" s="1303">
        <v>365</v>
      </c>
      <c r="I6" s="1304">
        <f t="shared" si="0"/>
        <v>7914</v>
      </c>
    </row>
    <row r="7" spans="1:9">
      <c r="A7" s="3207"/>
      <c r="B7" s="3208" t="s">
        <v>1089</v>
      </c>
      <c r="C7" s="3208"/>
      <c r="D7" s="1301"/>
      <c r="E7" s="1299"/>
      <c r="F7" s="1302"/>
      <c r="G7" s="1302"/>
      <c r="H7" s="1303"/>
      <c r="I7" s="1304">
        <f t="shared" ref="I7:I9" si="1">ROUND(D7*E7*F7*G7*H7/10000,0)</f>
        <v>0</v>
      </c>
    </row>
    <row r="8" spans="1:9">
      <c r="A8" s="3207"/>
      <c r="B8" s="3208" t="s">
        <v>1090</v>
      </c>
      <c r="C8" s="3208"/>
      <c r="D8" s="1301"/>
      <c r="E8" s="1299"/>
      <c r="F8" s="1302"/>
      <c r="G8" s="1302"/>
      <c r="H8" s="1303"/>
      <c r="I8" s="1304">
        <f t="shared" si="1"/>
        <v>0</v>
      </c>
    </row>
    <row r="9" spans="1:9">
      <c r="A9" s="3207"/>
      <c r="B9" s="3208" t="s">
        <v>1091</v>
      </c>
      <c r="C9" s="3208"/>
      <c r="D9" s="1301"/>
      <c r="E9" s="1299"/>
      <c r="F9" s="1302"/>
      <c r="G9" s="1302"/>
      <c r="H9" s="1303"/>
      <c r="I9" s="1304">
        <f t="shared" si="1"/>
        <v>0</v>
      </c>
    </row>
    <row r="10" spans="1:9">
      <c r="A10" s="3207"/>
      <c r="B10" s="3209" t="s">
        <v>1092</v>
      </c>
      <c r="C10" s="3209"/>
      <c r="D10" s="1305"/>
      <c r="E10" s="1305" t="e">
        <f>ROUND(D1*10000/D10/H9,0)</f>
        <v>#DIV/0!</v>
      </c>
      <c r="F10" s="1306"/>
      <c r="G10" s="1306"/>
      <c r="H10" s="1307"/>
      <c r="I10" s="1308">
        <f>SUM(I3:I9)</f>
        <v>11189</v>
      </c>
    </row>
    <row r="11" spans="1:9" ht="14.25">
      <c r="A11" s="3207" t="s">
        <v>1093</v>
      </c>
      <c r="B11" s="3208" t="s">
        <v>1094</v>
      </c>
      <c r="C11" s="3208"/>
      <c r="D11" s="1301" t="s">
        <v>1095</v>
      </c>
      <c r="E11" s="1301" t="s">
        <v>1096</v>
      </c>
      <c r="F11" s="1302" t="s">
        <v>1097</v>
      </c>
      <c r="G11" s="1302" t="s">
        <v>1083</v>
      </c>
      <c r="H11" s="1309" t="s">
        <v>1098</v>
      </c>
      <c r="I11" s="1300" t="s">
        <v>1084</v>
      </c>
    </row>
    <row r="12" spans="1:9">
      <c r="A12" s="3207"/>
      <c r="B12" s="3208" t="s">
        <v>1099</v>
      </c>
      <c r="C12" s="3208"/>
      <c r="D12" s="1301">
        <f>200</f>
        <v>200</v>
      </c>
      <c r="E12" s="1301">
        <v>200</v>
      </c>
      <c r="F12" s="1302">
        <v>0.5</v>
      </c>
      <c r="G12" s="1303">
        <v>365</v>
      </c>
      <c r="H12" s="1310"/>
      <c r="I12" s="1300">
        <f>ROUND(D12*E12*F12*G12/10000,0)</f>
        <v>730</v>
      </c>
    </row>
    <row r="13" spans="1:9">
      <c r="A13" s="3207"/>
      <c r="B13" s="3208" t="s">
        <v>1100</v>
      </c>
      <c r="C13" s="3208"/>
      <c r="D13" s="1301">
        <v>300</v>
      </c>
      <c r="E13" s="1301">
        <v>150</v>
      </c>
      <c r="F13" s="1302">
        <v>0.6</v>
      </c>
      <c r="G13" s="1303">
        <v>365</v>
      </c>
      <c r="H13" s="1310"/>
      <c r="I13" s="1300">
        <f>ROUND(D13*E13*F13*G13/10000,0)</f>
        <v>986</v>
      </c>
    </row>
    <row r="14" spans="1:9">
      <c r="A14" s="3207"/>
      <c r="B14" s="3208" t="s">
        <v>1101</v>
      </c>
      <c r="C14" s="3208"/>
      <c r="D14" s="1301"/>
      <c r="E14" s="1301"/>
      <c r="F14" s="1302"/>
      <c r="G14" s="1303"/>
      <c r="H14" s="1310"/>
      <c r="I14" s="1300">
        <f>ROUND(D14*E14*F14*G14/10000,0)</f>
        <v>0</v>
      </c>
    </row>
    <row r="15" spans="1:9">
      <c r="A15" s="3207"/>
      <c r="B15" s="3209" t="s">
        <v>1092</v>
      </c>
      <c r="C15" s="3209"/>
      <c r="D15" s="1305"/>
      <c r="E15" s="1305">
        <f>SUM(E12:E14)</f>
        <v>350</v>
      </c>
      <c r="F15" s="1306"/>
      <c r="G15" s="1303"/>
      <c r="H15" s="1310"/>
      <c r="I15" s="1311">
        <f>SUM(I12:I14)</f>
        <v>1716</v>
      </c>
    </row>
    <row r="16" spans="1:9" ht="24">
      <c r="A16" s="3207" t="s">
        <v>1102</v>
      </c>
      <c r="B16" s="3208" t="s">
        <v>1103</v>
      </c>
      <c r="C16" s="3208"/>
      <c r="D16" s="1301" t="s">
        <v>1079</v>
      </c>
      <c r="E16" s="1312" t="s">
        <v>1104</v>
      </c>
      <c r="F16" s="1302" t="s">
        <v>1105</v>
      </c>
      <c r="G16" s="1303" t="s">
        <v>1083</v>
      </c>
      <c r="H16" s="1309" t="s">
        <v>1098</v>
      </c>
      <c r="I16" s="1300" t="s">
        <v>1084</v>
      </c>
    </row>
    <row r="17" spans="1:9" ht="14.25">
      <c r="A17" s="3207"/>
      <c r="B17" s="3208" t="s">
        <v>1106</v>
      </c>
      <c r="C17" s="3208"/>
      <c r="D17" s="1301">
        <v>2</v>
      </c>
      <c r="E17" s="1301">
        <f>10000*0.9</f>
        <v>9000</v>
      </c>
      <c r="F17" s="1302">
        <v>0.5</v>
      </c>
      <c r="G17" s="1303">
        <v>365</v>
      </c>
      <c r="H17" s="1313"/>
      <c r="I17" s="1314">
        <f>ROUND(D17*E17*F17*G17/10000,0)</f>
        <v>329</v>
      </c>
    </row>
    <row r="18" spans="1:9" ht="14.25">
      <c r="A18" s="3207"/>
      <c r="B18" s="3208" t="s">
        <v>1107</v>
      </c>
      <c r="C18" s="3208"/>
      <c r="D18" s="1301">
        <v>2</v>
      </c>
      <c r="E18" s="1301">
        <f>3000*0.9</f>
        <v>2700</v>
      </c>
      <c r="F18" s="1302">
        <v>0.6</v>
      </c>
      <c r="G18" s="1303">
        <v>365</v>
      </c>
      <c r="H18" s="1313"/>
      <c r="I18" s="1314">
        <f>ROUND(D18*E18*F18*G18/10000,0)</f>
        <v>118</v>
      </c>
    </row>
    <row r="19" spans="1:9" ht="14.25">
      <c r="A19" s="3207"/>
      <c r="B19" s="3208" t="s">
        <v>1108</v>
      </c>
      <c r="C19" s="3208"/>
      <c r="D19" s="1301">
        <v>8</v>
      </c>
      <c r="E19" s="1301">
        <f>1500*0.9</f>
        <v>1350</v>
      </c>
      <c r="F19" s="1302">
        <v>0.7</v>
      </c>
      <c r="G19" s="1303">
        <v>365</v>
      </c>
      <c r="H19" s="1313"/>
      <c r="I19" s="1314">
        <f>ROUND(D19*E19*F19*G19/10000,0)</f>
        <v>276</v>
      </c>
    </row>
    <row r="20" spans="1:9">
      <c r="A20" s="3207"/>
      <c r="B20" s="3209" t="s">
        <v>1092</v>
      </c>
      <c r="C20" s="3209"/>
      <c r="D20" s="1305">
        <f>SUM(D17:D19)</f>
        <v>12</v>
      </c>
      <c r="E20" s="1305"/>
      <c r="F20" s="1306"/>
      <c r="G20" s="1303"/>
      <c r="H20" s="1310"/>
      <c r="I20" s="1311">
        <f>SUM(I17:I19)</f>
        <v>723</v>
      </c>
    </row>
    <row r="21" spans="1:9">
      <c r="A21" s="3207" t="s">
        <v>1109</v>
      </c>
      <c r="B21" s="3210"/>
      <c r="C21" s="3210"/>
      <c r="D21" s="3210"/>
      <c r="E21" s="3210"/>
      <c r="F21" s="3210"/>
      <c r="G21" s="3210"/>
      <c r="H21" s="1762">
        <v>0.2</v>
      </c>
      <c r="I21" s="1308">
        <f>ROUND(I10*H21,0)</f>
        <v>2238</v>
      </c>
    </row>
    <row r="22" spans="1:9" ht="14.25">
      <c r="A22" s="3211" t="s">
        <v>1110</v>
      </c>
      <c r="B22" s="3212"/>
      <c r="C22" s="3213"/>
      <c r="D22" s="1315" t="s">
        <v>1111</v>
      </c>
      <c r="E22" s="1315" t="s">
        <v>1112</v>
      </c>
      <c r="F22" s="1316" t="s">
        <v>1113</v>
      </c>
      <c r="G22" s="1316" t="s">
        <v>1114</v>
      </c>
      <c r="H22" s="1309" t="s">
        <v>1115</v>
      </c>
      <c r="I22" s="1300" t="s">
        <v>1116</v>
      </c>
    </row>
    <row r="23" spans="1:9" ht="14.25" thickBot="1">
      <c r="A23" s="3214"/>
      <c r="B23" s="3215"/>
      <c r="C23" s="3216"/>
      <c r="D23" s="1317"/>
      <c r="E23" s="1317"/>
      <c r="F23" s="1317"/>
      <c r="G23" s="1318"/>
      <c r="H23" s="1319"/>
      <c r="I23" s="1320">
        <f>ROUND(E23*D23*F23*(1-G23)/10000,0)</f>
        <v>0</v>
      </c>
    </row>
    <row r="26" spans="1:9">
      <c r="A26" s="1321" t="s">
        <v>1117</v>
      </c>
      <c r="B26" s="1321"/>
      <c r="C26" s="1321"/>
      <c r="D26" s="1321"/>
      <c r="E26" s="3204">
        <f>C27-C30-C31-C32</f>
        <v>8726.2999999999993</v>
      </c>
      <c r="F26" s="3204"/>
      <c r="G26" s="3204"/>
      <c r="H26" s="1734" t="s">
        <v>1340</v>
      </c>
    </row>
    <row r="27" spans="1:9">
      <c r="A27" s="1322">
        <v>1</v>
      </c>
      <c r="B27" s="1323" t="s">
        <v>1118</v>
      </c>
      <c r="C27" s="1323">
        <f>D1</f>
        <v>15866</v>
      </c>
      <c r="D27" s="1323"/>
      <c r="E27" s="3205"/>
      <c r="F27" s="3205"/>
      <c r="G27" s="3205"/>
    </row>
    <row r="28" spans="1:9">
      <c r="A28" s="1324" t="s">
        <v>1119</v>
      </c>
      <c r="B28" s="1323" t="s">
        <v>1120</v>
      </c>
      <c r="C28" s="1323"/>
      <c r="D28" s="1323"/>
      <c r="E28" s="3205"/>
      <c r="F28" s="3205"/>
      <c r="G28" s="3205"/>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6"/>
      <c r="F32" s="3206"/>
      <c r="G32" s="3206"/>
    </row>
    <row r="33" spans="1:7" hidden="1">
      <c r="A33" s="3201" t="s">
        <v>1129</v>
      </c>
      <c r="B33" s="3202"/>
      <c r="C33" s="3202"/>
      <c r="D33" s="3203"/>
      <c r="E33" s="3204"/>
      <c r="F33" s="3204"/>
      <c r="G33" s="3204"/>
    </row>
    <row r="34" spans="1:7" hidden="1">
      <c r="A34" s="1326">
        <v>1</v>
      </c>
      <c r="B34" s="1323" t="s">
        <v>1130</v>
      </c>
      <c r="C34" s="1323"/>
      <c r="D34" s="1323"/>
      <c r="E34" s="3205"/>
      <c r="F34" s="3205"/>
      <c r="G34" s="3205"/>
    </row>
    <row r="35" spans="1:7" hidden="1">
      <c r="A35" s="1326">
        <v>2</v>
      </c>
      <c r="B35" s="1323" t="s">
        <v>1131</v>
      </c>
      <c r="C35" s="1323"/>
      <c r="D35" s="1323"/>
      <c r="E35" s="3205"/>
      <c r="F35" s="3205"/>
      <c r="G35" s="3205"/>
    </row>
    <row r="36" spans="1:7" hidden="1">
      <c r="A36" s="1326">
        <v>3</v>
      </c>
      <c r="B36" s="1323" t="s">
        <v>1132</v>
      </c>
      <c r="C36" s="1323"/>
      <c r="D36" s="1323"/>
      <c r="E36" s="3205"/>
      <c r="F36" s="3205"/>
      <c r="G36" s="3205"/>
    </row>
    <row r="37" spans="1:7" hidden="1">
      <c r="A37" s="1326">
        <v>4</v>
      </c>
      <c r="B37" s="1323" t="s">
        <v>1133</v>
      </c>
      <c r="C37" s="1323"/>
      <c r="D37" s="1323"/>
      <c r="E37" s="3205"/>
      <c r="F37" s="3205"/>
      <c r="G37" s="3205"/>
    </row>
    <row r="38" spans="1:7" hidden="1">
      <c r="A38" s="3201" t="s">
        <v>1134</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55" t="s">
        <v>2539</v>
      </c>
      <c r="D4" s="3168"/>
      <c r="E4" s="3169" t="s">
        <v>2540</v>
      </c>
      <c r="F4" s="3170"/>
      <c r="G4" s="3155" t="s">
        <v>2541</v>
      </c>
      <c r="H4" s="3168"/>
      <c r="I4" s="3155" t="s">
        <v>2542</v>
      </c>
      <c r="J4" s="3168"/>
      <c r="K4" s="2596" t="s">
        <v>2543</v>
      </c>
      <c r="L4" s="1128"/>
      <c r="M4" s="1129"/>
      <c r="N4" s="1129"/>
      <c r="O4" s="1129"/>
      <c r="P4" s="3171" t="s">
        <v>2544</v>
      </c>
      <c r="Q4" s="3172"/>
      <c r="R4" s="3177" t="s">
        <v>2540</v>
      </c>
      <c r="S4" s="3178"/>
      <c r="T4" s="3177" t="s">
        <v>2541</v>
      </c>
      <c r="U4" s="3178"/>
      <c r="V4" s="3164" t="s">
        <v>2542</v>
      </c>
      <c r="W4" s="3164"/>
      <c r="X4" s="1810"/>
      <c r="Y4" s="3177" t="s">
        <v>2544</v>
      </c>
      <c r="Z4" s="3178"/>
      <c r="AA4" s="3165" t="s">
        <v>2540</v>
      </c>
      <c r="AB4" s="3165" t="s">
        <v>2541</v>
      </c>
      <c r="AC4" s="3165" t="s">
        <v>2542</v>
      </c>
    </row>
    <row r="5" spans="1:29" ht="15">
      <c r="A5" s="404"/>
      <c r="B5" s="405"/>
      <c r="C5" s="3185" t="s">
        <v>2545</v>
      </c>
      <c r="D5" s="3186"/>
      <c r="E5" s="3193" t="s">
        <v>2546</v>
      </c>
      <c r="F5" s="3194"/>
      <c r="G5" s="3185" t="s">
        <v>2547</v>
      </c>
      <c r="H5" s="3186"/>
      <c r="I5" s="3185" t="s">
        <v>2548</v>
      </c>
      <c r="J5" s="3186"/>
      <c r="K5" s="2597"/>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2597"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87" t="s">
        <v>2552</v>
      </c>
      <c r="Q7" s="3189"/>
      <c r="R7" s="770" t="s">
        <v>23</v>
      </c>
      <c r="S7" s="771">
        <f t="shared" ref="S7:S15" si="0">F7</f>
        <v>0</v>
      </c>
      <c r="T7" s="770" t="s">
        <v>23</v>
      </c>
      <c r="U7" s="771">
        <f t="shared" ref="U7:U15" si="1">H7</f>
        <v>0</v>
      </c>
      <c r="V7" s="770" t="s">
        <v>23</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87" t="s">
        <v>2555</v>
      </c>
      <c r="Q8" s="3188"/>
      <c r="R8" s="770" t="s">
        <v>23</v>
      </c>
      <c r="S8" s="771">
        <f t="shared" si="0"/>
        <v>0</v>
      </c>
      <c r="T8" s="770" t="s">
        <v>23</v>
      </c>
      <c r="U8" s="771">
        <f t="shared" si="1"/>
        <v>0</v>
      </c>
      <c r="V8" s="770" t="s">
        <v>23</v>
      </c>
      <c r="W8" s="771">
        <f t="shared" si="2"/>
        <v>0</v>
      </c>
      <c r="X8" s="772"/>
      <c r="Y8" s="3187" t="s">
        <v>2555</v>
      </c>
      <c r="Z8" s="318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7"/>
      <c r="Q11" s="1792"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7"/>
      <c r="Q12" s="1792">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7"/>
      <c r="Q13" s="1792">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7"/>
      <c r="Q14" s="1792">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8" t="s">
        <v>2563</v>
      </c>
      <c r="Q15" s="1807" t="str">
        <f t="shared" si="6"/>
        <v>居住社区成熟度</v>
      </c>
      <c r="R15" s="774" t="s">
        <v>21</v>
      </c>
      <c r="S15" s="775">
        <f t="shared" si="0"/>
        <v>100</v>
      </c>
      <c r="T15" s="774" t="s">
        <v>21</v>
      </c>
      <c r="U15" s="775">
        <f t="shared" si="1"/>
        <v>100</v>
      </c>
      <c r="V15" s="774" t="s">
        <v>21</v>
      </c>
      <c r="W15" s="775">
        <f t="shared" si="2"/>
        <v>100</v>
      </c>
      <c r="X15" s="1810"/>
      <c r="Y15" s="3160"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9"/>
      <c r="Q17" s="1807" t="str">
        <f>B17</f>
        <v>交通便捷度</v>
      </c>
      <c r="R17" s="774" t="s">
        <v>21</v>
      </c>
      <c r="S17" s="775">
        <f>F17</f>
        <v>100</v>
      </c>
      <c r="T17" s="774" t="s">
        <v>21</v>
      </c>
      <c r="U17" s="775">
        <f>H17</f>
        <v>100</v>
      </c>
      <c r="V17" s="774" t="s">
        <v>21</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9"/>
      <c r="Q19" s="1807" t="str">
        <f>B19</f>
        <v>公共配套设施</v>
      </c>
      <c r="R19" s="774" t="s">
        <v>21</v>
      </c>
      <c r="S19" s="775">
        <f>F19</f>
        <v>100</v>
      </c>
      <c r="T19" s="774" t="s">
        <v>21</v>
      </c>
      <c r="U19" s="775">
        <f>H19</f>
        <v>100</v>
      </c>
      <c r="V19" s="774" t="s">
        <v>21</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9"/>
      <c r="Q23" s="1807" t="str">
        <f>B23</f>
        <v>自然及人文环境</v>
      </c>
      <c r="R23" s="774" t="s">
        <v>21</v>
      </c>
      <c r="S23" s="775">
        <f>F23</f>
        <v>100</v>
      </c>
      <c r="T23" s="774" t="s">
        <v>21</v>
      </c>
      <c r="U23" s="775">
        <f>H23</f>
        <v>100</v>
      </c>
      <c r="V23" s="774" t="s">
        <v>21</v>
      </c>
      <c r="W23" s="775">
        <f>J23</f>
        <v>100</v>
      </c>
      <c r="X23" s="1810"/>
      <c r="Y23" s="3161"/>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2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61"/>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29"/>
      <c r="Q26" s="1807" t="str">
        <f t="shared" si="11"/>
        <v>朝向</v>
      </c>
      <c r="R26" s="774" t="s">
        <v>21</v>
      </c>
      <c r="S26" s="775">
        <f t="shared" si="12"/>
        <v>100</v>
      </c>
      <c r="T26" s="774" t="s">
        <v>21</v>
      </c>
      <c r="U26" s="775">
        <f t="shared" si="13"/>
        <v>100</v>
      </c>
      <c r="V26" s="774" t="s">
        <v>21</v>
      </c>
      <c r="W26" s="775">
        <f t="shared" si="14"/>
        <v>100</v>
      </c>
      <c r="X26" s="1810"/>
      <c r="Y26" s="3161"/>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29"/>
      <c r="Q27" s="1792">
        <f t="shared" si="11"/>
        <v>111</v>
      </c>
      <c r="R27" s="770" t="s">
        <v>21</v>
      </c>
      <c r="S27" s="771">
        <f t="shared" si="12"/>
        <v>100</v>
      </c>
      <c r="T27" s="770" t="s">
        <v>21</v>
      </c>
      <c r="U27" s="771">
        <f t="shared" si="13"/>
        <v>100</v>
      </c>
      <c r="V27" s="770" t="s">
        <v>21</v>
      </c>
      <c r="W27" s="771">
        <f t="shared" si="14"/>
        <v>100</v>
      </c>
      <c r="X27" s="772"/>
      <c r="Y27" s="3161"/>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29"/>
      <c r="Q28" s="1807">
        <f t="shared" si="11"/>
        <v>111</v>
      </c>
      <c r="R28" s="774" t="s">
        <v>21</v>
      </c>
      <c r="S28" s="775">
        <f t="shared" si="12"/>
        <v>100</v>
      </c>
      <c r="T28" s="774" t="s">
        <v>21</v>
      </c>
      <c r="U28" s="775">
        <f t="shared" si="13"/>
        <v>100</v>
      </c>
      <c r="V28" s="774" t="s">
        <v>21</v>
      </c>
      <c r="W28" s="775">
        <f t="shared" si="14"/>
        <v>100</v>
      </c>
      <c r="X28" s="1810"/>
      <c r="Y28" s="3161"/>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29"/>
      <c r="Q29" s="1807">
        <f t="shared" si="11"/>
        <v>111</v>
      </c>
      <c r="R29" s="774" t="s">
        <v>21</v>
      </c>
      <c r="S29" s="775">
        <f t="shared" si="12"/>
        <v>100</v>
      </c>
      <c r="T29" s="774" t="s">
        <v>21</v>
      </c>
      <c r="U29" s="775">
        <f t="shared" si="13"/>
        <v>100</v>
      </c>
      <c r="V29" s="774" t="s">
        <v>21</v>
      </c>
      <c r="W29" s="775">
        <f t="shared" si="14"/>
        <v>100</v>
      </c>
      <c r="X29" s="1810"/>
      <c r="Y29" s="3161"/>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29"/>
      <c r="Q30" s="1807">
        <f t="shared" si="11"/>
        <v>111</v>
      </c>
      <c r="R30" s="774" t="s">
        <v>21</v>
      </c>
      <c r="S30" s="775">
        <f t="shared" si="12"/>
        <v>100</v>
      </c>
      <c r="T30" s="774" t="s">
        <v>21</v>
      </c>
      <c r="U30" s="775">
        <f t="shared" si="13"/>
        <v>100</v>
      </c>
      <c r="V30" s="774" t="s">
        <v>21</v>
      </c>
      <c r="W30" s="775">
        <f t="shared" si="14"/>
        <v>100</v>
      </c>
      <c r="X30" s="1810"/>
      <c r="Y30" s="3161"/>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29"/>
      <c r="Q31" s="1807">
        <f t="shared" si="11"/>
        <v>111</v>
      </c>
      <c r="R31" s="774" t="s">
        <v>21</v>
      </c>
      <c r="S31" s="775">
        <f t="shared" si="12"/>
        <v>100</v>
      </c>
      <c r="T31" s="774" t="s">
        <v>21</v>
      </c>
      <c r="U31" s="775">
        <f t="shared" si="13"/>
        <v>100</v>
      </c>
      <c r="V31" s="774" t="s">
        <v>21</v>
      </c>
      <c r="W31" s="775">
        <f t="shared" si="14"/>
        <v>100</v>
      </c>
      <c r="X31" s="1810"/>
      <c r="Y31" s="3161"/>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4" t="s">
        <v>2568</v>
      </c>
      <c r="Q32" s="1807" t="str">
        <f t="shared" si="11"/>
        <v>建筑类型</v>
      </c>
      <c r="R32" s="774" t="s">
        <v>21</v>
      </c>
      <c r="S32" s="775">
        <f t="shared" si="12"/>
        <v>100</v>
      </c>
      <c r="T32" s="774" t="s">
        <v>21</v>
      </c>
      <c r="U32" s="775">
        <f t="shared" si="13"/>
        <v>100</v>
      </c>
      <c r="V32" s="774" t="s">
        <v>21</v>
      </c>
      <c r="W32" s="775">
        <f t="shared" si="14"/>
        <v>100</v>
      </c>
      <c r="X32" s="1810"/>
      <c r="Y32" s="3163"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5"/>
      <c r="Q33" s="776" t="str">
        <f t="shared" si="11"/>
        <v>项目建筑规模</v>
      </c>
      <c r="R33" s="777" t="s">
        <v>21</v>
      </c>
      <c r="S33" s="778" t="e">
        <f t="shared" si="12"/>
        <v>#N/A</v>
      </c>
      <c r="T33" s="777" t="s">
        <v>21</v>
      </c>
      <c r="U33" s="778" t="e">
        <f t="shared" si="13"/>
        <v>#N/A</v>
      </c>
      <c r="V33" s="777" t="s">
        <v>21</v>
      </c>
      <c r="W33" s="778" t="e">
        <f t="shared" si="14"/>
        <v>#N/A</v>
      </c>
      <c r="X33" s="779"/>
      <c r="Y33" s="3163"/>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5"/>
      <c r="Q34" s="1807" t="str">
        <f t="shared" si="11"/>
        <v>建筑结构</v>
      </c>
      <c r="R34" s="774" t="s">
        <v>21</v>
      </c>
      <c r="S34" s="775">
        <f t="shared" si="12"/>
        <v>100</v>
      </c>
      <c r="T34" s="774" t="s">
        <v>21</v>
      </c>
      <c r="U34" s="775">
        <f t="shared" si="13"/>
        <v>100</v>
      </c>
      <c r="V34" s="774" t="s">
        <v>21</v>
      </c>
      <c r="W34" s="775">
        <f t="shared" si="14"/>
        <v>100</v>
      </c>
      <c r="X34" s="1810"/>
      <c r="Y34" s="3163"/>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5"/>
      <c r="Q35" s="1807" t="str">
        <f t="shared" si="11"/>
        <v>建筑品质</v>
      </c>
      <c r="R35" s="774" t="s">
        <v>21</v>
      </c>
      <c r="S35" s="775">
        <f t="shared" si="12"/>
        <v>100</v>
      </c>
      <c r="T35" s="774" t="s">
        <v>21</v>
      </c>
      <c r="U35" s="775">
        <f t="shared" si="13"/>
        <v>100</v>
      </c>
      <c r="V35" s="774" t="s">
        <v>21</v>
      </c>
      <c r="W35" s="775">
        <f t="shared" si="14"/>
        <v>100</v>
      </c>
      <c r="X35" s="1810"/>
      <c r="Y35" s="3163"/>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5"/>
      <c r="Q36" s="1807" t="str">
        <f t="shared" si="11"/>
        <v>公共部分装修</v>
      </c>
      <c r="R36" s="774" t="s">
        <v>21</v>
      </c>
      <c r="S36" s="775">
        <f t="shared" si="12"/>
        <v>100</v>
      </c>
      <c r="T36" s="774" t="s">
        <v>21</v>
      </c>
      <c r="U36" s="775">
        <f t="shared" si="13"/>
        <v>100</v>
      </c>
      <c r="V36" s="774" t="s">
        <v>21</v>
      </c>
      <c r="W36" s="775">
        <f t="shared" si="14"/>
        <v>100</v>
      </c>
      <c r="X36" s="1810"/>
      <c r="Y36" s="3163"/>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5"/>
      <c r="Q37" s="1792" t="str">
        <f t="shared" si="11"/>
        <v>成新度</v>
      </c>
      <c r="R37" s="770" t="s">
        <v>21</v>
      </c>
      <c r="S37" s="771" t="e">
        <f t="shared" si="12"/>
        <v>#N/A</v>
      </c>
      <c r="T37" s="770" t="s">
        <v>21</v>
      </c>
      <c r="U37" s="771" t="e">
        <f t="shared" si="13"/>
        <v>#N/A</v>
      </c>
      <c r="V37" s="770" t="s">
        <v>21</v>
      </c>
      <c r="W37" s="771" t="e">
        <f t="shared" si="14"/>
        <v>#N/A</v>
      </c>
      <c r="X37" s="772"/>
      <c r="Y37" s="316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5" t="s">
        <v>2568</v>
      </c>
      <c r="Q38" s="1807" t="str">
        <f t="shared" si="11"/>
        <v>物业管理</v>
      </c>
      <c r="R38" s="774" t="s">
        <v>21</v>
      </c>
      <c r="S38" s="775">
        <f t="shared" si="12"/>
        <v>100</v>
      </c>
      <c r="T38" s="774" t="s">
        <v>21</v>
      </c>
      <c r="U38" s="775">
        <f t="shared" si="13"/>
        <v>100</v>
      </c>
      <c r="V38" s="774" t="s">
        <v>21</v>
      </c>
      <c r="W38" s="775">
        <f t="shared" si="14"/>
        <v>100</v>
      </c>
      <c r="X38" s="1810"/>
      <c r="Y38" s="3163"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5"/>
      <c r="Q39" s="1807" t="str">
        <f t="shared" si="11"/>
        <v>市政基础设施</v>
      </c>
      <c r="R39" s="774" t="s">
        <v>21</v>
      </c>
      <c r="S39" s="775">
        <f t="shared" si="12"/>
        <v>100</v>
      </c>
      <c r="T39" s="774" t="s">
        <v>21</v>
      </c>
      <c r="U39" s="775">
        <f t="shared" si="13"/>
        <v>100</v>
      </c>
      <c r="V39" s="774" t="s">
        <v>21</v>
      </c>
      <c r="W39" s="775">
        <f t="shared" si="14"/>
        <v>100</v>
      </c>
      <c r="X39" s="1810"/>
      <c r="Y39" s="3163"/>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5"/>
      <c r="Q40" s="1807" t="str">
        <f t="shared" si="11"/>
        <v>房型</v>
      </c>
      <c r="R40" s="774" t="s">
        <v>21</v>
      </c>
      <c r="S40" s="775">
        <f t="shared" si="12"/>
        <v>100</v>
      </c>
      <c r="T40" s="774" t="s">
        <v>21</v>
      </c>
      <c r="U40" s="775">
        <f t="shared" si="13"/>
        <v>100</v>
      </c>
      <c r="V40" s="774" t="s">
        <v>21</v>
      </c>
      <c r="W40" s="775">
        <f t="shared" si="14"/>
        <v>100</v>
      </c>
      <c r="X40" s="1810"/>
      <c r="Y40" s="3163"/>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5"/>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5"/>
      <c r="Q42" s="1807" t="str">
        <f t="shared" si="11"/>
        <v>内部装修</v>
      </c>
      <c r="R42" s="774" t="s">
        <v>21</v>
      </c>
      <c r="S42" s="775">
        <f t="shared" si="12"/>
        <v>100</v>
      </c>
      <c r="T42" s="774" t="s">
        <v>21</v>
      </c>
      <c r="U42" s="775">
        <f t="shared" si="13"/>
        <v>100</v>
      </c>
      <c r="V42" s="774" t="s">
        <v>21</v>
      </c>
      <c r="W42" s="775">
        <f t="shared" si="14"/>
        <v>100</v>
      </c>
      <c r="X42" s="1810"/>
      <c r="Y42" s="3163"/>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5"/>
      <c r="Q43" s="1807" t="str">
        <f t="shared" si="11"/>
        <v>内部装修维护情况</v>
      </c>
      <c r="R43" s="774" t="s">
        <v>21</v>
      </c>
      <c r="S43" s="775">
        <f t="shared" si="12"/>
        <v>100</v>
      </c>
      <c r="T43" s="774" t="s">
        <v>21</v>
      </c>
      <c r="U43" s="775">
        <f t="shared" si="13"/>
        <v>100</v>
      </c>
      <c r="V43" s="774" t="s">
        <v>21</v>
      </c>
      <c r="W43" s="775">
        <f t="shared" si="14"/>
        <v>100</v>
      </c>
      <c r="X43" s="1810"/>
      <c r="Y43" s="3163"/>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5"/>
      <c r="Q44" s="1792">
        <f t="shared" si="11"/>
        <v>111</v>
      </c>
      <c r="R44" s="770" t="s">
        <v>21</v>
      </c>
      <c r="S44" s="771">
        <f t="shared" si="12"/>
        <v>100</v>
      </c>
      <c r="T44" s="770" t="s">
        <v>21</v>
      </c>
      <c r="U44" s="771">
        <f t="shared" si="13"/>
        <v>100</v>
      </c>
      <c r="V44" s="770" t="s">
        <v>21</v>
      </c>
      <c r="W44" s="771">
        <f t="shared" si="14"/>
        <v>100</v>
      </c>
      <c r="X44" s="772"/>
      <c r="Y44" s="3163"/>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5"/>
      <c r="Q45" s="1807">
        <f t="shared" si="11"/>
        <v>111</v>
      </c>
      <c r="R45" s="774" t="s">
        <v>21</v>
      </c>
      <c r="S45" s="775">
        <f t="shared" si="12"/>
        <v>100</v>
      </c>
      <c r="T45" s="774" t="s">
        <v>21</v>
      </c>
      <c r="U45" s="775">
        <f t="shared" si="13"/>
        <v>100</v>
      </c>
      <c r="V45" s="774" t="s">
        <v>21</v>
      </c>
      <c r="W45" s="775">
        <f t="shared" si="14"/>
        <v>100</v>
      </c>
      <c r="X45" s="1810"/>
      <c r="Y45" s="3163"/>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6"/>
      <c r="Q46" s="1807">
        <f t="shared" si="11"/>
        <v>111</v>
      </c>
      <c r="R46" s="774" t="s">
        <v>20</v>
      </c>
      <c r="S46" s="775">
        <f t="shared" si="12"/>
        <v>100</v>
      </c>
      <c r="T46" s="774" t="s">
        <v>20</v>
      </c>
      <c r="U46" s="775">
        <f t="shared" si="13"/>
        <v>100</v>
      </c>
      <c r="V46" s="774" t="s">
        <v>20</v>
      </c>
      <c r="W46" s="775">
        <f t="shared" si="14"/>
        <v>100</v>
      </c>
      <c r="X46" s="1810"/>
      <c r="Y46" s="3227"/>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58" t="str">
        <f>A47</f>
        <v>成交单价（元/平方米）</v>
      </c>
      <c r="Q47" s="3158"/>
      <c r="R47" s="3223">
        <f>E47</f>
        <v>0</v>
      </c>
      <c r="S47" s="3223"/>
      <c r="T47" s="3223">
        <f>G47</f>
        <v>0</v>
      </c>
      <c r="U47" s="3223"/>
      <c r="V47" s="3223">
        <f>I47</f>
        <v>0</v>
      </c>
      <c r="W47" s="3223"/>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4"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4"/>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4"/>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8" t="s">
        <v>2563</v>
      </c>
      <c r="Q15" s="1807" t="str">
        <f t="shared" si="6"/>
        <v>商业繁华度</v>
      </c>
      <c r="R15" s="774" t="s">
        <v>17</v>
      </c>
      <c r="S15" s="775">
        <f t="shared" si="0"/>
        <v>100</v>
      </c>
      <c r="T15" s="774" t="s">
        <v>17</v>
      </c>
      <c r="U15" s="775">
        <f t="shared" si="1"/>
        <v>100</v>
      </c>
      <c r="V15" s="774" t="s">
        <v>17</v>
      </c>
      <c r="W15" s="775">
        <f t="shared" si="2"/>
        <v>100</v>
      </c>
      <c r="X15" s="1810"/>
      <c r="Y15" s="3160"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9"/>
      <c r="Q23" s="1807" t="str">
        <f>B23</f>
        <v>自然及人文环境</v>
      </c>
      <c r="R23" s="774" t="s">
        <v>17</v>
      </c>
      <c r="S23" s="775">
        <f>F23</f>
        <v>100</v>
      </c>
      <c r="T23" s="774" t="s">
        <v>17</v>
      </c>
      <c r="U23" s="775">
        <f>H23</f>
        <v>100</v>
      </c>
      <c r="V23" s="774" t="s">
        <v>17</v>
      </c>
      <c r="W23" s="775">
        <f>J23</f>
        <v>100</v>
      </c>
      <c r="X23" s="1810"/>
      <c r="Y23" s="3161"/>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9"/>
      <c r="Q25" s="1807" t="str">
        <f t="shared" ref="Q25:Q46" si="11">B25</f>
        <v>临街状况</v>
      </c>
      <c r="R25" s="774" t="s">
        <v>17</v>
      </c>
      <c r="S25" s="775">
        <f>F25</f>
        <v>100</v>
      </c>
      <c r="T25" s="774" t="s">
        <v>17</v>
      </c>
      <c r="U25" s="775">
        <f>H25</f>
        <v>100</v>
      </c>
      <c r="V25" s="774" t="s">
        <v>17</v>
      </c>
      <c r="W25" s="775">
        <f>J25</f>
        <v>100</v>
      </c>
      <c r="X25" s="1810"/>
      <c r="Y25" s="3161"/>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9"/>
      <c r="Q26" s="1807" t="str">
        <f t="shared" si="11"/>
        <v>平面位置/可视性</v>
      </c>
      <c r="R26" s="774" t="s">
        <v>17</v>
      </c>
      <c r="S26" s="775">
        <f>F26</f>
        <v>100</v>
      </c>
      <c r="T26" s="774" t="s">
        <v>17</v>
      </c>
      <c r="U26" s="775">
        <f>H26</f>
        <v>100</v>
      </c>
      <c r="V26" s="774" t="s">
        <v>17</v>
      </c>
      <c r="W26" s="775">
        <f>J26</f>
        <v>100</v>
      </c>
      <c r="X26" s="1810"/>
      <c r="Y26" s="3161"/>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29"/>
      <c r="Q27" s="1792" t="str">
        <f t="shared" si="11"/>
        <v>人流量</v>
      </c>
      <c r="R27" s="770" t="s">
        <v>17</v>
      </c>
      <c r="S27" s="771">
        <f>F27</f>
        <v>100</v>
      </c>
      <c r="T27" s="770" t="s">
        <v>17</v>
      </c>
      <c r="U27" s="771">
        <f>H27</f>
        <v>100</v>
      </c>
      <c r="V27" s="770" t="s">
        <v>17</v>
      </c>
      <c r="W27" s="771">
        <f>J27</f>
        <v>100</v>
      </c>
      <c r="X27" s="772"/>
      <c r="Y27" s="3161"/>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61"/>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9"/>
      <c r="Q29" s="1807">
        <f t="shared" si="11"/>
        <v>111</v>
      </c>
      <c r="R29" s="774" t="s">
        <v>17</v>
      </c>
      <c r="S29" s="775">
        <f t="shared" si="12"/>
        <v>100</v>
      </c>
      <c r="T29" s="774" t="s">
        <v>17</v>
      </c>
      <c r="U29" s="775">
        <f t="shared" si="13"/>
        <v>100</v>
      </c>
      <c r="V29" s="774" t="s">
        <v>17</v>
      </c>
      <c r="W29" s="775">
        <f t="shared" si="14"/>
        <v>100</v>
      </c>
      <c r="X29" s="1810"/>
      <c r="Y29" s="3161"/>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4" t="s">
        <v>2568</v>
      </c>
      <c r="Q32" s="1807" t="str">
        <f t="shared" si="11"/>
        <v>商业类型</v>
      </c>
      <c r="R32" s="774" t="s">
        <v>17</v>
      </c>
      <c r="S32" s="775">
        <f t="shared" si="12"/>
        <v>100</v>
      </c>
      <c r="T32" s="774" t="s">
        <v>17</v>
      </c>
      <c r="U32" s="775">
        <f t="shared" si="13"/>
        <v>100</v>
      </c>
      <c r="V32" s="774" t="s">
        <v>17</v>
      </c>
      <c r="W32" s="775">
        <f t="shared" si="14"/>
        <v>100</v>
      </c>
      <c r="X32" s="1810"/>
      <c r="Y32" s="3163"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5"/>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5"/>
      <c r="Q34" s="1807" t="str">
        <f t="shared" si="11"/>
        <v>建筑结构</v>
      </c>
      <c r="R34" s="774" t="s">
        <v>17</v>
      </c>
      <c r="S34" s="775">
        <f t="shared" si="12"/>
        <v>100</v>
      </c>
      <c r="T34" s="774" t="s">
        <v>17</v>
      </c>
      <c r="U34" s="775">
        <f t="shared" si="13"/>
        <v>100</v>
      </c>
      <c r="V34" s="774" t="s">
        <v>17</v>
      </c>
      <c r="W34" s="775">
        <f t="shared" si="14"/>
        <v>100</v>
      </c>
      <c r="X34" s="1810"/>
      <c r="Y34" s="3163"/>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5"/>
      <c r="Q35" s="1807" t="str">
        <f t="shared" si="11"/>
        <v>公共部分装修</v>
      </c>
      <c r="R35" s="774" t="s">
        <v>17</v>
      </c>
      <c r="S35" s="775">
        <f t="shared" si="12"/>
        <v>100</v>
      </c>
      <c r="T35" s="774" t="s">
        <v>17</v>
      </c>
      <c r="U35" s="775">
        <f t="shared" si="13"/>
        <v>100</v>
      </c>
      <c r="V35" s="774" t="s">
        <v>17</v>
      </c>
      <c r="W35" s="775">
        <f t="shared" si="14"/>
        <v>100</v>
      </c>
      <c r="X35" s="1810"/>
      <c r="Y35" s="3163"/>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5"/>
      <c r="Q36" s="1807" t="str">
        <f t="shared" si="11"/>
        <v>成新度</v>
      </c>
      <c r="R36" s="774" t="s">
        <v>17</v>
      </c>
      <c r="S36" s="775" t="e">
        <f t="shared" si="12"/>
        <v>#N/A</v>
      </c>
      <c r="T36" s="774" t="s">
        <v>17</v>
      </c>
      <c r="U36" s="775" t="e">
        <f t="shared" si="13"/>
        <v>#N/A</v>
      </c>
      <c r="V36" s="774" t="s">
        <v>17</v>
      </c>
      <c r="W36" s="775" t="e">
        <f t="shared" si="14"/>
        <v>#N/A</v>
      </c>
      <c r="X36" s="1810"/>
      <c r="Y36" s="3163"/>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5"/>
      <c r="Q37" s="1792"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5" t="s">
        <v>2568</v>
      </c>
      <c r="Q38" s="1807" t="str">
        <f t="shared" si="11"/>
        <v>业态</v>
      </c>
      <c r="R38" s="774" t="s">
        <v>17</v>
      </c>
      <c r="S38" s="775">
        <f t="shared" si="12"/>
        <v>100</v>
      </c>
      <c r="T38" s="774" t="s">
        <v>17</v>
      </c>
      <c r="U38" s="775">
        <f t="shared" si="13"/>
        <v>100</v>
      </c>
      <c r="V38" s="774" t="s">
        <v>17</v>
      </c>
      <c r="W38" s="775">
        <f t="shared" si="14"/>
        <v>100</v>
      </c>
      <c r="X38" s="1810"/>
      <c r="Y38" s="3163"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5"/>
      <c r="Q39" s="1807" t="str">
        <f t="shared" si="11"/>
        <v>层高</v>
      </c>
      <c r="R39" s="774" t="s">
        <v>17</v>
      </c>
      <c r="S39" s="775">
        <f t="shared" si="12"/>
        <v>100</v>
      </c>
      <c r="T39" s="774" t="s">
        <v>17</v>
      </c>
      <c r="U39" s="775">
        <f t="shared" si="13"/>
        <v>100</v>
      </c>
      <c r="V39" s="774" t="s">
        <v>17</v>
      </c>
      <c r="W39" s="775">
        <f t="shared" si="14"/>
        <v>100</v>
      </c>
      <c r="X39" s="1810"/>
      <c r="Y39" s="3163"/>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5"/>
      <c r="Q40" s="1807" t="str">
        <f t="shared" si="11"/>
        <v>单套建筑面积</v>
      </c>
      <c r="R40" s="774" t="s">
        <v>17</v>
      </c>
      <c r="S40" s="775">
        <f t="shared" si="12"/>
        <v>100</v>
      </c>
      <c r="T40" s="774" t="s">
        <v>17</v>
      </c>
      <c r="U40" s="775">
        <f t="shared" si="13"/>
        <v>100</v>
      </c>
      <c r="V40" s="774" t="s">
        <v>17</v>
      </c>
      <c r="W40" s="775">
        <f t="shared" si="14"/>
        <v>100</v>
      </c>
      <c r="X40" s="1810"/>
      <c r="Y40" s="3163"/>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5"/>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5"/>
      <c r="Q42" s="1807" t="str">
        <f t="shared" si="11"/>
        <v>内部装修</v>
      </c>
      <c r="R42" s="774" t="s">
        <v>17</v>
      </c>
      <c r="S42" s="775">
        <f t="shared" si="12"/>
        <v>100</v>
      </c>
      <c r="T42" s="774" t="s">
        <v>17</v>
      </c>
      <c r="U42" s="775">
        <f t="shared" si="13"/>
        <v>100</v>
      </c>
      <c r="V42" s="774" t="s">
        <v>17</v>
      </c>
      <c r="W42" s="775">
        <f t="shared" si="14"/>
        <v>100</v>
      </c>
      <c r="X42" s="1810"/>
      <c r="Y42" s="3163"/>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5"/>
      <c r="Q43" s="1807" t="str">
        <f t="shared" si="11"/>
        <v>内部装修维护情况</v>
      </c>
      <c r="R43" s="774" t="s">
        <v>17</v>
      </c>
      <c r="S43" s="775">
        <f t="shared" si="12"/>
        <v>100</v>
      </c>
      <c r="T43" s="774" t="s">
        <v>17</v>
      </c>
      <c r="U43" s="775">
        <f t="shared" si="13"/>
        <v>100</v>
      </c>
      <c r="V43" s="774" t="s">
        <v>17</v>
      </c>
      <c r="W43" s="775">
        <f t="shared" si="14"/>
        <v>100</v>
      </c>
      <c r="X43" s="1810"/>
      <c r="Y43" s="3163"/>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5"/>
      <c r="Q44" s="1792">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5"/>
      <c r="Q45" s="1807">
        <f t="shared" si="11"/>
        <v>111</v>
      </c>
      <c r="R45" s="774" t="s">
        <v>17</v>
      </c>
      <c r="S45" s="775">
        <f t="shared" si="12"/>
        <v>100</v>
      </c>
      <c r="T45" s="774" t="s">
        <v>17</v>
      </c>
      <c r="U45" s="775">
        <f t="shared" si="13"/>
        <v>100</v>
      </c>
      <c r="V45" s="774" t="s">
        <v>17</v>
      </c>
      <c r="W45" s="775">
        <f t="shared" si="14"/>
        <v>100</v>
      </c>
      <c r="X45" s="1810"/>
      <c r="Y45" s="3163"/>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227"/>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58" t="str">
        <f>A47</f>
        <v>成交单价（元/平方米）</v>
      </c>
      <c r="Q47" s="3158"/>
      <c r="R47" s="3164">
        <f>E47</f>
        <v>0</v>
      </c>
      <c r="S47" s="3164"/>
      <c r="T47" s="3164">
        <f>G47</f>
        <v>0</v>
      </c>
      <c r="U47" s="3164"/>
      <c r="V47" s="3164">
        <f>I47</f>
        <v>0</v>
      </c>
      <c r="W47" s="3164"/>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237" t="s">
        <v>2654</v>
      </c>
      <c r="Q4" s="3238"/>
      <c r="R4" s="3241" t="s">
        <v>2650</v>
      </c>
      <c r="S4" s="3242"/>
      <c r="T4" s="3241" t="s">
        <v>2651</v>
      </c>
      <c r="U4" s="3242"/>
      <c r="V4" s="3243" t="s">
        <v>2652</v>
      </c>
      <c r="W4" s="3243"/>
      <c r="X4" s="2670"/>
      <c r="Y4" s="3241" t="s">
        <v>2654</v>
      </c>
      <c r="Z4" s="3242"/>
      <c r="AA4" s="3245" t="s">
        <v>2650</v>
      </c>
      <c r="AB4" s="3245" t="s">
        <v>2651</v>
      </c>
      <c r="AC4" s="3234" t="s">
        <v>2652</v>
      </c>
    </row>
    <row r="5" spans="1:29" ht="15">
      <c r="A5" s="404"/>
      <c r="B5" s="405"/>
      <c r="C5" s="3185" t="s">
        <v>2545</v>
      </c>
      <c r="D5" s="3186"/>
      <c r="E5" s="3193" t="s">
        <v>2546</v>
      </c>
      <c r="F5" s="3194"/>
      <c r="G5" s="3185" t="s">
        <v>2547</v>
      </c>
      <c r="H5" s="3186"/>
      <c r="I5" s="3185" t="s">
        <v>2548</v>
      </c>
      <c r="J5" s="3186"/>
      <c r="K5" s="610"/>
      <c r="L5" s="1128"/>
      <c r="M5" s="1129"/>
      <c r="N5" s="1129"/>
      <c r="O5" s="1129"/>
      <c r="P5" s="3239"/>
      <c r="Q5" s="3174"/>
      <c r="R5" s="3179"/>
      <c r="S5" s="3180"/>
      <c r="T5" s="3179"/>
      <c r="U5" s="3180"/>
      <c r="V5" s="3164"/>
      <c r="W5" s="3164"/>
      <c r="X5" s="1810"/>
      <c r="Y5" s="3179"/>
      <c r="Z5" s="3180"/>
      <c r="AA5" s="3166"/>
      <c r="AB5" s="3166"/>
      <c r="AC5" s="3235"/>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240"/>
      <c r="Q6" s="3176"/>
      <c r="R6" s="3179"/>
      <c r="S6" s="3180"/>
      <c r="T6" s="3181"/>
      <c r="U6" s="3182"/>
      <c r="V6" s="3164"/>
      <c r="W6" s="3164"/>
      <c r="X6" s="1810"/>
      <c r="Y6" s="3181"/>
      <c r="Z6" s="3182"/>
      <c r="AA6" s="3167"/>
      <c r="AB6" s="3167"/>
      <c r="AC6" s="3236"/>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4"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4" t="s">
        <v>2555</v>
      </c>
      <c r="Q8" s="3188"/>
      <c r="R8" s="770" t="s">
        <v>17</v>
      </c>
      <c r="S8" s="771">
        <f t="shared" si="0"/>
        <v>0</v>
      </c>
      <c r="T8" s="770" t="s">
        <v>17</v>
      </c>
      <c r="U8" s="771">
        <f t="shared" si="1"/>
        <v>0</v>
      </c>
      <c r="V8" s="770" t="s">
        <v>17</v>
      </c>
      <c r="W8" s="771">
        <f t="shared" si="2"/>
        <v>0</v>
      </c>
      <c r="X8" s="772"/>
      <c r="Y8" s="3187" t="s">
        <v>2555</v>
      </c>
      <c r="Z8" s="3188"/>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8" t="s">
        <v>2563</v>
      </c>
      <c r="Q15" s="1807" t="str">
        <f t="shared" si="6"/>
        <v>办公集聚程度</v>
      </c>
      <c r="R15" s="774" t="s">
        <v>17</v>
      </c>
      <c r="S15" s="775">
        <f t="shared" si="0"/>
        <v>100</v>
      </c>
      <c r="T15" s="774" t="s">
        <v>17</v>
      </c>
      <c r="U15" s="775">
        <f t="shared" si="1"/>
        <v>100</v>
      </c>
      <c r="V15" s="774" t="s">
        <v>17</v>
      </c>
      <c r="W15" s="775">
        <f t="shared" si="2"/>
        <v>100</v>
      </c>
      <c r="X15" s="1810"/>
      <c r="Y15" s="3160"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29"/>
      <c r="Q22" s="1807"/>
      <c r="R22" s="774"/>
      <c r="S22" s="775"/>
      <c r="T22" s="774"/>
      <c r="U22" s="775"/>
      <c r="V22" s="774"/>
      <c r="W22" s="775"/>
      <c r="X22" s="1810"/>
      <c r="Y22" s="3161"/>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9"/>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29"/>
      <c r="Q25" s="1807" t="str">
        <f>B25</f>
        <v>毗邻道路的类型与等级</v>
      </c>
      <c r="R25" s="774" t="s">
        <v>17</v>
      </c>
      <c r="S25" s="775">
        <f>F25</f>
        <v>100</v>
      </c>
      <c r="T25" s="774" t="s">
        <v>17</v>
      </c>
      <c r="U25" s="775">
        <f>H25</f>
        <v>100</v>
      </c>
      <c r="V25" s="774" t="s">
        <v>17</v>
      </c>
      <c r="W25" s="775">
        <f>J25</f>
        <v>100</v>
      </c>
      <c r="X25" s="1810"/>
      <c r="Y25" s="3161"/>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29"/>
      <c r="Q26" s="1807"/>
      <c r="R26" s="774"/>
      <c r="S26" s="775"/>
      <c r="T26" s="774"/>
      <c r="U26" s="775"/>
      <c r="V26" s="774"/>
      <c r="W26" s="775"/>
      <c r="X26" s="1810"/>
      <c r="Y26" s="3161"/>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9"/>
      <c r="Q27" s="1807" t="str">
        <f t="shared" ref="Q27:Q47" si="11">B27</f>
        <v>楼层</v>
      </c>
      <c r="R27" s="774" t="s">
        <v>17</v>
      </c>
      <c r="S27" s="775">
        <f>F27</f>
        <v>100</v>
      </c>
      <c r="T27" s="774" t="s">
        <v>17</v>
      </c>
      <c r="U27" s="775">
        <f>H27</f>
        <v>100</v>
      </c>
      <c r="V27" s="774" t="s">
        <v>17</v>
      </c>
      <c r="W27" s="775">
        <f>J27</f>
        <v>100</v>
      </c>
      <c r="X27" s="1810"/>
      <c r="Y27" s="3161"/>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29"/>
      <c r="Q28" s="1792" t="str">
        <f t="shared" si="11"/>
        <v>朝向</v>
      </c>
      <c r="R28" s="770" t="s">
        <v>17</v>
      </c>
      <c r="S28" s="771">
        <f>F28</f>
        <v>100</v>
      </c>
      <c r="T28" s="770" t="s">
        <v>17</v>
      </c>
      <c r="U28" s="771">
        <f>H28</f>
        <v>100</v>
      </c>
      <c r="V28" s="770" t="s">
        <v>17</v>
      </c>
      <c r="W28" s="771">
        <f>J28</f>
        <v>100</v>
      </c>
      <c r="X28" s="772"/>
      <c r="Y28" s="3161"/>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29"/>
      <c r="Q29" s="1807">
        <f t="shared" si="11"/>
        <v>111</v>
      </c>
      <c r="R29" s="774" t="s">
        <v>17</v>
      </c>
      <c r="S29" s="775">
        <f t="shared" ref="S29:S47" si="12">F29</f>
        <v>100</v>
      </c>
      <c r="T29" s="774" t="s">
        <v>17</v>
      </c>
      <c r="U29" s="775">
        <f t="shared" ref="U29:U47" si="13">H29</f>
        <v>100</v>
      </c>
      <c r="V29" s="774" t="s">
        <v>17</v>
      </c>
      <c r="W29" s="775">
        <f t="shared" ref="W29:W47" si="14">J29</f>
        <v>100</v>
      </c>
      <c r="X29" s="1810"/>
      <c r="Y29" s="3161"/>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29"/>
      <c r="Q32" s="1807">
        <f t="shared" si="11"/>
        <v>111</v>
      </c>
      <c r="R32" s="774" t="s">
        <v>17</v>
      </c>
      <c r="S32" s="775">
        <f t="shared" si="12"/>
        <v>100</v>
      </c>
      <c r="T32" s="774" t="s">
        <v>17</v>
      </c>
      <c r="U32" s="775">
        <f t="shared" si="13"/>
        <v>100</v>
      </c>
      <c r="V32" s="774" t="s">
        <v>17</v>
      </c>
      <c r="W32" s="775">
        <f t="shared" si="14"/>
        <v>100</v>
      </c>
      <c r="X32" s="1810"/>
      <c r="Y32" s="3161"/>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4" t="s">
        <v>2568</v>
      </c>
      <c r="Q33" s="1807" t="str">
        <f t="shared" si="11"/>
        <v>建筑类型</v>
      </c>
      <c r="R33" s="774" t="s">
        <v>17</v>
      </c>
      <c r="S33" s="775">
        <f t="shared" si="12"/>
        <v>100</v>
      </c>
      <c r="T33" s="774" t="s">
        <v>17</v>
      </c>
      <c r="U33" s="775">
        <f t="shared" si="13"/>
        <v>100</v>
      </c>
      <c r="V33" s="774" t="s">
        <v>17</v>
      </c>
      <c r="W33" s="775">
        <f t="shared" si="14"/>
        <v>100</v>
      </c>
      <c r="X33" s="1810"/>
      <c r="Y33" s="3163"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5"/>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5"/>
      <c r="Q35" s="1807" t="str">
        <f t="shared" si="11"/>
        <v>建筑结构</v>
      </c>
      <c r="R35" s="774" t="s">
        <v>17</v>
      </c>
      <c r="S35" s="775">
        <f t="shared" si="12"/>
        <v>100</v>
      </c>
      <c r="T35" s="774" t="s">
        <v>17</v>
      </c>
      <c r="U35" s="775">
        <f t="shared" si="13"/>
        <v>100</v>
      </c>
      <c r="V35" s="774" t="s">
        <v>17</v>
      </c>
      <c r="W35" s="775">
        <f t="shared" si="14"/>
        <v>100</v>
      </c>
      <c r="X35" s="1810"/>
      <c r="Y35" s="3163"/>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5"/>
      <c r="Q36" s="1807" t="str">
        <f t="shared" si="11"/>
        <v>公共部分装修</v>
      </c>
      <c r="R36" s="774" t="s">
        <v>17</v>
      </c>
      <c r="S36" s="775">
        <f t="shared" si="12"/>
        <v>100</v>
      </c>
      <c r="T36" s="774" t="s">
        <v>17</v>
      </c>
      <c r="U36" s="775">
        <f t="shared" si="13"/>
        <v>100</v>
      </c>
      <c r="V36" s="774" t="s">
        <v>17</v>
      </c>
      <c r="W36" s="775">
        <f t="shared" si="14"/>
        <v>100</v>
      </c>
      <c r="X36" s="1810"/>
      <c r="Y36" s="3163"/>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5"/>
      <c r="Q37" s="1807" t="str">
        <f t="shared" si="11"/>
        <v>成新度</v>
      </c>
      <c r="R37" s="774" t="s">
        <v>17</v>
      </c>
      <c r="S37" s="775" t="e">
        <f t="shared" si="12"/>
        <v>#N/A</v>
      </c>
      <c r="T37" s="774" t="s">
        <v>17</v>
      </c>
      <c r="U37" s="775" t="e">
        <f t="shared" si="13"/>
        <v>#N/A</v>
      </c>
      <c r="V37" s="774" t="s">
        <v>17</v>
      </c>
      <c r="W37" s="775" t="e">
        <f t="shared" si="14"/>
        <v>#N/A</v>
      </c>
      <c r="X37" s="1810"/>
      <c r="Y37" s="3163"/>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5"/>
      <c r="Q38" s="1792"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5" t="s">
        <v>2568</v>
      </c>
      <c r="Q39" s="1807" t="str">
        <f t="shared" si="11"/>
        <v>物业管理</v>
      </c>
      <c r="R39" s="774" t="s">
        <v>17</v>
      </c>
      <c r="S39" s="775">
        <f t="shared" si="12"/>
        <v>100</v>
      </c>
      <c r="T39" s="774" t="s">
        <v>17</v>
      </c>
      <c r="U39" s="775">
        <f t="shared" si="13"/>
        <v>100</v>
      </c>
      <c r="V39" s="774" t="s">
        <v>17</v>
      </c>
      <c r="W39" s="775">
        <f t="shared" si="14"/>
        <v>100</v>
      </c>
      <c r="X39" s="1810"/>
      <c r="Y39" s="3163"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5"/>
      <c r="Q40" s="1807" t="str">
        <f t="shared" si="11"/>
        <v>市政基础设施</v>
      </c>
      <c r="R40" s="774" t="s">
        <v>17</v>
      </c>
      <c r="S40" s="775">
        <f t="shared" si="12"/>
        <v>100</v>
      </c>
      <c r="T40" s="774" t="s">
        <v>17</v>
      </c>
      <c r="U40" s="775">
        <f t="shared" si="13"/>
        <v>100</v>
      </c>
      <c r="V40" s="774" t="s">
        <v>17</v>
      </c>
      <c r="W40" s="775">
        <f t="shared" si="14"/>
        <v>100</v>
      </c>
      <c r="X40" s="1810"/>
      <c r="Y40" s="3163"/>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5"/>
      <c r="Q41" s="1807" t="str">
        <f t="shared" si="11"/>
        <v>层高</v>
      </c>
      <c r="R41" s="774" t="s">
        <v>17</v>
      </c>
      <c r="S41" s="775">
        <f t="shared" si="12"/>
        <v>100</v>
      </c>
      <c r="T41" s="774" t="s">
        <v>17</v>
      </c>
      <c r="U41" s="775">
        <f t="shared" si="13"/>
        <v>100</v>
      </c>
      <c r="V41" s="774" t="s">
        <v>17</v>
      </c>
      <c r="W41" s="775">
        <f t="shared" si="14"/>
        <v>100</v>
      </c>
      <c r="X41" s="1810"/>
      <c r="Y41" s="3163"/>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5"/>
      <c r="Q43" s="1807" t="str">
        <f t="shared" si="11"/>
        <v>内部装修</v>
      </c>
      <c r="R43" s="774" t="s">
        <v>17</v>
      </c>
      <c r="S43" s="775">
        <f t="shared" si="12"/>
        <v>100</v>
      </c>
      <c r="T43" s="774" t="s">
        <v>17</v>
      </c>
      <c r="U43" s="775">
        <f t="shared" si="13"/>
        <v>100</v>
      </c>
      <c r="V43" s="774" t="s">
        <v>17</v>
      </c>
      <c r="W43" s="775">
        <f t="shared" si="14"/>
        <v>100</v>
      </c>
      <c r="X43" s="1810"/>
      <c r="Y43" s="3163"/>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5"/>
      <c r="Q44" s="1807" t="str">
        <f t="shared" si="11"/>
        <v>内部装修维护情况</v>
      </c>
      <c r="R44" s="774" t="s">
        <v>17</v>
      </c>
      <c r="S44" s="775">
        <f t="shared" si="12"/>
        <v>100</v>
      </c>
      <c r="T44" s="774" t="s">
        <v>17</v>
      </c>
      <c r="U44" s="775">
        <f t="shared" si="13"/>
        <v>100</v>
      </c>
      <c r="V44" s="774" t="s">
        <v>17</v>
      </c>
      <c r="W44" s="775">
        <f t="shared" si="14"/>
        <v>100</v>
      </c>
      <c r="X44" s="1810"/>
      <c r="Y44" s="3163"/>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1792">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1807">
        <f t="shared" si="11"/>
        <v>111</v>
      </c>
      <c r="R46" s="774" t="s">
        <v>17</v>
      </c>
      <c r="S46" s="775">
        <f t="shared" si="12"/>
        <v>100</v>
      </c>
      <c r="T46" s="774" t="s">
        <v>17</v>
      </c>
      <c r="U46" s="775">
        <f t="shared" si="13"/>
        <v>100</v>
      </c>
      <c r="V46" s="774" t="s">
        <v>17</v>
      </c>
      <c r="W46" s="775">
        <f t="shared" si="14"/>
        <v>100</v>
      </c>
      <c r="X46" s="1810"/>
      <c r="Y46" s="3163"/>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1807">
        <f t="shared" si="11"/>
        <v>111</v>
      </c>
      <c r="R47" s="774" t="s">
        <v>17</v>
      </c>
      <c r="S47" s="775">
        <f t="shared" si="12"/>
        <v>100</v>
      </c>
      <c r="T47" s="774" t="s">
        <v>17</v>
      </c>
      <c r="U47" s="775">
        <f t="shared" si="13"/>
        <v>100</v>
      </c>
      <c r="V47" s="774" t="s">
        <v>17</v>
      </c>
      <c r="W47" s="775">
        <f t="shared" si="14"/>
        <v>100</v>
      </c>
      <c r="X47" s="1810"/>
      <c r="Y47" s="3227"/>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57" t="str">
        <f>A48</f>
        <v>成交单价（元/平方米）</v>
      </c>
      <c r="Q48" s="3158"/>
      <c r="R48" s="3223">
        <f>E48</f>
        <v>0</v>
      </c>
      <c r="S48" s="3223"/>
      <c r="T48" s="3223">
        <f>G48</f>
        <v>0</v>
      </c>
      <c r="U48" s="3223"/>
      <c r="V48" s="3223">
        <f>I48</f>
        <v>0</v>
      </c>
      <c r="W48" s="3223"/>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57" t="str">
        <f>A49</f>
        <v>比较价值（元/平方米）</v>
      </c>
      <c r="Q49" s="3158"/>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31" t="str">
        <f>A50</f>
        <v>估价对象XX用房的比较价值（楼面单价，元/平方米）</v>
      </c>
      <c r="Q50" s="3232"/>
      <c r="R50" s="3233" t="e">
        <f>IF(F1="售价",ROUND(AVERAGE(R49:V49),0),ROUND(AVERAGE(R49:V49),1))</f>
        <v>#DIV/0!</v>
      </c>
      <c r="S50" s="3233"/>
      <c r="T50" s="3233"/>
      <c r="U50" s="3233"/>
      <c r="V50" s="3233"/>
      <c r="W50" s="3233"/>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61"/>
      <c r="Q18" s="1807"/>
      <c r="R18" s="774"/>
      <c r="S18" s="775"/>
      <c r="T18" s="774"/>
      <c r="U18" s="775"/>
      <c r="V18" s="774"/>
      <c r="W18" s="775"/>
      <c r="X18" s="1810"/>
      <c r="Y18" s="3161"/>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1"/>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61"/>
      <c r="Q20" s="1807"/>
      <c r="R20" s="774"/>
      <c r="S20" s="775"/>
      <c r="T20" s="774"/>
      <c r="U20" s="775"/>
      <c r="V20" s="774"/>
      <c r="W20" s="775"/>
      <c r="X20" s="1810"/>
      <c r="Y20" s="3161"/>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1"/>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61"/>
      <c r="Q22" s="1807"/>
      <c r="R22" s="774"/>
      <c r="S22" s="775"/>
      <c r="T22" s="774"/>
      <c r="U22" s="775"/>
      <c r="V22" s="774"/>
      <c r="W22" s="775"/>
      <c r="X22" s="1810"/>
      <c r="Y22" s="3161"/>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1"/>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61"/>
      <c r="Q24" s="1807"/>
      <c r="R24" s="774"/>
      <c r="S24" s="775"/>
      <c r="T24" s="774"/>
      <c r="U24" s="775"/>
      <c r="V24" s="774"/>
      <c r="W24" s="775"/>
      <c r="X24" s="1810"/>
      <c r="Y24" s="3161"/>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1"/>
      <c r="Q25" s="1807">
        <f>B25</f>
        <v>111</v>
      </c>
      <c r="R25" s="774" t="s">
        <v>17</v>
      </c>
      <c r="S25" s="775">
        <f>F25</f>
        <v>100</v>
      </c>
      <c r="T25" s="774" t="s">
        <v>17</v>
      </c>
      <c r="U25" s="775">
        <f>H25</f>
        <v>100</v>
      </c>
      <c r="V25" s="774" t="s">
        <v>17</v>
      </c>
      <c r="W25" s="775">
        <f>J25</f>
        <v>100</v>
      </c>
      <c r="X25" s="1810"/>
      <c r="Y25" s="3161"/>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1"/>
      <c r="Q26" s="1807">
        <f t="shared" ref="Q26:Q40" si="11">B26</f>
        <v>111</v>
      </c>
      <c r="R26" s="774" t="s">
        <v>17</v>
      </c>
      <c r="S26" s="775">
        <f>F26</f>
        <v>100</v>
      </c>
      <c r="T26" s="774" t="s">
        <v>17</v>
      </c>
      <c r="U26" s="775">
        <f>H26</f>
        <v>100</v>
      </c>
      <c r="V26" s="774" t="s">
        <v>17</v>
      </c>
      <c r="W26" s="775">
        <f>J26</f>
        <v>100</v>
      </c>
      <c r="X26" s="1810"/>
      <c r="Y26" s="3161"/>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1"/>
      <c r="Q27" s="1792">
        <f t="shared" si="11"/>
        <v>111</v>
      </c>
      <c r="R27" s="770" t="s">
        <v>17</v>
      </c>
      <c r="S27" s="771">
        <f>F27</f>
        <v>100</v>
      </c>
      <c r="T27" s="770" t="s">
        <v>17</v>
      </c>
      <c r="U27" s="771">
        <f>H27</f>
        <v>100</v>
      </c>
      <c r="V27" s="770" t="s">
        <v>17</v>
      </c>
      <c r="W27" s="771">
        <f>J27</f>
        <v>100</v>
      </c>
      <c r="X27" s="772"/>
      <c r="Y27" s="3161"/>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1"/>
      <c r="Q28" s="1807">
        <f t="shared" si="11"/>
        <v>111</v>
      </c>
      <c r="R28" s="774" t="s">
        <v>17</v>
      </c>
      <c r="S28" s="775">
        <f t="shared" ref="S28:S40" si="12">F28</f>
        <v>100</v>
      </c>
      <c r="T28" s="774" t="s">
        <v>17</v>
      </c>
      <c r="U28" s="775">
        <f t="shared" ref="U28:U40" si="13">H28</f>
        <v>100</v>
      </c>
      <c r="V28" s="774" t="s">
        <v>17</v>
      </c>
      <c r="W28" s="775">
        <f t="shared" ref="W28:W40" si="14">J28</f>
        <v>100</v>
      </c>
      <c r="X28" s="1810"/>
      <c r="Y28" s="3161"/>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62" t="s">
        <v>2568</v>
      </c>
      <c r="Q29" s="1807" t="str">
        <f t="shared" si="11"/>
        <v>建筑类型</v>
      </c>
      <c r="R29" s="774" t="s">
        <v>17</v>
      </c>
      <c r="S29" s="775">
        <f t="shared" si="12"/>
        <v>100</v>
      </c>
      <c r="T29" s="774" t="s">
        <v>17</v>
      </c>
      <c r="U29" s="775">
        <f t="shared" si="13"/>
        <v>100</v>
      </c>
      <c r="V29" s="774" t="s">
        <v>17</v>
      </c>
      <c r="W29" s="775">
        <f t="shared" si="14"/>
        <v>100</v>
      </c>
      <c r="X29" s="1810"/>
      <c r="Y29" s="3163"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3"/>
      <c r="Q31" s="1807" t="str">
        <f t="shared" si="11"/>
        <v>建筑结构</v>
      </c>
      <c r="R31" s="774" t="s">
        <v>17</v>
      </c>
      <c r="S31" s="775">
        <f t="shared" si="12"/>
        <v>100</v>
      </c>
      <c r="T31" s="774" t="s">
        <v>17</v>
      </c>
      <c r="U31" s="775">
        <f t="shared" si="13"/>
        <v>100</v>
      </c>
      <c r="V31" s="774" t="s">
        <v>17</v>
      </c>
      <c r="W31" s="775">
        <f t="shared" si="14"/>
        <v>100</v>
      </c>
      <c r="X31" s="1810"/>
      <c r="Y31" s="3163"/>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3"/>
      <c r="Q32" s="1807" t="str">
        <f t="shared" si="11"/>
        <v>公共部分装修</v>
      </c>
      <c r="R32" s="774" t="s">
        <v>17</v>
      </c>
      <c r="S32" s="775">
        <f t="shared" si="12"/>
        <v>100</v>
      </c>
      <c r="T32" s="774" t="s">
        <v>17</v>
      </c>
      <c r="U32" s="775">
        <f t="shared" si="13"/>
        <v>100</v>
      </c>
      <c r="V32" s="774" t="s">
        <v>17</v>
      </c>
      <c r="W32" s="775">
        <f t="shared" si="14"/>
        <v>100</v>
      </c>
      <c r="X32" s="1810"/>
      <c r="Y32" s="3163"/>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3"/>
      <c r="Q33" s="1807" t="str">
        <f t="shared" si="11"/>
        <v>成新度</v>
      </c>
      <c r="R33" s="774" t="s">
        <v>17</v>
      </c>
      <c r="S33" s="775" t="e">
        <f t="shared" si="12"/>
        <v>#N/A</v>
      </c>
      <c r="T33" s="774" t="s">
        <v>17</v>
      </c>
      <c r="U33" s="775" t="e">
        <f t="shared" si="13"/>
        <v>#N/A</v>
      </c>
      <c r="V33" s="774" t="s">
        <v>17</v>
      </c>
      <c r="W33" s="775" t="e">
        <f t="shared" si="14"/>
        <v>#N/A</v>
      </c>
      <c r="X33" s="1810"/>
      <c r="Y33" s="3163"/>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3"/>
      <c r="Q34" s="1792"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3" t="s">
        <v>2568</v>
      </c>
      <c r="Q35" s="1807" t="str">
        <f t="shared" si="11"/>
        <v>市政基础设施</v>
      </c>
      <c r="R35" s="774" t="s">
        <v>17</v>
      </c>
      <c r="S35" s="775">
        <f t="shared" si="12"/>
        <v>100</v>
      </c>
      <c r="T35" s="774" t="s">
        <v>17</v>
      </c>
      <c r="U35" s="775">
        <f t="shared" si="13"/>
        <v>100</v>
      </c>
      <c r="V35" s="774" t="s">
        <v>17</v>
      </c>
      <c r="W35" s="775">
        <f t="shared" si="14"/>
        <v>100</v>
      </c>
      <c r="X35" s="1810"/>
      <c r="Y35" s="3163"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3"/>
      <c r="Q36" s="1807" t="str">
        <f t="shared" si="11"/>
        <v>内部装修</v>
      </c>
      <c r="R36" s="774" t="s">
        <v>17</v>
      </c>
      <c r="S36" s="775">
        <f t="shared" si="12"/>
        <v>100</v>
      </c>
      <c r="T36" s="774" t="s">
        <v>17</v>
      </c>
      <c r="U36" s="775">
        <f t="shared" si="13"/>
        <v>100</v>
      </c>
      <c r="V36" s="774" t="s">
        <v>17</v>
      </c>
      <c r="W36" s="775">
        <f t="shared" si="14"/>
        <v>100</v>
      </c>
      <c r="X36" s="1810"/>
      <c r="Y36" s="3163"/>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3"/>
      <c r="Q37" s="1807" t="str">
        <f t="shared" si="11"/>
        <v>内部装修状况</v>
      </c>
      <c r="R37" s="774" t="s">
        <v>17</v>
      </c>
      <c r="S37" s="775">
        <f t="shared" si="12"/>
        <v>100</v>
      </c>
      <c r="T37" s="774" t="s">
        <v>17</v>
      </c>
      <c r="U37" s="775">
        <f t="shared" si="13"/>
        <v>100</v>
      </c>
      <c r="V37" s="774" t="s">
        <v>17</v>
      </c>
      <c r="W37" s="775">
        <f t="shared" si="14"/>
        <v>100</v>
      </c>
      <c r="X37" s="1810"/>
      <c r="Y37" s="3163"/>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3"/>
      <c r="Q39" s="1807">
        <f t="shared" si="11"/>
        <v>111</v>
      </c>
      <c r="R39" s="774" t="s">
        <v>17</v>
      </c>
      <c r="S39" s="775">
        <f t="shared" si="12"/>
        <v>100</v>
      </c>
      <c r="T39" s="774" t="s">
        <v>17</v>
      </c>
      <c r="U39" s="775">
        <f t="shared" si="13"/>
        <v>100</v>
      </c>
      <c r="V39" s="774" t="s">
        <v>17</v>
      </c>
      <c r="W39" s="775">
        <f t="shared" si="14"/>
        <v>100</v>
      </c>
      <c r="X39" s="1810"/>
      <c r="Y39" s="3163"/>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7"/>
      <c r="Q40" s="1807">
        <f t="shared" si="11"/>
        <v>111</v>
      </c>
      <c r="R40" s="774" t="s">
        <v>17</v>
      </c>
      <c r="S40" s="775">
        <f t="shared" si="12"/>
        <v>100</v>
      </c>
      <c r="T40" s="774" t="s">
        <v>17</v>
      </c>
      <c r="U40" s="775">
        <f t="shared" si="13"/>
        <v>100</v>
      </c>
      <c r="V40" s="774" t="s">
        <v>17</v>
      </c>
      <c r="W40" s="775">
        <f t="shared" si="14"/>
        <v>100</v>
      </c>
      <c r="X40" s="1810"/>
      <c r="Y40" s="3227"/>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58" t="str">
        <f>A41</f>
        <v>成交单价（元/平方米）</v>
      </c>
      <c r="Q41" s="3158"/>
      <c r="R41" s="3223">
        <f>E41</f>
        <v>0</v>
      </c>
      <c r="S41" s="3223"/>
      <c r="T41" s="3223">
        <f>G41</f>
        <v>0</v>
      </c>
      <c r="U41" s="3223"/>
      <c r="V41" s="3223">
        <f>I41</f>
        <v>0</v>
      </c>
      <c r="W41" s="3223"/>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58" t="str">
        <f>A42</f>
        <v>比较价值（元/平方米）</v>
      </c>
      <c r="Q42" s="3158"/>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52" t="str">
        <f>A43</f>
        <v>估价对象XX用房的比较价值（楼面单价，元/平方米）</v>
      </c>
      <c r="Q43" s="3153"/>
      <c r="R43" s="3222" t="e">
        <f>IF(F1="售价",ROUND(AVERAGE(R42:V42),0),ROUND(AVERAGE(R42:V42),1))</f>
        <v>#DIV/0!</v>
      </c>
      <c r="S43" s="3222"/>
      <c r="T43" s="3222"/>
      <c r="U43" s="3222"/>
      <c r="V43" s="3222"/>
      <c r="W43" s="322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61"/>
      <c r="Q15" s="1807"/>
      <c r="R15" s="774"/>
      <c r="S15" s="775"/>
      <c r="T15" s="774"/>
      <c r="U15" s="775"/>
      <c r="V15" s="774"/>
      <c r="W15" s="775"/>
      <c r="X15" s="1810"/>
      <c r="Y15" s="3161"/>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61"/>
      <c r="Q17" s="1807"/>
      <c r="R17" s="774"/>
      <c r="S17" s="775"/>
      <c r="T17" s="774"/>
      <c r="U17" s="775"/>
      <c r="V17" s="774"/>
      <c r="W17" s="775"/>
      <c r="X17" s="1810"/>
      <c r="Y17" s="3161"/>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61"/>
      <c r="Q19" s="1807"/>
      <c r="R19" s="774"/>
      <c r="S19" s="775"/>
      <c r="T19" s="774"/>
      <c r="U19" s="775"/>
      <c r="V19" s="774"/>
      <c r="W19" s="775"/>
      <c r="X19" s="1810"/>
      <c r="Y19" s="3161"/>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61"/>
      <c r="Q21" s="1807"/>
      <c r="R21" s="774"/>
      <c r="S21" s="775"/>
      <c r="T21" s="774"/>
      <c r="U21" s="775"/>
      <c r="V21" s="774"/>
      <c r="W21" s="775"/>
      <c r="X21" s="1810"/>
      <c r="Y21" s="3161"/>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1"/>
      <c r="Q24" s="1807">
        <f t="shared" ref="Q24:Q36"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62"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63"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3"/>
      <c r="Q28" s="1807" t="str">
        <f t="shared" si="11"/>
        <v>公共部分装修</v>
      </c>
      <c r="R28" s="774" t="s">
        <v>17</v>
      </c>
      <c r="S28" s="775">
        <f t="shared" si="12"/>
        <v>100</v>
      </c>
      <c r="T28" s="774" t="s">
        <v>17</v>
      </c>
      <c r="U28" s="775">
        <f t="shared" si="13"/>
        <v>100</v>
      </c>
      <c r="V28" s="774" t="s">
        <v>17</v>
      </c>
      <c r="W28" s="775">
        <f t="shared" si="14"/>
        <v>100</v>
      </c>
      <c r="X28" s="1810"/>
      <c r="Y28" s="3163"/>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3"/>
      <c r="Q29" s="1807" t="str">
        <f t="shared" si="11"/>
        <v>成新率</v>
      </c>
      <c r="R29" s="774" t="s">
        <v>17</v>
      </c>
      <c r="S29" s="775" t="e">
        <f t="shared" si="12"/>
        <v>#N/A</v>
      </c>
      <c r="T29" s="774" t="s">
        <v>17</v>
      </c>
      <c r="U29" s="775" t="e">
        <f t="shared" si="13"/>
        <v>#N/A</v>
      </c>
      <c r="V29" s="774" t="s">
        <v>17</v>
      </c>
      <c r="W29" s="775" t="e">
        <f t="shared" si="14"/>
        <v>#N/A</v>
      </c>
      <c r="X29" s="1810"/>
      <c r="Y29" s="3163"/>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3"/>
      <c r="Q30" s="1807" t="str">
        <f t="shared" si="11"/>
        <v>物业等级</v>
      </c>
      <c r="R30" s="774" t="s">
        <v>17</v>
      </c>
      <c r="S30" s="775">
        <f t="shared" si="12"/>
        <v>100</v>
      </c>
      <c r="T30" s="774" t="s">
        <v>17</v>
      </c>
      <c r="U30" s="775">
        <f t="shared" si="13"/>
        <v>100</v>
      </c>
      <c r="V30" s="774" t="s">
        <v>17</v>
      </c>
      <c r="W30" s="775">
        <f t="shared" si="14"/>
        <v>100</v>
      </c>
      <c r="X30" s="1810"/>
      <c r="Y30" s="3163"/>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3"/>
      <c r="Q31" s="1792"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3" t="s">
        <v>2568</v>
      </c>
      <c r="Q32" s="1807" t="str">
        <f t="shared" si="11"/>
        <v>车位类型</v>
      </c>
      <c r="R32" s="774" t="s">
        <v>17</v>
      </c>
      <c r="S32" s="775">
        <f t="shared" si="12"/>
        <v>100</v>
      </c>
      <c r="T32" s="774" t="s">
        <v>17</v>
      </c>
      <c r="U32" s="775">
        <f t="shared" si="13"/>
        <v>100</v>
      </c>
      <c r="V32" s="774" t="s">
        <v>17</v>
      </c>
      <c r="W32" s="775">
        <f t="shared" si="14"/>
        <v>100</v>
      </c>
      <c r="X32" s="1810"/>
      <c r="Y32" s="3163"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3"/>
      <c r="Q33" s="1807" t="str">
        <f t="shared" si="11"/>
        <v>是否直接入户</v>
      </c>
      <c r="R33" s="774" t="s">
        <v>17</v>
      </c>
      <c r="S33" s="775">
        <f t="shared" si="12"/>
        <v>100</v>
      </c>
      <c r="T33" s="774" t="s">
        <v>17</v>
      </c>
      <c r="U33" s="775">
        <f t="shared" si="13"/>
        <v>100</v>
      </c>
      <c r="V33" s="774" t="s">
        <v>17</v>
      </c>
      <c r="W33" s="775">
        <f t="shared" si="14"/>
        <v>100</v>
      </c>
      <c r="X33" s="1810"/>
      <c r="Y33" s="316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3"/>
      <c r="Q36" s="1807">
        <f t="shared" si="11"/>
        <v>111</v>
      </c>
      <c r="R36" s="774" t="s">
        <v>17</v>
      </c>
      <c r="S36" s="775">
        <f t="shared" si="12"/>
        <v>100</v>
      </c>
      <c r="T36" s="774" t="s">
        <v>17</v>
      </c>
      <c r="U36" s="775">
        <f t="shared" si="13"/>
        <v>100</v>
      </c>
      <c r="V36" s="774" t="s">
        <v>17</v>
      </c>
      <c r="W36" s="775">
        <f t="shared" si="14"/>
        <v>100</v>
      </c>
      <c r="X36" s="1810"/>
      <c r="Y36" s="3163"/>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58" t="str">
        <f>A37</f>
        <v>成交单价</v>
      </c>
      <c r="Q37" s="3158"/>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8" t="str">
        <f>A38</f>
        <v>比较价值（元/平方米）</v>
      </c>
      <c r="Q38" s="3158"/>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52" t="str">
        <f>A39</f>
        <v>估价对象XX用房的比较价值（楼面单价，元/平方米）</v>
      </c>
      <c r="Q39" s="3153"/>
      <c r="R39" s="3222" t="e">
        <f>IF(F1="售价",ROUND(AVERAGE(R38:V38),0),ROUND(AVERAGE(R38:V38),1))</f>
        <v>#DIV/0!</v>
      </c>
      <c r="S39" s="3222"/>
      <c r="T39" s="3222"/>
      <c r="U39" s="3222"/>
      <c r="V39" s="3222"/>
      <c r="W39" s="322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61"/>
      <c r="Q15" s="1807"/>
      <c r="R15" s="774"/>
      <c r="S15" s="775"/>
      <c r="T15" s="774"/>
      <c r="U15" s="775"/>
      <c r="V15" s="774"/>
      <c r="W15" s="775"/>
      <c r="X15" s="1810"/>
      <c r="Y15" s="3161"/>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61"/>
      <c r="Q17" s="1807"/>
      <c r="R17" s="774"/>
      <c r="S17" s="775"/>
      <c r="T17" s="774"/>
      <c r="U17" s="775"/>
      <c r="V17" s="774"/>
      <c r="W17" s="775"/>
      <c r="X17" s="1810"/>
      <c r="Y17" s="3161"/>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61"/>
      <c r="Q19" s="1807"/>
      <c r="R19" s="774"/>
      <c r="S19" s="775"/>
      <c r="T19" s="774"/>
      <c r="U19" s="775"/>
      <c r="V19" s="774"/>
      <c r="W19" s="775"/>
      <c r="X19" s="1810"/>
      <c r="Y19" s="3161"/>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61"/>
      <c r="Q21" s="1807"/>
      <c r="R21" s="774"/>
      <c r="S21" s="775"/>
      <c r="T21" s="774"/>
      <c r="U21" s="775"/>
      <c r="V21" s="774"/>
      <c r="W21" s="775"/>
      <c r="X21" s="1810"/>
      <c r="Y21" s="3161"/>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1"/>
      <c r="Q24" s="1807">
        <f t="shared" ref="Q24:Q34"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62"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63"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3"/>
      <c r="Q28" s="1807" t="str">
        <f t="shared" si="11"/>
        <v>物业等级</v>
      </c>
      <c r="R28" s="774" t="s">
        <v>17</v>
      </c>
      <c r="S28" s="775">
        <f t="shared" si="12"/>
        <v>100</v>
      </c>
      <c r="T28" s="774" t="s">
        <v>17</v>
      </c>
      <c r="U28" s="775">
        <f t="shared" si="13"/>
        <v>100</v>
      </c>
      <c r="V28" s="774" t="s">
        <v>17</v>
      </c>
      <c r="W28" s="775">
        <f t="shared" si="14"/>
        <v>100</v>
      </c>
      <c r="X28" s="1810"/>
      <c r="Y28" s="3163"/>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3"/>
      <c r="Q29" s="1807" t="str">
        <f t="shared" si="11"/>
        <v>有无电梯</v>
      </c>
      <c r="R29" s="774" t="s">
        <v>17</v>
      </c>
      <c r="S29" s="775">
        <f t="shared" si="12"/>
        <v>100</v>
      </c>
      <c r="T29" s="774" t="s">
        <v>17</v>
      </c>
      <c r="U29" s="775">
        <f t="shared" si="13"/>
        <v>100</v>
      </c>
      <c r="V29" s="774" t="s">
        <v>17</v>
      </c>
      <c r="W29" s="775">
        <f t="shared" si="14"/>
        <v>100</v>
      </c>
      <c r="X29" s="1810"/>
      <c r="Y29" s="3163"/>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3"/>
      <c r="Q30" s="1807" t="str">
        <f t="shared" si="11"/>
        <v>建筑面积</v>
      </c>
      <c r="R30" s="774" t="s">
        <v>17</v>
      </c>
      <c r="S30" s="775" t="e">
        <f t="shared" si="12"/>
        <v>#N/A</v>
      </c>
      <c r="T30" s="774" t="s">
        <v>17</v>
      </c>
      <c r="U30" s="775" t="e">
        <f t="shared" si="13"/>
        <v>#N/A</v>
      </c>
      <c r="V30" s="774" t="s">
        <v>17</v>
      </c>
      <c r="W30" s="775" t="e">
        <f t="shared" si="14"/>
        <v>#N/A</v>
      </c>
      <c r="X30" s="1810"/>
      <c r="Y30" s="3163"/>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3"/>
      <c r="Q31" s="1792"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3" t="s">
        <v>2568</v>
      </c>
      <c r="Q32" s="1807">
        <f t="shared" si="11"/>
        <v>111</v>
      </c>
      <c r="R32" s="774" t="s">
        <v>17</v>
      </c>
      <c r="S32" s="775">
        <f t="shared" si="12"/>
        <v>100</v>
      </c>
      <c r="T32" s="774" t="s">
        <v>17</v>
      </c>
      <c r="U32" s="775">
        <f t="shared" si="13"/>
        <v>100</v>
      </c>
      <c r="V32" s="774" t="s">
        <v>17</v>
      </c>
      <c r="W32" s="775">
        <f t="shared" si="14"/>
        <v>100</v>
      </c>
      <c r="X32" s="1810"/>
      <c r="Y32" s="3163"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3"/>
      <c r="Q33" s="1807">
        <f t="shared" si="11"/>
        <v>111</v>
      </c>
      <c r="R33" s="774" t="s">
        <v>17</v>
      </c>
      <c r="S33" s="775">
        <f t="shared" si="12"/>
        <v>100</v>
      </c>
      <c r="T33" s="774" t="s">
        <v>17</v>
      </c>
      <c r="U33" s="775">
        <f t="shared" si="13"/>
        <v>100</v>
      </c>
      <c r="V33" s="774" t="s">
        <v>17</v>
      </c>
      <c r="W33" s="775">
        <f t="shared" si="14"/>
        <v>100</v>
      </c>
      <c r="X33" s="1810"/>
      <c r="Y33" s="3163"/>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58" t="str">
        <f>A35</f>
        <v>成交单价（元/平方米）</v>
      </c>
      <c r="Q35" s="3158"/>
      <c r="R35" s="3223">
        <f>E35</f>
        <v>0</v>
      </c>
      <c r="S35" s="3223"/>
      <c r="T35" s="3223">
        <f>G35</f>
        <v>0</v>
      </c>
      <c r="U35" s="3223"/>
      <c r="V35" s="3223">
        <f>I35</f>
        <v>0</v>
      </c>
      <c r="W35" s="3223"/>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58" t="str">
        <f>A36</f>
        <v>比较价值（元/平方米）</v>
      </c>
      <c r="Q36" s="3158"/>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52" t="str">
        <f>A37</f>
        <v>估价对象XX用房的比较价值（楼面单价，元/平方米）</v>
      </c>
      <c r="Q37" s="3153"/>
      <c r="R37" s="3222" t="e">
        <f>IF(F1="售价",ROUND(AVERAGE(R36:V36),0),ROUND(AVERAGE(R36:V36),1))</f>
        <v>#DIV/0!</v>
      </c>
      <c r="S37" s="3222"/>
      <c r="T37" s="3222"/>
      <c r="U37" s="3222"/>
      <c r="V37" s="3222"/>
      <c r="W37" s="322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246" t="s">
        <v>2799</v>
      </c>
      <c r="D6" s="3247"/>
      <c r="E6" s="3248" t="s">
        <v>2799</v>
      </c>
      <c r="F6" s="3249"/>
      <c r="G6" s="3246" t="s">
        <v>2799</v>
      </c>
      <c r="H6" s="3247"/>
      <c r="I6" s="3246" t="s">
        <v>2799</v>
      </c>
      <c r="J6" s="3247"/>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1"/>
      <c r="Q19" s="1807" t="str">
        <f t="shared" ref="Q19:Q33" si="8">B19</f>
        <v>区域土地利用方向</v>
      </c>
      <c r="R19" s="774" t="s">
        <v>17</v>
      </c>
      <c r="S19" s="775">
        <f>F19</f>
        <v>100</v>
      </c>
      <c r="T19" s="774" t="s">
        <v>17</v>
      </c>
      <c r="U19" s="775">
        <f>H19</f>
        <v>100</v>
      </c>
      <c r="V19" s="774" t="s">
        <v>17</v>
      </c>
      <c r="W19" s="775">
        <f>J19</f>
        <v>100</v>
      </c>
      <c r="X19" s="1810"/>
      <c r="Y19" s="3161"/>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61"/>
      <c r="Q20" s="1807"/>
      <c r="R20" s="774"/>
      <c r="S20" s="775"/>
      <c r="T20" s="774"/>
      <c r="U20" s="775"/>
      <c r="V20" s="774"/>
      <c r="W20" s="775"/>
      <c r="X20" s="1810"/>
      <c r="Y20" s="3161"/>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1"/>
      <c r="Q21" s="1807" t="str">
        <f t="shared" si="8"/>
        <v>环境状况</v>
      </c>
      <c r="R21" s="774" t="s">
        <v>17</v>
      </c>
      <c r="S21" s="775">
        <f>F21</f>
        <v>100</v>
      </c>
      <c r="T21" s="774" t="s">
        <v>17</v>
      </c>
      <c r="U21" s="775">
        <f>H21</f>
        <v>100</v>
      </c>
      <c r="V21" s="774" t="s">
        <v>17</v>
      </c>
      <c r="W21" s="775">
        <f>J21</f>
        <v>100</v>
      </c>
      <c r="X21" s="1810"/>
      <c r="Y21" s="3161"/>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1"/>
      <c r="Q23" s="1792" t="str">
        <f t="shared" si="8"/>
        <v>公共配套设施</v>
      </c>
      <c r="R23" s="770" t="s">
        <v>17</v>
      </c>
      <c r="S23" s="771">
        <f>F23</f>
        <v>100</v>
      </c>
      <c r="T23" s="770" t="s">
        <v>17</v>
      </c>
      <c r="U23" s="771">
        <f>H23</f>
        <v>100</v>
      </c>
      <c r="V23" s="770" t="s">
        <v>17</v>
      </c>
      <c r="W23" s="771">
        <f>J23</f>
        <v>100</v>
      </c>
      <c r="X23" s="772"/>
      <c r="Y23" s="3161"/>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61"/>
      <c r="Q24" s="1792"/>
      <c r="R24" s="770"/>
      <c r="S24" s="771"/>
      <c r="T24" s="770"/>
      <c r="U24" s="771"/>
      <c r="V24" s="770"/>
      <c r="W24" s="771"/>
      <c r="X24" s="772"/>
      <c r="Y24" s="3161"/>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1"/>
      <c r="Q25" s="1792" t="str">
        <f t="shared" ref="Q25" si="9">B25</f>
        <v>基础设施水平</v>
      </c>
      <c r="R25" s="770" t="s">
        <v>17</v>
      </c>
      <c r="S25" s="771">
        <f>F25</f>
        <v>100</v>
      </c>
      <c r="T25" s="770" t="s">
        <v>17</v>
      </c>
      <c r="U25" s="771">
        <f>H25</f>
        <v>100</v>
      </c>
      <c r="V25" s="770" t="s">
        <v>17</v>
      </c>
      <c r="W25" s="771">
        <f>J25</f>
        <v>100</v>
      </c>
      <c r="X25" s="772"/>
      <c r="Y25" s="3161"/>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61"/>
      <c r="Q26" s="1792"/>
      <c r="R26" s="770"/>
      <c r="S26" s="771"/>
      <c r="T26" s="770"/>
      <c r="U26" s="771"/>
      <c r="V26" s="770"/>
      <c r="W26" s="771"/>
      <c r="X26" s="772"/>
      <c r="Y26" s="316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1"/>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61"/>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1"/>
      <c r="Q28" s="1807" t="str">
        <f t="shared" si="8"/>
        <v>毗邻道路的类型与等级</v>
      </c>
      <c r="R28" s="774" t="s">
        <v>17</v>
      </c>
      <c r="S28" s="775">
        <f t="shared" si="10"/>
        <v>100</v>
      </c>
      <c r="T28" s="774" t="s">
        <v>17</v>
      </c>
      <c r="U28" s="775">
        <f t="shared" si="11"/>
        <v>100</v>
      </c>
      <c r="V28" s="774" t="s">
        <v>17</v>
      </c>
      <c r="W28" s="775">
        <f t="shared" si="12"/>
        <v>100</v>
      </c>
      <c r="X28" s="1810"/>
      <c r="Y28" s="3161"/>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61"/>
      <c r="Q29" s="1807"/>
      <c r="R29" s="774"/>
      <c r="S29" s="775"/>
      <c r="T29" s="774"/>
      <c r="U29" s="775"/>
      <c r="V29" s="774"/>
      <c r="W29" s="775"/>
      <c r="X29" s="1810"/>
      <c r="Y29" s="3161"/>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1"/>
      <c r="Q30" s="1807" t="str">
        <f t="shared" si="8"/>
        <v>土地级别</v>
      </c>
      <c r="R30" s="774" t="s">
        <v>17</v>
      </c>
      <c r="S30" s="775">
        <f t="shared" si="10"/>
        <v>100</v>
      </c>
      <c r="T30" s="774" t="s">
        <v>17</v>
      </c>
      <c r="U30" s="775">
        <f t="shared" si="11"/>
        <v>100</v>
      </c>
      <c r="V30" s="774" t="s">
        <v>17</v>
      </c>
      <c r="W30" s="775">
        <f t="shared" si="12"/>
        <v>100</v>
      </c>
      <c r="X30" s="1810"/>
      <c r="Y30" s="3161"/>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1"/>
      <c r="Q31" s="1807">
        <f t="shared" si="8"/>
        <v>111</v>
      </c>
      <c r="R31" s="774" t="s">
        <v>17</v>
      </c>
      <c r="S31" s="775">
        <f t="shared" si="10"/>
        <v>100</v>
      </c>
      <c r="T31" s="774" t="s">
        <v>17</v>
      </c>
      <c r="U31" s="775">
        <f t="shared" si="11"/>
        <v>100</v>
      </c>
      <c r="V31" s="774" t="s">
        <v>17</v>
      </c>
      <c r="W31" s="775">
        <f t="shared" si="12"/>
        <v>100</v>
      </c>
      <c r="X31" s="1810"/>
      <c r="Y31" s="3161"/>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62" t="s">
        <v>2568</v>
      </c>
      <c r="Q32" s="1807">
        <f t="shared" si="8"/>
        <v>111</v>
      </c>
      <c r="R32" s="774" t="s">
        <v>17</v>
      </c>
      <c r="S32" s="775">
        <f t="shared" si="10"/>
        <v>100</v>
      </c>
      <c r="T32" s="774" t="s">
        <v>17</v>
      </c>
      <c r="U32" s="775">
        <f t="shared" si="11"/>
        <v>100</v>
      </c>
      <c r="V32" s="774" t="s">
        <v>17</v>
      </c>
      <c r="W32" s="775">
        <f t="shared" si="12"/>
        <v>100</v>
      </c>
      <c r="X32" s="1810"/>
      <c r="Y32" s="3163"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3"/>
      <c r="Q33" s="1807">
        <f t="shared" si="8"/>
        <v>111</v>
      </c>
      <c r="R33" s="777" t="s">
        <v>17</v>
      </c>
      <c r="S33" s="778">
        <f t="shared" si="10"/>
        <v>100</v>
      </c>
      <c r="T33" s="777" t="s">
        <v>17</v>
      </c>
      <c r="U33" s="778">
        <f t="shared" si="11"/>
        <v>100</v>
      </c>
      <c r="V33" s="777" t="s">
        <v>17</v>
      </c>
      <c r="W33" s="778">
        <f t="shared" si="12"/>
        <v>100</v>
      </c>
      <c r="X33" s="779"/>
      <c r="Y33" s="3163"/>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3"/>
      <c r="Q34" s="1807" t="str">
        <f>B34</f>
        <v>宗地面积</v>
      </c>
      <c r="R34" s="774" t="s">
        <v>17</v>
      </c>
      <c r="S34" s="775" t="e">
        <f t="shared" si="10"/>
        <v>#N/A</v>
      </c>
      <c r="T34" s="774" t="s">
        <v>17</v>
      </c>
      <c r="U34" s="775" t="e">
        <f t="shared" si="11"/>
        <v>#N/A</v>
      </c>
      <c r="V34" s="774" t="s">
        <v>17</v>
      </c>
      <c r="W34" s="775" t="e">
        <f t="shared" si="12"/>
        <v>#N/A</v>
      </c>
      <c r="X34" s="1810"/>
      <c r="Y34" s="3163"/>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3"/>
      <c r="Q35" s="1807" t="str">
        <f t="shared" ref="Q35:Q40" si="14">B35</f>
        <v>宗地形状</v>
      </c>
      <c r="R35" s="774" t="s">
        <v>17</v>
      </c>
      <c r="S35" s="775">
        <f t="shared" si="10"/>
        <v>100</v>
      </c>
      <c r="T35" s="774" t="s">
        <v>17</v>
      </c>
      <c r="U35" s="775">
        <f t="shared" si="11"/>
        <v>100</v>
      </c>
      <c r="V35" s="774" t="s">
        <v>17</v>
      </c>
      <c r="W35" s="775">
        <f t="shared" si="12"/>
        <v>100</v>
      </c>
      <c r="X35" s="1810"/>
      <c r="Y35" s="3163"/>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3"/>
      <c r="Q36" s="1807"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3" t="s">
        <v>2568</v>
      </c>
      <c r="Q37" s="1807" t="str">
        <f t="shared" si="14"/>
        <v>工程地质条件</v>
      </c>
      <c r="R37" s="774" t="s">
        <v>17</v>
      </c>
      <c r="S37" s="775">
        <f t="shared" si="10"/>
        <v>100</v>
      </c>
      <c r="T37" s="774" t="s">
        <v>17</v>
      </c>
      <c r="U37" s="775">
        <f t="shared" si="11"/>
        <v>100</v>
      </c>
      <c r="V37" s="774" t="s">
        <v>17</v>
      </c>
      <c r="W37" s="775">
        <f t="shared" si="12"/>
        <v>100</v>
      </c>
      <c r="X37" s="1810"/>
      <c r="Y37" s="3163"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3"/>
      <c r="Q38" s="1807">
        <f t="shared" si="14"/>
        <v>111</v>
      </c>
      <c r="R38" s="774" t="s">
        <v>17</v>
      </c>
      <c r="S38" s="775">
        <f t="shared" si="10"/>
        <v>100</v>
      </c>
      <c r="T38" s="774" t="s">
        <v>17</v>
      </c>
      <c r="U38" s="775">
        <f t="shared" si="11"/>
        <v>100</v>
      </c>
      <c r="V38" s="774" t="s">
        <v>17</v>
      </c>
      <c r="W38" s="775">
        <f t="shared" si="12"/>
        <v>100</v>
      </c>
      <c r="X38" s="1810"/>
      <c r="Y38" s="3163"/>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3"/>
      <c r="Q39" s="1807">
        <f t="shared" si="14"/>
        <v>111</v>
      </c>
      <c r="R39" s="774" t="s">
        <v>17</v>
      </c>
      <c r="S39" s="775">
        <f t="shared" si="10"/>
        <v>100</v>
      </c>
      <c r="T39" s="774" t="s">
        <v>17</v>
      </c>
      <c r="U39" s="775">
        <f t="shared" si="11"/>
        <v>100</v>
      </c>
      <c r="V39" s="774" t="s">
        <v>17</v>
      </c>
      <c r="W39" s="775">
        <f t="shared" si="12"/>
        <v>100</v>
      </c>
      <c r="X39" s="1810"/>
      <c r="Y39" s="3163"/>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3"/>
      <c r="Q40" s="1807">
        <f t="shared" si="14"/>
        <v>111</v>
      </c>
      <c r="R40" s="777" t="s">
        <v>17</v>
      </c>
      <c r="S40" s="778">
        <f t="shared" si="10"/>
        <v>100</v>
      </c>
      <c r="T40" s="777" t="s">
        <v>17</v>
      </c>
      <c r="U40" s="778">
        <f t="shared" si="11"/>
        <v>100</v>
      </c>
      <c r="V40" s="777" t="s">
        <v>17</v>
      </c>
      <c r="W40" s="778">
        <f t="shared" si="12"/>
        <v>100</v>
      </c>
      <c r="X40" s="779"/>
      <c r="Y40" s="3163"/>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58" t="str">
        <f>A41</f>
        <v>成交单价</v>
      </c>
      <c r="Q41" s="3158"/>
      <c r="R41" s="3164">
        <f>E41</f>
        <v>0</v>
      </c>
      <c r="S41" s="3164"/>
      <c r="T41" s="3164">
        <f>G41</f>
        <v>0</v>
      </c>
      <c r="U41" s="3164"/>
      <c r="V41" s="3164">
        <f>I41</f>
        <v>0</v>
      </c>
      <c r="W41" s="316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58" t="str">
        <f>A42</f>
        <v>比较价值（元/平方米）</v>
      </c>
      <c r="Q42" s="3158"/>
      <c r="R42" s="3151" t="e">
        <f>ROUND(PRODUCT(R41,AA7:AA40),0)</f>
        <v>#DIV/0!</v>
      </c>
      <c r="S42" s="3151"/>
      <c r="T42" s="3151" t="e">
        <f>ROUND(PRODUCT(T41,AB7:AB40),0)</f>
        <v>#DIV/0!</v>
      </c>
      <c r="U42" s="3151"/>
      <c r="V42" s="3151" t="e">
        <f>ROUND(PRODUCT(V41,AC7:AC40),0)</f>
        <v>#DIV/0!</v>
      </c>
      <c r="W42" s="315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52" t="str">
        <f>A43</f>
        <v>估价对象XX用房的比较价值（楼面单价，元/平方米）</v>
      </c>
      <c r="Q43" s="3153"/>
      <c r="R43" s="3154" t="e">
        <f>ROUND(AVERAGE(R42:V42),0)</f>
        <v>#DIV/0!</v>
      </c>
      <c r="S43" s="3154"/>
      <c r="T43" s="3154"/>
      <c r="U43" s="3154"/>
      <c r="V43" s="3154"/>
      <c r="W43" s="315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55" t="s">
        <v>2767</v>
      </c>
      <c r="H50" s="3156"/>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57"/>
      <c r="H51" s="3158"/>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59"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59"/>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59"/>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59"/>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3"/>
      <c r="B4" s="3254"/>
      <c r="C4" s="3254"/>
      <c r="D4" s="3255"/>
      <c r="E4" s="3255"/>
      <c r="F4" s="3255"/>
      <c r="G4" s="3255"/>
      <c r="H4" s="3255"/>
      <c r="I4" s="3255"/>
      <c r="J4" s="3256"/>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7"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8"/>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0" t="s">
        <v>2842</v>
      </c>
      <c r="X8" s="3251"/>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8"/>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2"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8"/>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8"/>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2"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7"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2"/>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9"/>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52"/>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59"/>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0"/>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7"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8"/>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67"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8"/>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8"/>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9"/>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61" t="s">
        <v>2976</v>
      </c>
      <c r="B90" s="3261"/>
      <c r="C90" s="3261"/>
      <c r="D90" s="3261"/>
      <c r="E90" s="3261"/>
      <c r="F90" s="3261"/>
      <c r="G90" s="3261"/>
      <c r="H90" s="3261"/>
      <c r="I90" s="3261"/>
      <c r="J90" s="3261"/>
      <c r="K90" s="2892"/>
      <c r="L90" s="2892"/>
      <c r="M90" s="2892"/>
      <c r="N90" s="2892"/>
    </row>
    <row r="91" spans="1:37">
      <c r="A91" s="3263" t="s">
        <v>2977</v>
      </c>
      <c r="B91" s="3263" t="s">
        <v>2978</v>
      </c>
      <c r="C91" s="2846" t="s">
        <v>2979</v>
      </c>
      <c r="D91" s="2847"/>
      <c r="E91" s="2847"/>
      <c r="F91" s="2847"/>
      <c r="G91" s="2847"/>
      <c r="H91" s="2847"/>
      <c r="I91" s="2847"/>
      <c r="J91" s="2893"/>
      <c r="K91" s="2894"/>
      <c r="L91" s="2894"/>
      <c r="M91" s="2894"/>
      <c r="N91" s="2894"/>
    </row>
    <row r="92" spans="1:37">
      <c r="A92" s="3263"/>
      <c r="B92" s="3263"/>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64"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5"/>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4"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65"/>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65"/>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65"/>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65"/>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65"/>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65"/>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65"/>
      <c r="B108" s="3121"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6"/>
      <c r="B109" s="3122"/>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62" t="s">
        <v>2984</v>
      </c>
      <c r="B110" s="3262"/>
      <c r="C110" s="3262"/>
      <c r="D110" s="3262"/>
      <c r="E110" s="3262"/>
      <c r="F110" s="3262"/>
      <c r="G110" s="3262"/>
      <c r="H110" s="3262"/>
      <c r="I110" s="3262"/>
      <c r="J110" s="3262"/>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0" t="s">
        <v>183</v>
      </c>
      <c r="B18" s="877" t="s">
        <v>560</v>
      </c>
      <c r="C18" s="878" t="s">
        <v>561</v>
      </c>
      <c r="D18" s="879"/>
      <c r="E18" s="877">
        <v>1</v>
      </c>
      <c r="F18" s="880" t="s">
        <v>562</v>
      </c>
      <c r="G18" s="881"/>
      <c r="H18" s="873"/>
      <c r="I18" s="873"/>
    </row>
    <row r="19" spans="1:9" s="882" customFormat="1" ht="19.5" customHeight="1">
      <c r="A19" s="3270"/>
      <c r="B19" s="3270" t="s">
        <v>563</v>
      </c>
      <c r="C19" s="878" t="s">
        <v>564</v>
      </c>
      <c r="D19" s="879"/>
      <c r="E19" s="877">
        <v>0.9</v>
      </c>
      <c r="F19" s="880" t="s">
        <v>565</v>
      </c>
      <c r="G19" s="881"/>
      <c r="H19" s="873"/>
      <c r="I19" s="873"/>
    </row>
    <row r="20" spans="1:9" s="882" customFormat="1" ht="19.5" customHeight="1">
      <c r="A20" s="3270"/>
      <c r="B20" s="3270"/>
      <c r="C20" s="878" t="s">
        <v>566</v>
      </c>
      <c r="D20" s="879"/>
      <c r="E20" s="877">
        <v>1.1000000000000001</v>
      </c>
      <c r="F20" s="880" t="s">
        <v>567</v>
      </c>
      <c r="G20" s="881"/>
      <c r="H20" s="873"/>
      <c r="I20" s="873"/>
    </row>
    <row r="21" spans="1:9" s="882" customFormat="1" ht="19.5" customHeight="1">
      <c r="A21" s="3270"/>
      <c r="B21" s="3270"/>
      <c r="C21" s="878" t="s">
        <v>568</v>
      </c>
      <c r="D21" s="879"/>
      <c r="E21" s="877">
        <v>0.8</v>
      </c>
      <c r="F21" s="880" t="s">
        <v>569</v>
      </c>
      <c r="G21" s="881"/>
      <c r="H21" s="873"/>
      <c r="I21" s="873"/>
    </row>
    <row r="22" spans="1:9" s="882" customFormat="1" ht="19.5" customHeight="1">
      <c r="A22" s="3270"/>
      <c r="B22" s="3270"/>
      <c r="C22" s="878" t="s">
        <v>570</v>
      </c>
      <c r="D22" s="879"/>
      <c r="E22" s="877">
        <v>0.5</v>
      </c>
      <c r="F22" s="880"/>
      <c r="G22" s="881"/>
      <c r="H22" s="873"/>
      <c r="I22" s="873"/>
    </row>
    <row r="23" spans="1:9" s="882" customFormat="1" ht="19.5" customHeight="1">
      <c r="A23" s="3270" t="s">
        <v>184</v>
      </c>
      <c r="B23" s="877" t="s">
        <v>560</v>
      </c>
      <c r="C23" s="878" t="s">
        <v>571</v>
      </c>
      <c r="D23" s="879"/>
      <c r="E23" s="877">
        <v>1</v>
      </c>
      <c r="F23" s="880" t="s">
        <v>572</v>
      </c>
      <c r="G23" s="881"/>
      <c r="H23" s="873"/>
      <c r="I23" s="873"/>
    </row>
    <row r="24" spans="1:9" s="882" customFormat="1" ht="19.5" customHeight="1">
      <c r="A24" s="3270"/>
      <c r="B24" s="3270" t="s">
        <v>563</v>
      </c>
      <c r="C24" s="878" t="s">
        <v>573</v>
      </c>
      <c r="D24" s="879"/>
      <c r="E24" s="877">
        <v>0.5</v>
      </c>
      <c r="F24" s="880"/>
      <c r="G24" s="881"/>
      <c r="H24" s="873"/>
      <c r="I24" s="873"/>
    </row>
    <row r="25" spans="1:9" s="882" customFormat="1" ht="19.5" customHeight="1">
      <c r="A25" s="3270"/>
      <c r="B25" s="3270"/>
      <c r="C25" s="878" t="s">
        <v>574</v>
      </c>
      <c r="D25" s="879"/>
      <c r="E25" s="877">
        <v>1.1000000000000001</v>
      </c>
      <c r="F25" s="880"/>
      <c r="G25" s="881"/>
      <c r="H25" s="873"/>
      <c r="I25" s="873"/>
    </row>
    <row r="26" spans="1:9" s="882" customFormat="1" ht="19.5" customHeight="1">
      <c r="A26" s="3270"/>
      <c r="B26" s="3270"/>
      <c r="C26" s="878" t="s">
        <v>575</v>
      </c>
      <c r="D26" s="879"/>
      <c r="E26" s="877">
        <v>1.1000000000000001</v>
      </c>
      <c r="F26" s="880"/>
      <c r="G26" s="881"/>
      <c r="H26" s="873"/>
      <c r="I26" s="873"/>
    </row>
    <row r="27" spans="1:9" s="882" customFormat="1" ht="19.5" customHeight="1">
      <c r="A27" s="3270"/>
      <c r="B27" s="3270"/>
      <c r="C27" s="878" t="s">
        <v>576</v>
      </c>
      <c r="D27" s="879"/>
      <c r="E27" s="877">
        <v>0.9</v>
      </c>
      <c r="F27" s="880" t="s">
        <v>577</v>
      </c>
      <c r="G27" s="881"/>
      <c r="H27" s="873"/>
      <c r="I27" s="873"/>
    </row>
    <row r="28" spans="1:9" s="882" customFormat="1" ht="19.5" customHeight="1">
      <c r="A28" s="3270"/>
      <c r="B28" s="3270"/>
      <c r="C28" s="878" t="s">
        <v>578</v>
      </c>
      <c r="D28" s="879"/>
      <c r="E28" s="877">
        <v>0.9</v>
      </c>
      <c r="F28" s="880" t="s">
        <v>579</v>
      </c>
      <c r="G28" s="881"/>
      <c r="H28" s="873"/>
      <c r="I28" s="873"/>
    </row>
    <row r="29" spans="1:9" s="882" customFormat="1" ht="19.5" customHeight="1">
      <c r="A29" s="3270"/>
      <c r="B29" s="3270"/>
      <c r="C29" s="878" t="s">
        <v>580</v>
      </c>
      <c r="D29" s="879"/>
      <c r="E29" s="877">
        <v>0.9</v>
      </c>
      <c r="F29" s="880" t="s">
        <v>581</v>
      </c>
      <c r="G29" s="881"/>
      <c r="H29" s="873"/>
      <c r="I29" s="873"/>
    </row>
    <row r="30" spans="1:9" s="882" customFormat="1" ht="19.5" customHeight="1">
      <c r="A30" s="3270"/>
      <c r="B30" s="3270"/>
      <c r="C30" s="878" t="s">
        <v>582</v>
      </c>
      <c r="D30" s="879"/>
      <c r="E30" s="877">
        <v>0.9</v>
      </c>
      <c r="F30" s="880" t="s">
        <v>583</v>
      </c>
      <c r="G30" s="881"/>
      <c r="H30" s="873"/>
      <c r="I30" s="873"/>
    </row>
    <row r="31" spans="1:9" s="882" customFormat="1" ht="19.5" customHeight="1">
      <c r="A31" s="3270"/>
      <c r="B31" s="3270"/>
      <c r="C31" s="878" t="s">
        <v>584</v>
      </c>
      <c r="D31" s="879"/>
      <c r="E31" s="877">
        <v>0.8</v>
      </c>
      <c r="F31" s="880" t="s">
        <v>585</v>
      </c>
      <c r="G31" s="881"/>
      <c r="H31" s="873"/>
      <c r="I31" s="873"/>
    </row>
    <row r="32" spans="1:9" s="882" customFormat="1" ht="19.5" customHeight="1">
      <c r="A32" s="3270"/>
      <c r="B32" s="3270"/>
      <c r="C32" s="878" t="s">
        <v>586</v>
      </c>
      <c r="D32" s="879"/>
      <c r="E32" s="877">
        <v>0.8</v>
      </c>
      <c r="F32" s="880" t="s">
        <v>587</v>
      </c>
      <c r="G32" s="881"/>
      <c r="H32" s="873"/>
      <c r="I32" s="873"/>
    </row>
    <row r="33" spans="1:9" s="882" customFormat="1" ht="19.5" customHeight="1">
      <c r="A33" s="3270" t="s">
        <v>185</v>
      </c>
      <c r="B33" s="877" t="s">
        <v>560</v>
      </c>
      <c r="C33" s="878" t="s">
        <v>588</v>
      </c>
      <c r="D33" s="879"/>
      <c r="E33" s="877">
        <v>1</v>
      </c>
      <c r="F33" s="880" t="s">
        <v>589</v>
      </c>
      <c r="G33" s="881"/>
      <c r="H33" s="873"/>
      <c r="I33" s="873"/>
    </row>
    <row r="34" spans="1:9" s="882" customFormat="1" ht="19.5" customHeight="1">
      <c r="A34" s="3270"/>
      <c r="B34" s="877" t="s">
        <v>563</v>
      </c>
      <c r="C34" s="878" t="s">
        <v>590</v>
      </c>
      <c r="D34" s="879"/>
      <c r="E34" s="877">
        <v>1.5</v>
      </c>
      <c r="F34" s="880" t="s">
        <v>591</v>
      </c>
      <c r="G34" s="881"/>
      <c r="H34" s="873"/>
      <c r="I34" s="873"/>
    </row>
    <row r="35" spans="1:9" s="882" customFormat="1" ht="19.5" customHeight="1">
      <c r="A35" s="3270" t="s">
        <v>186</v>
      </c>
      <c r="B35" s="877" t="s">
        <v>560</v>
      </c>
      <c r="C35" s="878" t="s">
        <v>592</v>
      </c>
      <c r="D35" s="879"/>
      <c r="E35" s="877">
        <v>1</v>
      </c>
      <c r="F35" s="880" t="s">
        <v>593</v>
      </c>
      <c r="G35" s="881"/>
      <c r="H35" s="873"/>
      <c r="I35" s="873"/>
    </row>
    <row r="36" spans="1:9" s="882" customFormat="1" ht="19.5" customHeight="1">
      <c r="A36" s="3270"/>
      <c r="B36" s="3270" t="s">
        <v>563</v>
      </c>
      <c r="C36" s="878" t="s">
        <v>594</v>
      </c>
      <c r="D36" s="879"/>
      <c r="E36" s="877">
        <v>1</v>
      </c>
      <c r="F36" s="880" t="s">
        <v>595</v>
      </c>
      <c r="G36" s="881"/>
      <c r="H36" s="873"/>
      <c r="I36" s="873"/>
    </row>
    <row r="37" spans="1:9" s="882" customFormat="1" ht="19.5" customHeight="1">
      <c r="A37" s="3270"/>
      <c r="B37" s="3270"/>
      <c r="C37" s="878" t="s">
        <v>596</v>
      </c>
      <c r="D37" s="879"/>
      <c r="E37" s="877">
        <v>1.5</v>
      </c>
      <c r="F37" s="880" t="s">
        <v>597</v>
      </c>
      <c r="G37" s="881"/>
      <c r="H37" s="873"/>
      <c r="I37" s="873"/>
    </row>
    <row r="38" spans="1:9" s="882" customFormat="1" ht="19.5" customHeight="1">
      <c r="A38" s="3270"/>
      <c r="B38" s="3270"/>
      <c r="C38" s="878" t="s">
        <v>598</v>
      </c>
      <c r="D38" s="879"/>
      <c r="E38" s="877">
        <v>1</v>
      </c>
      <c r="F38" s="880" t="s">
        <v>599</v>
      </c>
      <c r="G38" s="881"/>
      <c r="H38" s="873"/>
      <c r="I38" s="873"/>
    </row>
    <row r="39" spans="1:9" s="882" customFormat="1" ht="19.5" customHeight="1">
      <c r="A39" s="3270"/>
      <c r="B39" s="327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0" t="s">
        <v>614</v>
      </c>
      <c r="C61" s="813" t="s">
        <v>615</v>
      </c>
      <c r="D61" s="813" t="s">
        <v>616</v>
      </c>
      <c r="E61" s="890">
        <v>0.5</v>
      </c>
      <c r="F61" s="877">
        <v>80</v>
      </c>
    </row>
    <row r="62" spans="1:8" s="873" customFormat="1" ht="24">
      <c r="A62" s="877">
        <v>2</v>
      </c>
      <c r="B62" s="3270"/>
      <c r="C62" s="813" t="s">
        <v>617</v>
      </c>
      <c r="D62" s="813" t="s">
        <v>618</v>
      </c>
      <c r="E62" s="890">
        <v>0.5</v>
      </c>
      <c r="F62" s="877">
        <v>80</v>
      </c>
    </row>
    <row r="63" spans="1:8" s="873" customFormat="1" ht="36">
      <c r="A63" s="877">
        <v>3</v>
      </c>
      <c r="B63" s="3270"/>
      <c r="C63" s="813" t="s">
        <v>619</v>
      </c>
      <c r="D63" s="813" t="s">
        <v>620</v>
      </c>
      <c r="E63" s="890">
        <v>0.5</v>
      </c>
      <c r="F63" s="877">
        <v>80</v>
      </c>
    </row>
    <row r="64" spans="1:8" s="873" customFormat="1" ht="36">
      <c r="A64" s="877">
        <v>4</v>
      </c>
      <c r="B64" s="3270"/>
      <c r="C64" s="813" t="s">
        <v>621</v>
      </c>
      <c r="D64" s="813" t="s">
        <v>622</v>
      </c>
      <c r="E64" s="890">
        <v>0.4</v>
      </c>
      <c r="F64" s="877">
        <v>60</v>
      </c>
    </row>
    <row r="65" spans="1:6" s="873" customFormat="1" ht="36">
      <c r="A65" s="877">
        <v>5</v>
      </c>
      <c r="B65" s="3270"/>
      <c r="C65" s="813" t="s">
        <v>623</v>
      </c>
      <c r="D65" s="813" t="s">
        <v>624</v>
      </c>
      <c r="E65" s="890">
        <v>0.2</v>
      </c>
      <c r="F65" s="877">
        <v>30</v>
      </c>
    </row>
    <row r="66" spans="1:6" s="873" customFormat="1" ht="36">
      <c r="A66" s="877">
        <v>6</v>
      </c>
      <c r="B66" s="3270"/>
      <c r="C66" s="813" t="s">
        <v>625</v>
      </c>
      <c r="D66" s="813" t="s">
        <v>626</v>
      </c>
      <c r="E66" s="890">
        <v>0.3</v>
      </c>
      <c r="F66" s="877">
        <v>50</v>
      </c>
    </row>
    <row r="67" spans="1:6" s="873" customFormat="1" ht="36">
      <c r="A67" s="877">
        <v>7</v>
      </c>
      <c r="B67" s="3270"/>
      <c r="C67" s="813" t="s">
        <v>627</v>
      </c>
      <c r="D67" s="813" t="s">
        <v>628</v>
      </c>
      <c r="E67" s="890">
        <v>0.2</v>
      </c>
      <c r="F67" s="877">
        <v>30</v>
      </c>
    </row>
    <row r="68" spans="1:6" s="873" customFormat="1" ht="36">
      <c r="A68" s="877">
        <v>8</v>
      </c>
      <c r="B68" s="3270"/>
      <c r="C68" s="813" t="s">
        <v>629</v>
      </c>
      <c r="D68" s="813" t="s">
        <v>630</v>
      </c>
      <c r="E68" s="890">
        <v>0.2</v>
      </c>
      <c r="F68" s="877">
        <v>30</v>
      </c>
    </row>
    <row r="69" spans="1:6" s="873" customFormat="1" ht="36">
      <c r="A69" s="877">
        <v>9</v>
      </c>
      <c r="B69" s="3270"/>
      <c r="C69" s="813" t="s">
        <v>631</v>
      </c>
      <c r="D69" s="813" t="s">
        <v>632</v>
      </c>
      <c r="E69" s="890">
        <v>0.2</v>
      </c>
      <c r="F69" s="877">
        <v>30</v>
      </c>
    </row>
    <row r="70" spans="1:6" s="873" customFormat="1" ht="48">
      <c r="A70" s="877">
        <v>10</v>
      </c>
      <c r="B70" s="3270"/>
      <c r="C70" s="813" t="s">
        <v>633</v>
      </c>
      <c r="D70" s="813" t="s">
        <v>634</v>
      </c>
      <c r="E70" s="890">
        <v>0.2</v>
      </c>
      <c r="F70" s="877">
        <v>30</v>
      </c>
    </row>
    <row r="71" spans="1:6" s="873" customFormat="1" ht="48">
      <c r="A71" s="877">
        <v>11</v>
      </c>
      <c r="B71" s="3270"/>
      <c r="C71" s="813" t="s">
        <v>635</v>
      </c>
      <c r="D71" s="813" t="s">
        <v>636</v>
      </c>
      <c r="E71" s="890">
        <v>0.2</v>
      </c>
      <c r="F71" s="877">
        <v>30</v>
      </c>
    </row>
    <row r="72" spans="1:6" s="873" customFormat="1" ht="36">
      <c r="A72" s="877">
        <v>12</v>
      </c>
      <c r="B72" s="3270"/>
      <c r="C72" s="813" t="s">
        <v>637</v>
      </c>
      <c r="D72" s="813" t="s">
        <v>638</v>
      </c>
      <c r="E72" s="890">
        <v>0.5</v>
      </c>
      <c r="F72" s="877">
        <v>80</v>
      </c>
    </row>
    <row r="73" spans="1:6" s="873" customFormat="1" ht="24">
      <c r="A73" s="877">
        <v>13</v>
      </c>
      <c r="B73" s="3270"/>
      <c r="C73" s="813" t="s">
        <v>639</v>
      </c>
      <c r="D73" s="813" t="s">
        <v>640</v>
      </c>
      <c r="E73" s="890">
        <v>0.4</v>
      </c>
      <c r="F73" s="877">
        <v>60</v>
      </c>
    </row>
    <row r="74" spans="1:6" s="873" customFormat="1" ht="24">
      <c r="A74" s="877">
        <v>14</v>
      </c>
      <c r="B74" s="3270"/>
      <c r="C74" s="813" t="s">
        <v>641</v>
      </c>
      <c r="D74" s="813" t="s">
        <v>642</v>
      </c>
      <c r="E74" s="890">
        <v>0.2</v>
      </c>
      <c r="F74" s="877">
        <v>30</v>
      </c>
    </row>
    <row r="75" spans="1:6" s="873" customFormat="1" ht="24">
      <c r="A75" s="877">
        <v>15</v>
      </c>
      <c r="B75" s="3270"/>
      <c r="C75" s="813" t="s">
        <v>643</v>
      </c>
      <c r="D75" s="813" t="s">
        <v>644</v>
      </c>
      <c r="E75" s="890">
        <v>0.2</v>
      </c>
      <c r="F75" s="877">
        <v>30</v>
      </c>
    </row>
    <row r="76" spans="1:6" s="873" customFormat="1" ht="24">
      <c r="A76" s="877">
        <v>16</v>
      </c>
      <c r="B76" s="3270" t="s">
        <v>645</v>
      </c>
      <c r="C76" s="813" t="s">
        <v>646</v>
      </c>
      <c r="D76" s="813" t="s">
        <v>647</v>
      </c>
      <c r="E76" s="890">
        <v>0.5</v>
      </c>
      <c r="F76" s="877">
        <v>80</v>
      </c>
    </row>
    <row r="77" spans="1:6" s="873" customFormat="1" ht="24">
      <c r="A77" s="877">
        <v>17</v>
      </c>
      <c r="B77" s="3270"/>
      <c r="C77" s="813" t="s">
        <v>648</v>
      </c>
      <c r="D77" s="813" t="s">
        <v>649</v>
      </c>
      <c r="E77" s="890">
        <v>0.5</v>
      </c>
      <c r="F77" s="877">
        <v>80</v>
      </c>
    </row>
    <row r="78" spans="1:6" s="873" customFormat="1" ht="24">
      <c r="A78" s="877">
        <v>18</v>
      </c>
      <c r="B78" s="3270"/>
      <c r="C78" s="813" t="s">
        <v>650</v>
      </c>
      <c r="D78" s="813" t="s">
        <v>651</v>
      </c>
      <c r="E78" s="890">
        <v>0.2</v>
      </c>
      <c r="F78" s="877">
        <v>30</v>
      </c>
    </row>
    <row r="79" spans="1:6" s="873" customFormat="1" ht="24">
      <c r="A79" s="877">
        <v>19</v>
      </c>
      <c r="B79" s="3270"/>
      <c r="C79" s="813" t="s">
        <v>652</v>
      </c>
      <c r="D79" s="813" t="s">
        <v>653</v>
      </c>
      <c r="E79" s="890">
        <v>0.5</v>
      </c>
      <c r="F79" s="877">
        <v>80</v>
      </c>
    </row>
    <row r="80" spans="1:6" s="873" customFormat="1" ht="36">
      <c r="A80" s="877">
        <v>20</v>
      </c>
      <c r="B80" s="3270"/>
      <c r="C80" s="813" t="s">
        <v>654</v>
      </c>
      <c r="D80" s="813" t="s">
        <v>655</v>
      </c>
      <c r="E80" s="890">
        <v>0.2</v>
      </c>
      <c r="F80" s="877">
        <v>30</v>
      </c>
    </row>
    <row r="81" spans="1:6" s="873" customFormat="1" ht="36">
      <c r="A81" s="877">
        <v>21</v>
      </c>
      <c r="B81" s="3270"/>
      <c r="C81" s="813" t="s">
        <v>656</v>
      </c>
      <c r="D81" s="813" t="s">
        <v>657</v>
      </c>
      <c r="E81" s="890">
        <v>0.2</v>
      </c>
      <c r="F81" s="877">
        <v>30</v>
      </c>
    </row>
    <row r="82" spans="1:6" s="873" customFormat="1" ht="48">
      <c r="A82" s="877">
        <v>22</v>
      </c>
      <c r="B82" s="3270"/>
      <c r="C82" s="813" t="s">
        <v>658</v>
      </c>
      <c r="D82" s="813" t="s">
        <v>659</v>
      </c>
      <c r="E82" s="890">
        <v>0.2</v>
      </c>
      <c r="F82" s="877">
        <v>30</v>
      </c>
    </row>
    <row r="83" spans="1:6" s="873" customFormat="1" ht="48">
      <c r="A83" s="877">
        <v>23</v>
      </c>
      <c r="B83" s="3270"/>
      <c r="C83" s="813" t="s">
        <v>660</v>
      </c>
      <c r="D83" s="813" t="s">
        <v>661</v>
      </c>
      <c r="E83" s="890">
        <v>0.2</v>
      </c>
      <c r="F83" s="877">
        <v>30</v>
      </c>
    </row>
    <row r="84" spans="1:6" s="873" customFormat="1" ht="36">
      <c r="A84" s="877">
        <v>24</v>
      </c>
      <c r="B84" s="3270"/>
      <c r="C84" s="813" t="s">
        <v>662</v>
      </c>
      <c r="D84" s="813" t="s">
        <v>663</v>
      </c>
      <c r="E84" s="890">
        <v>0.2</v>
      </c>
      <c r="F84" s="877">
        <v>30</v>
      </c>
    </row>
    <row r="85" spans="1:6" s="873" customFormat="1" ht="36">
      <c r="A85" s="877">
        <v>25</v>
      </c>
      <c r="B85" s="3270"/>
      <c r="C85" s="813" t="s">
        <v>664</v>
      </c>
      <c r="D85" s="813" t="s">
        <v>665</v>
      </c>
      <c r="E85" s="890">
        <v>0.5</v>
      </c>
      <c r="F85" s="877">
        <v>80</v>
      </c>
    </row>
    <row r="86" spans="1:6" s="873" customFormat="1" ht="36">
      <c r="A86" s="877">
        <v>26</v>
      </c>
      <c r="B86" s="3270"/>
      <c r="C86" s="813" t="s">
        <v>666</v>
      </c>
      <c r="D86" s="813" t="s">
        <v>667</v>
      </c>
      <c r="E86" s="890">
        <v>0.2</v>
      </c>
      <c r="F86" s="877">
        <v>30</v>
      </c>
    </row>
    <row r="87" spans="1:6" s="873" customFormat="1" ht="36">
      <c r="A87" s="877">
        <v>27</v>
      </c>
      <c r="B87" s="3270"/>
      <c r="C87" s="813" t="s">
        <v>668</v>
      </c>
      <c r="D87" s="813" t="s">
        <v>669</v>
      </c>
      <c r="E87" s="890">
        <v>0.2</v>
      </c>
      <c r="F87" s="877">
        <v>30</v>
      </c>
    </row>
    <row r="88" spans="1:6" s="873" customFormat="1" ht="36">
      <c r="A88" s="877">
        <v>28</v>
      </c>
      <c r="B88" s="3270"/>
      <c r="C88" s="813" t="s">
        <v>670</v>
      </c>
      <c r="D88" s="813" t="s">
        <v>671</v>
      </c>
      <c r="E88" s="890">
        <v>0.2</v>
      </c>
      <c r="F88" s="877">
        <v>30</v>
      </c>
    </row>
    <row r="89" spans="1:6" s="873" customFormat="1" ht="24">
      <c r="A89" s="877">
        <v>29</v>
      </c>
      <c r="B89" s="3270"/>
      <c r="C89" s="813" t="s">
        <v>672</v>
      </c>
      <c r="D89" s="813" t="s">
        <v>673</v>
      </c>
      <c r="E89" s="890">
        <v>0.2</v>
      </c>
      <c r="F89" s="877">
        <v>30</v>
      </c>
    </row>
    <row r="90" spans="1:6" s="873" customFormat="1" ht="24">
      <c r="A90" s="877">
        <v>30</v>
      </c>
      <c r="B90" s="3270"/>
      <c r="C90" s="813" t="s">
        <v>674</v>
      </c>
      <c r="D90" s="813" t="s">
        <v>675</v>
      </c>
      <c r="E90" s="890">
        <v>0.2</v>
      </c>
      <c r="F90" s="877">
        <v>30</v>
      </c>
    </row>
    <row r="91" spans="1:6" s="873" customFormat="1" ht="36">
      <c r="A91" s="877">
        <v>31</v>
      </c>
      <c r="B91" s="3270"/>
      <c r="C91" s="813" t="s">
        <v>676</v>
      </c>
      <c r="D91" s="813" t="s">
        <v>677</v>
      </c>
      <c r="E91" s="890">
        <v>0.2</v>
      </c>
      <c r="F91" s="877">
        <v>30</v>
      </c>
    </row>
    <row r="92" spans="1:6" s="873" customFormat="1" ht="24">
      <c r="A92" s="877">
        <v>32</v>
      </c>
      <c r="B92" s="3270" t="s">
        <v>678</v>
      </c>
      <c r="C92" s="877" t="s">
        <v>679</v>
      </c>
      <c r="D92" s="813" t="s">
        <v>680</v>
      </c>
      <c r="E92" s="890">
        <v>0.2</v>
      </c>
      <c r="F92" s="877">
        <v>30</v>
      </c>
    </row>
    <row r="93" spans="1:6" s="873" customFormat="1" ht="36">
      <c r="A93" s="877">
        <v>33</v>
      </c>
      <c r="B93" s="3270"/>
      <c r="C93" s="877" t="s">
        <v>681</v>
      </c>
      <c r="D93" s="813" t="s">
        <v>682</v>
      </c>
      <c r="E93" s="890">
        <v>0.2</v>
      </c>
      <c r="F93" s="877">
        <v>30</v>
      </c>
    </row>
    <row r="94" spans="1:6" s="873" customFormat="1" ht="48">
      <c r="A94" s="877">
        <v>34</v>
      </c>
      <c r="B94" s="3270"/>
      <c r="C94" s="877" t="s">
        <v>683</v>
      </c>
      <c r="D94" s="813" t="s">
        <v>684</v>
      </c>
      <c r="E94" s="890">
        <v>0.2</v>
      </c>
      <c r="F94" s="877">
        <v>30</v>
      </c>
    </row>
    <row r="95" spans="1:6" s="873" customFormat="1" ht="36">
      <c r="A95" s="877">
        <v>35</v>
      </c>
      <c r="B95" s="3270"/>
      <c r="C95" s="877" t="s">
        <v>685</v>
      </c>
      <c r="D95" s="813" t="s">
        <v>686</v>
      </c>
      <c r="E95" s="890">
        <v>0.2</v>
      </c>
      <c r="F95" s="877">
        <v>30</v>
      </c>
    </row>
    <row r="96" spans="1:6" s="873" customFormat="1" ht="48">
      <c r="A96" s="877">
        <v>36</v>
      </c>
      <c r="B96" s="3270"/>
      <c r="C96" s="813" t="s">
        <v>687</v>
      </c>
      <c r="D96" s="813" t="s">
        <v>688</v>
      </c>
      <c r="E96" s="890">
        <v>0.2</v>
      </c>
      <c r="F96" s="877">
        <v>30</v>
      </c>
    </row>
    <row r="97" spans="1:6" s="873" customFormat="1" ht="36">
      <c r="A97" s="877">
        <v>37</v>
      </c>
      <c r="B97" s="3270"/>
      <c r="C97" s="877" t="s">
        <v>689</v>
      </c>
      <c r="D97" s="813" t="s">
        <v>690</v>
      </c>
      <c r="E97" s="890">
        <v>0.2</v>
      </c>
      <c r="F97" s="877">
        <v>30</v>
      </c>
    </row>
    <row r="98" spans="1:6" s="873" customFormat="1" ht="36">
      <c r="A98" s="877">
        <v>38</v>
      </c>
      <c r="B98" s="3270"/>
      <c r="C98" s="877" t="s">
        <v>691</v>
      </c>
      <c r="D98" s="813" t="s">
        <v>692</v>
      </c>
      <c r="E98" s="890">
        <v>0.2</v>
      </c>
      <c r="F98" s="877">
        <v>30</v>
      </c>
    </row>
    <row r="99" spans="1:6" s="873" customFormat="1" ht="36">
      <c r="A99" s="877">
        <v>39</v>
      </c>
      <c r="B99" s="3270" t="s">
        <v>693</v>
      </c>
      <c r="C99" s="877" t="s">
        <v>694</v>
      </c>
      <c r="D99" s="813" t="s">
        <v>695</v>
      </c>
      <c r="E99" s="890">
        <v>0.3</v>
      </c>
      <c r="F99" s="877">
        <v>50</v>
      </c>
    </row>
    <row r="100" spans="1:6" s="873" customFormat="1" ht="24">
      <c r="A100" s="877">
        <v>40</v>
      </c>
      <c r="B100" s="3270"/>
      <c r="C100" s="877" t="s">
        <v>696</v>
      </c>
      <c r="D100" s="813" t="s">
        <v>697</v>
      </c>
      <c r="E100" s="890">
        <v>0.2</v>
      </c>
      <c r="F100" s="877">
        <v>30</v>
      </c>
    </row>
    <row r="101" spans="1:6" s="873" customFormat="1" ht="36">
      <c r="A101" s="877">
        <v>41</v>
      </c>
      <c r="B101" s="327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0" t="s">
        <v>708</v>
      </c>
      <c r="C105" s="877" t="s">
        <v>709</v>
      </c>
      <c r="D105" s="813" t="s">
        <v>710</v>
      </c>
      <c r="E105" s="890">
        <v>0.2</v>
      </c>
      <c r="F105" s="877">
        <v>30</v>
      </c>
    </row>
    <row r="106" spans="1:6" s="873" customFormat="1" ht="36">
      <c r="A106" s="877">
        <v>46</v>
      </c>
      <c r="B106" s="3270"/>
      <c r="C106" s="877" t="s">
        <v>711</v>
      </c>
      <c r="D106" s="813" t="s">
        <v>712</v>
      </c>
      <c r="E106" s="890">
        <v>0.2</v>
      </c>
      <c r="F106" s="877">
        <v>30</v>
      </c>
    </row>
    <row r="107" spans="1:6" s="873" customFormat="1" ht="36">
      <c r="A107" s="877">
        <v>47</v>
      </c>
      <c r="B107" s="3270" t="s">
        <v>713</v>
      </c>
      <c r="C107" s="877" t="s">
        <v>714</v>
      </c>
      <c r="D107" s="813" t="s">
        <v>715</v>
      </c>
      <c r="E107" s="890">
        <v>0.3</v>
      </c>
      <c r="F107" s="877">
        <v>50</v>
      </c>
    </row>
    <row r="108" spans="1:6" s="873" customFormat="1" ht="36">
      <c r="A108" s="877">
        <v>48</v>
      </c>
      <c r="B108" s="327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0" t="s">
        <v>724</v>
      </c>
      <c r="C111" s="877" t="s">
        <v>725</v>
      </c>
      <c r="D111" s="813" t="s">
        <v>726</v>
      </c>
      <c r="E111" s="890">
        <v>0.2</v>
      </c>
      <c r="F111" s="877">
        <v>30</v>
      </c>
    </row>
    <row r="112" spans="1:6" s="873" customFormat="1" ht="24">
      <c r="A112" s="877">
        <v>52</v>
      </c>
      <c r="B112" s="3270"/>
      <c r="C112" s="877" t="s">
        <v>727</v>
      </c>
      <c r="D112" s="813" t="s">
        <v>728</v>
      </c>
      <c r="E112" s="890">
        <v>0.2</v>
      </c>
      <c r="F112" s="877">
        <v>30</v>
      </c>
    </row>
    <row r="113" spans="1:6" s="873" customFormat="1" ht="24">
      <c r="A113" s="877">
        <v>53</v>
      </c>
      <c r="B113" s="327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0" t="s">
        <v>737</v>
      </c>
      <c r="C116" s="877" t="s">
        <v>738</v>
      </c>
      <c r="D116" s="813" t="s">
        <v>739</v>
      </c>
      <c r="E116" s="890">
        <v>0.2</v>
      </c>
      <c r="F116" s="877">
        <v>30</v>
      </c>
    </row>
    <row r="117" spans="1:6" ht="36">
      <c r="A117" s="877">
        <v>57</v>
      </c>
      <c r="B117" s="327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1630</v>
      </c>
      <c r="C4" s="2966"/>
      <c r="D4" s="2966"/>
      <c r="E4" s="1958"/>
    </row>
    <row r="5" spans="1:5" ht="16.5" thickTop="1">
      <c r="A5" s="1956"/>
      <c r="B5" s="2964" t="s">
        <v>1622</v>
      </c>
      <c r="C5" s="1959" t="s">
        <v>1623</v>
      </c>
      <c r="D5" s="1038">
        <f ca="1">结果表!H101</f>
        <v>50834</v>
      </c>
      <c r="E5" s="1956"/>
    </row>
    <row r="6" spans="1:5" ht="15.75">
      <c r="A6" s="1956"/>
      <c r="B6" s="2964"/>
      <c r="C6" s="1959" t="s">
        <v>1624</v>
      </c>
      <c r="D6" s="1038" t="str">
        <f ca="1">NUMBERSTRING(INT(D5*10000),2)&amp;"元整"</f>
        <v>伍亿零捌佰叁拾肆万元整</v>
      </c>
      <c r="E6" s="1956"/>
    </row>
    <row r="7" spans="1:5" ht="15.75">
      <c r="A7" s="1956"/>
      <c r="B7" s="2969"/>
      <c r="C7" s="1960" t="s">
        <v>1625</v>
      </c>
      <c r="D7" s="1039">
        <f ca="1">结果表!H102</f>
        <v>10154</v>
      </c>
      <c r="E7" s="1956"/>
    </row>
    <row r="8" spans="1:5" ht="15.75">
      <c r="A8" s="1956"/>
      <c r="B8" s="2970" t="str">
        <f>结果表!E103</f>
        <v>2.估价师知悉的法定优先受偿款</v>
      </c>
      <c r="C8" s="1961" t="s">
        <v>1626</v>
      </c>
      <c r="D8" s="1039">
        <f>结果表!H103</f>
        <v>2673</v>
      </c>
      <c r="E8" s="1956"/>
    </row>
    <row r="9" spans="1:5" ht="15.75">
      <c r="A9" s="1956"/>
      <c r="B9" s="2972"/>
      <c r="C9" s="1959" t="s">
        <v>1624</v>
      </c>
      <c r="D9" s="1038" t="str">
        <f>NUMBERSTRING(INT(D8*10000),2)&amp;"元整"</f>
        <v>贰仟陆佰柒拾叁万元整</v>
      </c>
      <c r="E9" s="1956"/>
    </row>
    <row r="10" spans="1:5" ht="15">
      <c r="A10" s="1956"/>
      <c r="B10" s="1962" t="s">
        <v>1629</v>
      </c>
      <c r="C10" s="1963" t="s">
        <v>1627</v>
      </c>
      <c r="D10" s="1040">
        <f>结果表!H104</f>
        <v>40000</v>
      </c>
      <c r="E10" s="1956"/>
    </row>
    <row r="11" spans="1:5" ht="15">
      <c r="A11" s="1956"/>
      <c r="B11" s="1962" t="s">
        <v>1631</v>
      </c>
      <c r="C11" s="1963" t="s">
        <v>1632</v>
      </c>
      <c r="D11" s="1040">
        <f>结果表!H105</f>
        <v>2673</v>
      </c>
      <c r="E11" s="1956"/>
    </row>
    <row r="12" spans="1:5" ht="15">
      <c r="A12" s="1956"/>
      <c r="B12" s="1962" t="s">
        <v>1633</v>
      </c>
      <c r="C12" s="1963" t="s">
        <v>1632</v>
      </c>
      <c r="D12" s="1040">
        <f>结果表!H106</f>
        <v>0</v>
      </c>
      <c r="E12" s="1956"/>
    </row>
    <row r="13" spans="1:5" ht="15.75">
      <c r="A13" s="1956"/>
      <c r="B13" s="2963" t="str">
        <f>结果表!E107</f>
        <v>3.房地产抵押价值</v>
      </c>
      <c r="C13" s="1964" t="s">
        <v>1623</v>
      </c>
      <c r="D13" s="1041">
        <f ca="1">结果表!H107</f>
        <v>48161</v>
      </c>
      <c r="E13" s="1956"/>
    </row>
    <row r="14" spans="1:5" ht="15.75">
      <c r="A14" s="1956"/>
      <c r="B14" s="2964"/>
      <c r="C14" s="1959" t="s">
        <v>1624</v>
      </c>
      <c r="D14" s="1038" t="str">
        <f ca="1">NUMBERSTRING(INT(D13*10000),2)&amp;"元整"</f>
        <v>肆亿捌仟壹佰陆拾壹万元整</v>
      </c>
      <c r="E14" s="1956"/>
    </row>
    <row r="15" spans="1:5" ht="15">
      <c r="A15" s="1956"/>
      <c r="B15" s="2969"/>
      <c r="C15" s="1960" t="s">
        <v>1634</v>
      </c>
      <c r="D15" s="1050">
        <f ca="1">结果表!H108</f>
        <v>9620</v>
      </c>
      <c r="E15" s="1956"/>
    </row>
    <row r="16" spans="1:5" ht="15">
      <c r="A16" s="1956"/>
      <c r="B16" s="2970" t="str">
        <f>结果表!E109</f>
        <v>——</v>
      </c>
      <c r="C16" s="1964" t="s">
        <v>1635</v>
      </c>
      <c r="D16" s="1965" t="str">
        <f>结果表!H109</f>
        <v>——</v>
      </c>
      <c r="E16" s="1956"/>
    </row>
    <row r="17" spans="1:5" ht="15.75">
      <c r="A17" s="1956"/>
      <c r="B17" s="2971"/>
      <c r="C17" s="1959" t="s">
        <v>1636</v>
      </c>
      <c r="D17" s="1038" t="e">
        <f>NUMBERSTRING(INT(D16*10000),2)&amp;"元整"</f>
        <v>#VALUE!</v>
      </c>
      <c r="E17" s="1956"/>
    </row>
    <row r="18" spans="1:5" ht="15">
      <c r="A18" s="1956"/>
      <c r="B18" s="2972"/>
      <c r="C18" s="1960" t="s">
        <v>1625</v>
      </c>
      <c r="D18" s="1050" t="str">
        <f>结果表!H110</f>
        <v>——</v>
      </c>
      <c r="E18" s="1956"/>
    </row>
    <row r="19" spans="1:5" ht="15.75">
      <c r="A19" s="1956"/>
      <c r="B19" s="2963" t="str">
        <f>结果表!E111</f>
        <v>4.抵押净值</v>
      </c>
      <c r="C19" s="1964" t="s">
        <v>1623</v>
      </c>
      <c r="D19" s="1039">
        <f ca="1">结果表!H111</f>
        <v>92473</v>
      </c>
      <c r="E19" s="1956"/>
    </row>
    <row r="20" spans="1:5" ht="15.75">
      <c r="A20" s="1956"/>
      <c r="B20" s="2964"/>
      <c r="C20" s="1959" t="s">
        <v>1636</v>
      </c>
      <c r="D20" s="1038" t="str">
        <f ca="1">NUMBERSTRING(INT(D19*10000),2)&amp;"元整"</f>
        <v>玖亿贰仟肆佰柒拾叁万元整</v>
      </c>
      <c r="E20" s="1956"/>
    </row>
    <row r="21" spans="1:5" ht="15.75" thickBot="1">
      <c r="A21" s="1956"/>
      <c r="B21" s="2965"/>
      <c r="C21" s="1966" t="s">
        <v>1634</v>
      </c>
      <c r="D21" s="1051">
        <f ca="1">结果表!H112</f>
        <v>9824</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1150</v>
      </c>
      <c r="C1" s="3276"/>
      <c r="D1" s="3276"/>
      <c r="E1" s="3276"/>
      <c r="F1" s="3276"/>
      <c r="G1" s="3275" t="s">
        <v>1151</v>
      </c>
      <c r="H1" s="3275"/>
      <c r="I1" s="3275"/>
      <c r="J1" s="3275"/>
      <c r="K1" s="3275"/>
      <c r="L1" s="3275"/>
      <c r="N1" s="3275" t="s">
        <v>1152</v>
      </c>
      <c r="O1" s="3275"/>
      <c r="P1" s="3275"/>
      <c r="Q1" s="3275"/>
      <c r="R1" s="1444"/>
      <c r="S1" s="3275" t="s">
        <v>1153</v>
      </c>
      <c r="T1" s="3275"/>
      <c r="U1" s="3275"/>
      <c r="V1" s="3275"/>
      <c r="X1" s="3274" t="s">
        <v>1154</v>
      </c>
      <c r="Y1" s="3275"/>
      <c r="Z1" s="3275"/>
      <c r="AA1" s="3275"/>
      <c r="AB1" s="3275"/>
      <c r="AD1" s="3274" t="s">
        <v>1155</v>
      </c>
      <c r="AE1" s="3275"/>
      <c r="AF1" s="3275"/>
      <c r="AG1" s="3275"/>
      <c r="AH1" s="327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7">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2"/>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2"/>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3"/>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1">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2"/>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2"/>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3"/>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1">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2"/>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2"/>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3"/>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8">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9"/>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9"/>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0"/>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1">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2"/>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2"/>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3"/>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1">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2">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2">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3">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1">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2">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2">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3">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1">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2">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2">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3">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1">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2">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2">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3">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1">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2">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2">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3">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1">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2">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2">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3">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1">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2">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2">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3">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1">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2">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2">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3">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2">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2">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2">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2">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3">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2" t="s">
        <v>3010</v>
      </c>
      <c r="D1" s="3283"/>
      <c r="E1" s="3283"/>
      <c r="F1" s="3283"/>
      <c r="G1" s="3283"/>
      <c r="H1" s="3283"/>
      <c r="I1" s="3283"/>
      <c r="J1" s="3283"/>
      <c r="K1" s="3283"/>
      <c r="L1" s="3283"/>
      <c r="M1" s="3283"/>
      <c r="N1" s="3283"/>
      <c r="O1" s="3283"/>
      <c r="P1" s="3283"/>
      <c r="Q1" s="3283"/>
      <c r="R1" s="3283"/>
      <c r="S1" s="3284"/>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43" t="s">
        <v>33</v>
      </c>
      <c r="D22" s="3144"/>
      <c r="E22" s="3144"/>
      <c r="F22" s="3144"/>
      <c r="G22" s="3144"/>
      <c r="H22" s="3144"/>
      <c r="I22" s="3144"/>
      <c r="J22" s="3144"/>
      <c r="K22" s="3144"/>
      <c r="L22" s="3144"/>
      <c r="M22" s="3144"/>
      <c r="N22" s="3144"/>
      <c r="O22" s="3144"/>
      <c r="P22" s="3144"/>
      <c r="Q22" s="3281"/>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8" t="s">
        <v>121</v>
      </c>
    </row>
    <row r="43" spans="1:7" ht="13.5" customHeight="1">
      <c r="A43" s="949" t="s">
        <v>792</v>
      </c>
      <c r="B43" s="259" t="s">
        <v>1064</v>
      </c>
      <c r="C43" s="282">
        <f ca="1">ROUND(IF('数据-取费表'!B22&lt;=1,C39*F22*'数据-取费表'!B21/2,C39*(POWER((1+F22),'数据-取费表'!B21/2)-1)),0)</f>
        <v>15</v>
      </c>
      <c r="D43" s="282"/>
      <c r="E43" s="282"/>
      <c r="F43" s="283"/>
      <c r="G43" s="3149"/>
    </row>
    <row r="44" spans="1:7" ht="13.5" customHeight="1">
      <c r="A44" s="949" t="s">
        <v>793</v>
      </c>
      <c r="B44" s="259" t="s">
        <v>1066</v>
      </c>
      <c r="C44" s="282">
        <f ca="1">ROUND(IF('数据-取费表'!B22&lt;=1,C40*F22*'数据-取费表'!B21/2,C40*(POWER((1+F22),'数据-取费表'!B21/2)-1)),4)</f>
        <v>1.4E-3</v>
      </c>
      <c r="D44" s="282"/>
      <c r="E44" s="282"/>
      <c r="F44" s="283"/>
      <c r="G44" s="3150"/>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5" t="s">
        <v>156</v>
      </c>
      <c r="B1" s="3285"/>
      <c r="C1" s="3285"/>
      <c r="D1" s="3285"/>
      <c r="E1" s="3285"/>
      <c r="F1" s="328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6" t="s">
        <v>169</v>
      </c>
      <c r="B2" s="3286"/>
      <c r="C2" s="3286"/>
      <c r="D2" s="3286"/>
      <c r="E2" s="3286"/>
      <c r="F2" s="328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5" t="s">
        <v>871</v>
      </c>
      <c r="B1" s="328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7" t="s">
        <v>1640</v>
      </c>
      <c r="B5" s="2977"/>
      <c r="C5" s="2977"/>
      <c r="D5" s="2978" t="e">
        <f ca="1">结果表!D119</f>
        <v>#REF!</v>
      </c>
      <c r="E5" s="2978"/>
      <c r="F5" s="2978" t="e">
        <f ca="1">结果表!F119</f>
        <v>#REF!</v>
      </c>
      <c r="G5" s="2978"/>
      <c r="H5" s="2978" t="str">
        <f ca="1">结果表!H119</f>
        <v>伍亿零捌佰叁拾肆万元整</v>
      </c>
      <c r="I5" s="2978"/>
    </row>
    <row r="6" spans="1:9" ht="15.75">
      <c r="A6" s="2976" t="str">
        <f>结果表!A120</f>
        <v>估价师知悉的法定优先受偿款</v>
      </c>
      <c r="B6" s="2976"/>
      <c r="C6" s="2976"/>
      <c r="D6" s="2976">
        <f>结果表!D120</f>
        <v>2673</v>
      </c>
      <c r="E6" s="2976"/>
      <c r="F6" s="2976"/>
      <c r="G6" s="2976"/>
      <c r="H6" s="2976"/>
      <c r="I6" s="2976"/>
    </row>
    <row r="7" spans="1:9" ht="15">
      <c r="A7" s="2977" t="s">
        <v>1640</v>
      </c>
      <c r="B7" s="2977"/>
      <c r="C7" s="2977"/>
      <c r="D7" s="2979" t="str">
        <f>结果表!D121</f>
        <v>贰仟陆佰柒拾叁万元整</v>
      </c>
      <c r="E7" s="2980"/>
      <c r="F7" s="2980"/>
      <c r="G7" s="2980"/>
      <c r="H7" s="2980"/>
      <c r="I7" s="2981"/>
    </row>
    <row r="8" spans="1:9" ht="15.75">
      <c r="A8" s="2976" t="str">
        <f>结果表!A122</f>
        <v>房地产抵押价值</v>
      </c>
      <c r="B8" s="2976"/>
      <c r="C8" s="2976"/>
      <c r="D8" s="2976">
        <f ca="1">结果表!D122</f>
        <v>48161</v>
      </c>
      <c r="E8" s="2976"/>
      <c r="F8" s="2976"/>
      <c r="G8" s="2976"/>
      <c r="H8" s="2976"/>
      <c r="I8" s="2976"/>
    </row>
    <row r="9" spans="1:9" ht="15">
      <c r="A9" s="2977" t="s">
        <v>1640</v>
      </c>
      <c r="B9" s="2977"/>
      <c r="C9" s="2977"/>
      <c r="D9" s="2978" t="str">
        <f ca="1">结果表!D123</f>
        <v>肆亿捌仟壹佰陆拾壹万元整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抵押净值</v>
      </c>
      <c r="B12" s="2976"/>
      <c r="C12" s="2976"/>
      <c r="D12" s="2976">
        <f ca="1">结果表!D126</f>
        <v>92473</v>
      </c>
      <c r="E12" s="2976"/>
      <c r="F12" s="2976"/>
      <c r="G12" s="2976"/>
      <c r="H12" s="2976"/>
      <c r="I12" s="2976"/>
    </row>
    <row r="13" spans="1:9" ht="15.75" thickBot="1">
      <c r="A13" s="2973" t="s">
        <v>1640</v>
      </c>
      <c r="B13" s="2973"/>
      <c r="C13" s="2973"/>
      <c r="D13" s="2974" t="str">
        <f ca="1">结果表!D127</f>
        <v>玖亿贰仟肆佰柒拾叁万元整</v>
      </c>
      <c r="E13" s="2974"/>
      <c r="F13" s="2974"/>
      <c r="G13" s="2974"/>
      <c r="H13" s="2974"/>
      <c r="I13" s="2974"/>
    </row>
    <row r="14" spans="1:9" ht="15" thickTop="1">
      <c r="A14" s="2975" t="s">
        <v>1645</v>
      </c>
      <c r="B14" s="2975"/>
      <c r="C14" s="2975"/>
      <c r="D14" s="2975"/>
      <c r="E14" s="2975"/>
      <c r="F14" s="2975"/>
      <c r="G14" s="2975"/>
      <c r="H14" s="2975"/>
      <c r="I14" s="2975"/>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90" t="s">
        <v>1662</v>
      </c>
      <c r="B1" s="2990"/>
      <c r="C1" s="2990"/>
      <c r="D1" s="2990"/>
    </row>
    <row r="2" spans="1:4" ht="18">
      <c r="A2" s="2991" t="s">
        <v>1646</v>
      </c>
      <c r="B2" s="2991"/>
      <c r="C2" s="2991"/>
      <c r="D2" s="2991"/>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91" t="s">
        <v>1652</v>
      </c>
      <c r="B6" s="2991"/>
      <c r="C6" s="2991"/>
      <c r="D6" s="2991"/>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故，本次评估估价师知悉的法定优先受偿款为人民币2673万元整。</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1658</v>
      </c>
      <c r="B22" s="2988"/>
      <c r="C22" s="2988"/>
      <c r="D22" s="2988"/>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8" t="s">
        <v>1669</v>
      </c>
      <c r="B15" s="2993" t="s">
        <v>136</v>
      </c>
      <c r="C15" s="2994"/>
    </row>
    <row r="16" spans="1:7" ht="13.5">
      <c r="A16" s="2999"/>
      <c r="B16" s="2993" t="s">
        <v>69</v>
      </c>
      <c r="C16" s="2994"/>
    </row>
    <row r="17" spans="1:3" ht="13.5">
      <c r="A17" s="2999"/>
      <c r="B17" s="2996" t="s">
        <v>1670</v>
      </c>
      <c r="C17" s="1997" t="s">
        <v>1669</v>
      </c>
    </row>
    <row r="18" spans="1:3" ht="13.5">
      <c r="A18" s="2999"/>
      <c r="B18" s="2996"/>
      <c r="C18" s="1997" t="s">
        <v>1671</v>
      </c>
    </row>
    <row r="19" spans="1:3" ht="13.5">
      <c r="A19" s="2999"/>
      <c r="B19" s="2996"/>
      <c r="C19" s="1997" t="s">
        <v>1672</v>
      </c>
    </row>
    <row r="20" spans="1:3" ht="13.5">
      <c r="A20" s="3000"/>
      <c r="B20" s="2995" t="s">
        <v>1673</v>
      </c>
      <c r="C20" s="2994"/>
    </row>
    <row r="21" spans="1:3" ht="13.5">
      <c r="A21" s="1998" t="s">
        <v>1674</v>
      </c>
      <c r="B21" s="1999"/>
      <c r="C21" s="2000"/>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7" t="s">
        <v>1680</v>
      </c>
    </row>
    <row r="26" spans="1:3" ht="13.5">
      <c r="A26" s="2997"/>
      <c r="B26" s="2996"/>
      <c r="C26" s="1997" t="s">
        <v>1681</v>
      </c>
    </row>
    <row r="27" spans="1:3" ht="13.5">
      <c r="A27" s="2997"/>
      <c r="B27" s="2996"/>
      <c r="C27" s="1997" t="s">
        <v>1682</v>
      </c>
    </row>
    <row r="28" spans="1:3" ht="13.5">
      <c r="A28" s="2997"/>
      <c r="B28" s="2996"/>
      <c r="C28" s="1997" t="s">
        <v>1683</v>
      </c>
    </row>
    <row r="29" spans="1:3" ht="13.5">
      <c r="A29" s="2997"/>
      <c r="B29" s="2996"/>
      <c r="C29" s="1997" t="s">
        <v>1684</v>
      </c>
    </row>
    <row r="30" spans="1:3" ht="13.5">
      <c r="A30" s="2997"/>
      <c r="B30" s="2996"/>
      <c r="C30" s="1997" t="s">
        <v>1685</v>
      </c>
    </row>
    <row r="31" spans="1:3" ht="13.5">
      <c r="A31" s="2997"/>
      <c r="B31" s="2996"/>
      <c r="C31" s="1997" t="s">
        <v>1686</v>
      </c>
    </row>
    <row r="32" spans="1:3" ht="13.5">
      <c r="A32" s="2997"/>
      <c r="B32" s="2996"/>
      <c r="C32" s="1997" t="s">
        <v>1687</v>
      </c>
    </row>
    <row r="33" spans="1:3" ht="13.5">
      <c r="A33" s="2997"/>
      <c r="B33" s="299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43355</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1" t="s">
        <v>846</v>
      </c>
      <c r="B25" s="3001"/>
      <c r="C25" s="3001"/>
      <c r="D25" s="3001"/>
      <c r="E25" s="3001"/>
      <c r="F25" s="3001"/>
      <c r="G25" s="3001"/>
    </row>
    <row r="26" spans="1:7" s="1023" customFormat="1" ht="24" customHeight="1">
      <c r="A26" s="3002" t="s">
        <v>847</v>
      </c>
      <c r="B26" s="3002"/>
      <c r="C26" s="3003"/>
      <c r="D26" s="3004" t="s">
        <v>848</v>
      </c>
      <c r="E26" s="3002"/>
      <c r="F26" s="300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2018-09-12T08:28:40Z</dcterms:modified>
</cp:coreProperties>
</file>