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农大南路和昌平2套房共3套房\厂房2024-1-0867 北京市昌平区何营路8号院21号楼1至5层101\"/>
    </mc:Choice>
  </mc:AlternateContent>
  <bookViews>
    <workbookView xWindow="0" yWindow="0" windowWidth="38388" windowHeight="21000" tabRatio="899" firstSheet="13"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租金"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案例" sheetId="82" r:id="rId35"/>
    <sheet name="比较法-工业售价" sheetId="81" r:id="rId36"/>
    <sheet name="售价案例" sheetId="80" r:id="rId37"/>
    <sheet name="成本法" sheetId="68"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'比较法-工业售价'!$A$1:$L$43</definedName>
    <definedName name="_xlnm._FilterDatabase" localSheetId="27" hidden="1">'比较法-工业租金'!$A$1:$L$43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'比较法-工业售价'!$A$1:$K$48,'比较法-工业售价'!$A$51:$M$113</definedName>
    <definedName name="_xlnm.Print_Area" localSheetId="27">'比较法-工业租金'!$A$1:$K$48,'比较法-工业租金'!$A$51:$M$113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35">'比较法-工业售价'!$B$95:$M$95</definedName>
    <definedName name="工业公共部分装修">'比较法-工业租金'!$B$95:$M$95</definedName>
    <definedName name="工业基础设施水平" localSheetId="35">'比较法-工业售价'!$B$102:$M$102</definedName>
    <definedName name="工业基础设施水平">'比较法-工业租金'!$B$102:$M$102</definedName>
    <definedName name="工业建筑结构" localSheetId="35">'比较法-工业售价'!$B$93:$M$93</definedName>
    <definedName name="工业建筑结构">'比较法-工业租金'!$B$93:$M$93</definedName>
    <definedName name="工业建筑类型" localSheetId="35">'比较法-工业售价'!$B$88:$M$88</definedName>
    <definedName name="工业建筑类型">'比较法-工业租金'!$B$88:$M$88</definedName>
    <definedName name="工业交易情况" localSheetId="35">'比较法-工业售价'!$A$55:$M$55</definedName>
    <definedName name="工业交易情况">'比较法-工业租金'!$A$55:$M$55</definedName>
    <definedName name="工业内部装修" localSheetId="35">'比较法-工业售价'!$B$104:$M$104</definedName>
    <definedName name="工业内部装修">'比较法-工业租金'!$B$104:$M$104</definedName>
    <definedName name="工业物业管理" localSheetId="35">'比较法-工业售价'!$B$100:$M$100</definedName>
    <definedName name="工业物业管理">'比较法-工业租金'!$B$100:$M$100</definedName>
    <definedName name="工业用途" localSheetId="35">'比较法-工业售价'!$B$57:$M$57</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81" l="1"/>
  <c r="G5" i="81"/>
  <c r="E5" i="81"/>
  <c r="C5" i="81"/>
  <c r="I5" i="37"/>
  <c r="G5" i="37"/>
  <c r="E5" i="37"/>
  <c r="I41" i="37" l="1"/>
  <c r="G41" i="37"/>
  <c r="E41" i="37"/>
  <c r="I30" i="37"/>
  <c r="G30" i="37"/>
  <c r="E30" i="37"/>
  <c r="B14" i="74"/>
  <c r="C30" i="37" l="1"/>
  <c r="D14" i="9" l="1"/>
  <c r="I30" i="81"/>
  <c r="J30" i="81" s="1"/>
  <c r="AC30" i="81" s="1"/>
  <c r="G30" i="81"/>
  <c r="H30" i="81" s="1"/>
  <c r="AB30" i="81" s="1"/>
  <c r="E30" i="81"/>
  <c r="F30" i="81" s="1"/>
  <c r="AA30" i="81" s="1"/>
  <c r="C30" i="81"/>
  <c r="B112" i="81"/>
  <c r="B110" i="81"/>
  <c r="B108" i="81"/>
  <c r="E107" i="81"/>
  <c r="F107" i="81" s="1"/>
  <c r="G107" i="81" s="1"/>
  <c r="H107" i="81" s="1"/>
  <c r="I107" i="81" s="1"/>
  <c r="J107" i="81" s="1"/>
  <c r="K107" i="81" s="1"/>
  <c r="L107" i="81" s="1"/>
  <c r="M107" i="81" s="1"/>
  <c r="D107" i="81"/>
  <c r="D105" i="81"/>
  <c r="E105" i="81" s="1"/>
  <c r="F105" i="81" s="1"/>
  <c r="G105" i="81" s="1"/>
  <c r="E103" i="81"/>
  <c r="F103" i="81" s="1"/>
  <c r="G103" i="81" s="1"/>
  <c r="H103" i="81" s="1"/>
  <c r="I103" i="81" s="1"/>
  <c r="J103" i="81" s="1"/>
  <c r="K103" i="81" s="1"/>
  <c r="L103" i="81" s="1"/>
  <c r="M103" i="81" s="1"/>
  <c r="D103" i="81"/>
  <c r="E101" i="81"/>
  <c r="F101" i="81" s="1"/>
  <c r="G101" i="81" s="1"/>
  <c r="H101" i="81" s="1"/>
  <c r="I101" i="81" s="1"/>
  <c r="J101" i="81" s="1"/>
  <c r="K101" i="81" s="1"/>
  <c r="L101" i="81" s="1"/>
  <c r="M101" i="81" s="1"/>
  <c r="D101" i="81"/>
  <c r="E99" i="81"/>
  <c r="F99" i="81" s="1"/>
  <c r="D99" i="81"/>
  <c r="G97" i="81"/>
  <c r="F97" i="81"/>
  <c r="E97" i="81"/>
  <c r="D97" i="81"/>
  <c r="C97" i="81"/>
  <c r="F96" i="81"/>
  <c r="G96" i="81" s="1"/>
  <c r="H96" i="81" s="1"/>
  <c r="I96" i="81" s="1"/>
  <c r="J96" i="81" s="1"/>
  <c r="K96" i="81" s="1"/>
  <c r="L96" i="81" s="1"/>
  <c r="M96" i="81" s="1"/>
  <c r="D96" i="81"/>
  <c r="E96" i="81" s="1"/>
  <c r="D94" i="81"/>
  <c r="E94" i="81" s="1"/>
  <c r="F94" i="81" s="1"/>
  <c r="G94" i="81" s="1"/>
  <c r="H94" i="81" s="1"/>
  <c r="I94" i="81" s="1"/>
  <c r="J94" i="81" s="1"/>
  <c r="K94" i="81" s="1"/>
  <c r="L94" i="81" s="1"/>
  <c r="M94" i="81" s="1"/>
  <c r="M90" i="81"/>
  <c r="L90" i="81"/>
  <c r="K90" i="81"/>
  <c r="J90" i="81"/>
  <c r="I90" i="81"/>
  <c r="H90" i="81"/>
  <c r="G90" i="81"/>
  <c r="F90" i="81"/>
  <c r="E90" i="81"/>
  <c r="D90" i="81"/>
  <c r="C90" i="81"/>
  <c r="E89" i="81"/>
  <c r="F89" i="81" s="1"/>
  <c r="G89" i="81" s="1"/>
  <c r="H89" i="81" s="1"/>
  <c r="I89" i="81" s="1"/>
  <c r="J89" i="81" s="1"/>
  <c r="K89" i="81" s="1"/>
  <c r="L89" i="81" s="1"/>
  <c r="M89" i="81" s="1"/>
  <c r="D89" i="81"/>
  <c r="B86" i="81"/>
  <c r="B84" i="81"/>
  <c r="B82" i="81"/>
  <c r="B80" i="81"/>
  <c r="E79" i="81"/>
  <c r="F79" i="81" s="1"/>
  <c r="G79" i="81" s="1"/>
  <c r="D79" i="81"/>
  <c r="E77" i="81"/>
  <c r="F77" i="81" s="1"/>
  <c r="G77" i="81" s="1"/>
  <c r="D77" i="81"/>
  <c r="E75" i="81"/>
  <c r="F75" i="81" s="1"/>
  <c r="G75" i="81" s="1"/>
  <c r="D75" i="81"/>
  <c r="E73" i="81"/>
  <c r="F73" i="81" s="1"/>
  <c r="G73" i="81" s="1"/>
  <c r="D73" i="81"/>
  <c r="E71" i="81"/>
  <c r="F71" i="81" s="1"/>
  <c r="G71" i="81" s="1"/>
  <c r="D71" i="81"/>
  <c r="B68" i="81"/>
  <c r="B66" i="81"/>
  <c r="B64" i="81"/>
  <c r="F63" i="81"/>
  <c r="G63" i="81" s="1"/>
  <c r="H63" i="81" s="1"/>
  <c r="I63" i="81" s="1"/>
  <c r="J63" i="81" s="1"/>
  <c r="K63" i="81" s="1"/>
  <c r="L63" i="81" s="1"/>
  <c r="M63" i="81" s="1"/>
  <c r="D63" i="81"/>
  <c r="E63" i="81" s="1"/>
  <c r="M61" i="81"/>
  <c r="L61" i="81"/>
  <c r="K61" i="81"/>
  <c r="J61" i="81"/>
  <c r="I61" i="81"/>
  <c r="H61" i="81"/>
  <c r="G61" i="81"/>
  <c r="F61" i="81"/>
  <c r="E61" i="81"/>
  <c r="D61" i="81"/>
  <c r="C61" i="81"/>
  <c r="C57" i="81"/>
  <c r="J48" i="81"/>
  <c r="I48" i="81"/>
  <c r="H48" i="81"/>
  <c r="G48" i="81"/>
  <c r="F48" i="81"/>
  <c r="E48" i="81"/>
  <c r="P43" i="81"/>
  <c r="P42" i="81"/>
  <c r="K42" i="81"/>
  <c r="V41" i="81"/>
  <c r="T41" i="81"/>
  <c r="R41" i="81"/>
  <c r="P41" i="8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Q37" i="81"/>
  <c r="Z37" i="81" s="1"/>
  <c r="J37" i="81"/>
  <c r="AC37" i="81" s="1"/>
  <c r="H37" i="81"/>
  <c r="AB37" i="81" s="1"/>
  <c r="F37" i="81"/>
  <c r="AA37" i="81" s="1"/>
  <c r="Q36" i="81"/>
  <c r="Z36" i="81" s="1"/>
  <c r="J36" i="81"/>
  <c r="AC36" i="81" s="1"/>
  <c r="H36" i="81"/>
  <c r="AB36" i="81" s="1"/>
  <c r="F36" i="81"/>
  <c r="S36" i="81" s="1"/>
  <c r="Z35" i="81"/>
  <c r="Q35" i="81"/>
  <c r="J35" i="81"/>
  <c r="AC35" i="81" s="1"/>
  <c r="H35" i="81"/>
  <c r="AB35" i="81" s="1"/>
  <c r="F35" i="81"/>
  <c r="AA35" i="81" s="1"/>
  <c r="W34" i="8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Q29" i="81"/>
  <c r="Z29" i="81" s="1"/>
  <c r="J29" i="81"/>
  <c r="AC29" i="81" s="1"/>
  <c r="H29" i="81"/>
  <c r="AB29" i="81" s="1"/>
  <c r="F29" i="81"/>
  <c r="AA29" i="81" s="1"/>
  <c r="AA28" i="81"/>
  <c r="Q28" i="81"/>
  <c r="Z28" i="81" s="1"/>
  <c r="J28" i="81"/>
  <c r="AC28" i="81" s="1"/>
  <c r="H28" i="81"/>
  <c r="AB28" i="81" s="1"/>
  <c r="F28" i="81"/>
  <c r="S28" i="81" s="1"/>
  <c r="Z27" i="81"/>
  <c r="Q27" i="81"/>
  <c r="J27" i="81"/>
  <c r="AC27" i="81" s="1"/>
  <c r="H27" i="81"/>
  <c r="AB27" i="81" s="1"/>
  <c r="F27" i="81"/>
  <c r="AA27" i="81" s="1"/>
  <c r="Q26" i="81"/>
  <c r="Z26" i="81" s="1"/>
  <c r="J26" i="81"/>
  <c r="AC26" i="81" s="1"/>
  <c r="U25" i="81"/>
  <c r="Q25" i="81"/>
  <c r="Z25" i="81" s="1"/>
  <c r="J25" i="81"/>
  <c r="AC25" i="81" s="1"/>
  <c r="H25" i="81"/>
  <c r="AB25" i="81" s="1"/>
  <c r="F25" i="81"/>
  <c r="AA25" i="81" s="1"/>
  <c r="Q23" i="81"/>
  <c r="Z23" i="81" s="1"/>
  <c r="J23" i="81"/>
  <c r="AC23" i="81" s="1"/>
  <c r="H23" i="81"/>
  <c r="AB23" i="81" s="1"/>
  <c r="F23" i="81"/>
  <c r="AA23" i="81" s="1"/>
  <c r="C23" i="81"/>
  <c r="AA21" i="81"/>
  <c r="Q21" i="81"/>
  <c r="Z21" i="81" s="1"/>
  <c r="J21" i="81"/>
  <c r="AC21" i="81" s="1"/>
  <c r="H21" i="81"/>
  <c r="AB21" i="81" s="1"/>
  <c r="F21" i="81"/>
  <c r="S21" i="81" s="1"/>
  <c r="C21" i="81"/>
  <c r="Q19" i="81"/>
  <c r="Z19" i="81" s="1"/>
  <c r="J19" i="81"/>
  <c r="AC19" i="81" s="1"/>
  <c r="H19" i="81"/>
  <c r="AB19" i="81" s="1"/>
  <c r="F19" i="81"/>
  <c r="AA19" i="81" s="1"/>
  <c r="C19" i="81"/>
  <c r="AA17" i="81"/>
  <c r="Q17" i="81"/>
  <c r="Z17" i="81" s="1"/>
  <c r="J17" i="81"/>
  <c r="AC17" i="81" s="1"/>
  <c r="H17" i="81"/>
  <c r="AB17" i="81" s="1"/>
  <c r="F17" i="81"/>
  <c r="S17" i="81" s="1"/>
  <c r="C17" i="81"/>
  <c r="Q15" i="81"/>
  <c r="Z15" i="81" s="1"/>
  <c r="J15" i="81"/>
  <c r="AC15" i="81" s="1"/>
  <c r="H15" i="81"/>
  <c r="AB15" i="81" s="1"/>
  <c r="F15" i="81"/>
  <c r="AA15" i="81" s="1"/>
  <c r="C15" i="81"/>
  <c r="AA14" i="81"/>
  <c r="Q14" i="81"/>
  <c r="Z14" i="81" s="1"/>
  <c r="J14" i="81"/>
  <c r="AC14" i="81" s="1"/>
  <c r="H14" i="81"/>
  <c r="U14" i="81" s="1"/>
  <c r="F14" i="81"/>
  <c r="S14" i="81" s="1"/>
  <c r="Z13" i="81"/>
  <c r="Q13" i="81"/>
  <c r="J13" i="81"/>
  <c r="AC13" i="81" s="1"/>
  <c r="H13" i="81"/>
  <c r="AB13" i="81" s="1"/>
  <c r="F13" i="81"/>
  <c r="S13" i="81" s="1"/>
  <c r="Q12" i="81"/>
  <c r="Z12" i="81" s="1"/>
  <c r="AC11" i="81"/>
  <c r="W11" i="81"/>
  <c r="Q11" i="81"/>
  <c r="Z11" i="81" s="1"/>
  <c r="J11" i="81"/>
  <c r="H11" i="81"/>
  <c r="U11" i="81" s="1"/>
  <c r="F11" i="81"/>
  <c r="AA11" i="81" s="1"/>
  <c r="AA10" i="81"/>
  <c r="Q10" i="81"/>
  <c r="Z10" i="81" s="1"/>
  <c r="J10" i="81"/>
  <c r="AC10" i="81" s="1"/>
  <c r="H10" i="81"/>
  <c r="AB10" i="81" s="1"/>
  <c r="F10" i="81"/>
  <c r="S10" i="81" s="1"/>
  <c r="Z9" i="81"/>
  <c r="Q9" i="81"/>
  <c r="J9" i="81"/>
  <c r="AC9" i="81" s="1"/>
  <c r="H9" i="81"/>
  <c r="AB9" i="81" s="1"/>
  <c r="F9" i="81"/>
  <c r="S9" i="81" s="1"/>
  <c r="J8" i="81"/>
  <c r="AC8" i="81" s="1"/>
  <c r="H8" i="81"/>
  <c r="AB8" i="81" s="1"/>
  <c r="F8" i="81"/>
  <c r="C7" i="81"/>
  <c r="C52" i="81" s="1"/>
  <c r="D3" i="81"/>
  <c r="D33" i="43"/>
  <c r="D2" i="81"/>
  <c r="W8" i="81" l="1"/>
  <c r="W30" i="81"/>
  <c r="AA36" i="81"/>
  <c r="S15" i="81"/>
  <c r="S19" i="81"/>
  <c r="W26" i="81"/>
  <c r="H12" i="81"/>
  <c r="F12" i="81"/>
  <c r="D52" i="81"/>
  <c r="U8" i="81"/>
  <c r="AB11" i="81"/>
  <c r="U15" i="81"/>
  <c r="U29" i="81"/>
  <c r="U37" i="81"/>
  <c r="G99" i="81"/>
  <c r="H99" i="81" s="1"/>
  <c r="U10" i="81"/>
  <c r="S8" i="81"/>
  <c r="AA8" i="81"/>
  <c r="AA9" i="81"/>
  <c r="AA13" i="81"/>
  <c r="AB14" i="81"/>
  <c r="S23" i="81"/>
  <c r="S32" i="81"/>
  <c r="S40" i="81"/>
  <c r="H26" i="81"/>
  <c r="F26" i="81"/>
  <c r="J12" i="81"/>
  <c r="U17" i="81"/>
  <c r="U19" i="81"/>
  <c r="U21" i="81"/>
  <c r="U23" i="81"/>
  <c r="W25" i="81"/>
  <c r="S27" i="81"/>
  <c r="U28" i="81"/>
  <c r="W29" i="81"/>
  <c r="S31" i="81"/>
  <c r="U32" i="81"/>
  <c r="S35" i="81"/>
  <c r="U36" i="81"/>
  <c r="W37" i="81"/>
  <c r="S39" i="81"/>
  <c r="U40" i="81"/>
  <c r="U9" i="81"/>
  <c r="W10" i="81"/>
  <c r="U13" i="81"/>
  <c r="W14" i="81"/>
  <c r="W17" i="81"/>
  <c r="W21" i="81"/>
  <c r="W23" i="81"/>
  <c r="U27" i="81"/>
  <c r="W28" i="81"/>
  <c r="S30" i="81"/>
  <c r="U31" i="81"/>
  <c r="W32" i="81"/>
  <c r="S34" i="81"/>
  <c r="U35" i="81"/>
  <c r="W36" i="81"/>
  <c r="S38" i="81"/>
  <c r="U39" i="81"/>
  <c r="W40" i="81"/>
  <c r="W15" i="81"/>
  <c r="W19" i="81"/>
  <c r="W9" i="81"/>
  <c r="S11" i="81"/>
  <c r="W13" i="81"/>
  <c r="S25" i="81"/>
  <c r="W27" i="81"/>
  <c r="S29" i="81"/>
  <c r="U30" i="81"/>
  <c r="W31" i="81"/>
  <c r="U34" i="81"/>
  <c r="W35" i="81"/>
  <c r="S37" i="81"/>
  <c r="U38" i="81"/>
  <c r="W39" i="81"/>
  <c r="AB12" i="81" l="1"/>
  <c r="U12" i="81"/>
  <c r="AA26" i="81"/>
  <c r="S26" i="81"/>
  <c r="AC12" i="81"/>
  <c r="W12" i="81"/>
  <c r="I99" i="81"/>
  <c r="J99" i="81" s="1"/>
  <c r="K99" i="81" s="1"/>
  <c r="L99" i="81" s="1"/>
  <c r="M99" i="81" s="1"/>
  <c r="H33" i="81"/>
  <c r="J33" i="81"/>
  <c r="AB26" i="81"/>
  <c r="U26" i="81"/>
  <c r="F33" i="81"/>
  <c r="E52" i="81"/>
  <c r="AA12" i="81"/>
  <c r="S12" i="81"/>
  <c r="F52" i="81" l="1"/>
  <c r="AC33" i="81"/>
  <c r="W33" i="81"/>
  <c r="AA33" i="81"/>
  <c r="S33" i="81"/>
  <c r="AB33" i="81"/>
  <c r="U33" i="81"/>
  <c r="G52" i="81" l="1"/>
  <c r="H52" i="81" l="1"/>
  <c r="I52" i="81" l="1"/>
  <c r="J52" i="81" l="1"/>
  <c r="K52" i="81" l="1"/>
  <c r="L52" i="81" l="1"/>
  <c r="M52" i="81" l="1"/>
  <c r="N52" i="81" s="1"/>
  <c r="O52" i="81" s="1"/>
  <c r="H7" i="81"/>
  <c r="U7" i="81" l="1"/>
  <c r="AB7" i="81"/>
  <c r="T42" i="81" s="1"/>
  <c r="G42" i="81" s="1"/>
  <c r="F7" i="81"/>
  <c r="J7" i="81"/>
  <c r="S7" i="81" l="1"/>
  <c r="AA7" i="81"/>
  <c r="R42" i="81" s="1"/>
  <c r="G46" i="81"/>
  <c r="H46" i="81" s="1"/>
  <c r="AC7" i="81"/>
  <c r="V42" i="81" s="1"/>
  <c r="I42" i="81" s="1"/>
  <c r="G47" i="81" s="1"/>
  <c r="H47" i="81" s="1"/>
  <c r="W7" i="81"/>
  <c r="R43" i="81" l="1"/>
  <c r="E42" i="81"/>
  <c r="I47" i="81" s="1"/>
  <c r="J47" i="81" s="1"/>
  <c r="I46" i="81"/>
  <c r="J46" i="81" s="1"/>
  <c r="E46" i="81" l="1"/>
  <c r="F46" i="81" s="1"/>
  <c r="E47" i="81"/>
  <c r="F47" i="81" s="1"/>
  <c r="C42" i="81"/>
  <c r="C43" i="81"/>
  <c r="B2" i="81" l="1"/>
  <c r="B3" i="81"/>
  <c r="Y6" i="1" l="1"/>
  <c r="M20" i="1"/>
  <c r="F19" i="6"/>
  <c r="D5" i="80"/>
  <c r="G3" i="80"/>
  <c r="J3" i="80" s="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B68" i="71"/>
  <c r="S68" i="71" s="1"/>
  <c r="F67" i="71"/>
  <c r="F66" i="71" s="1"/>
  <c r="B67" i="71"/>
  <c r="N67" i="71" s="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s="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P28" i="71"/>
  <c r="E28" i="71" s="1"/>
  <c r="E55" i="71"/>
  <c r="E56" i="71" s="1"/>
  <c r="U56" i="71"/>
  <c r="E67" i="71"/>
  <c r="Q28" i="71"/>
  <c r="C59" i="71"/>
  <c r="D58" i="71"/>
  <c r="Q67" i="71"/>
  <c r="D68" i="71"/>
  <c r="C71" i="71"/>
  <c r="C70" i="71" s="1"/>
  <c r="D70" i="71" s="1"/>
  <c r="D72" i="71"/>
  <c r="E75" i="71"/>
  <c r="E74" i="71" s="1"/>
  <c r="C79" i="71"/>
  <c r="D79" i="71" s="1"/>
  <c r="E79" i="71"/>
  <c r="E78" i="71" s="1"/>
  <c r="D80" i="71"/>
  <c r="C83" i="71"/>
  <c r="D83" i="71" s="1"/>
  <c r="C87" i="71"/>
  <c r="AA28" i="71"/>
  <c r="C82" i="71"/>
  <c r="D82"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AC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5" i="40"/>
  <c r="U29" i="39"/>
  <c r="W29" i="39"/>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R5"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W12" i="36" s="1"/>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B97" i="35"/>
  <c r="B77" i="35"/>
  <c r="B75" i="35"/>
  <c r="J24" i="35" s="1"/>
  <c r="AC24" i="35" s="1"/>
  <c r="B73" i="35"/>
  <c r="J23" i="35" s="1"/>
  <c r="AC23" i="35" s="1"/>
  <c r="H23" i="35"/>
  <c r="U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J44" i="21" s="1"/>
  <c r="AC44" i="21" s="1"/>
  <c r="B98" i="21"/>
  <c r="B96" i="21"/>
  <c r="B94" i="21"/>
  <c r="J29" i="21" s="1"/>
  <c r="AC29" i="21" s="1"/>
  <c r="B92" i="21"/>
  <c r="B90" i="21"/>
  <c r="H27" i="21" s="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J35" i="39"/>
  <c r="AC35" i="39" s="1"/>
  <c r="F35" i="39"/>
  <c r="AA35" i="39"/>
  <c r="U30"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9" i="33"/>
  <c r="H39" i="37"/>
  <c r="AB39" i="37" s="1"/>
  <c r="F11" i="40"/>
  <c r="AA11" i="40"/>
  <c r="H11" i="40"/>
  <c r="AB11" i="40" s="1"/>
  <c r="W8" i="40"/>
  <c r="U9" i="40"/>
  <c r="U38" i="40"/>
  <c r="W31"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AA21" i="40"/>
  <c r="J21" i="40"/>
  <c r="W21" i="40" s="1"/>
  <c r="H42" i="39"/>
  <c r="AB42" i="39" s="1"/>
  <c r="J34" i="39"/>
  <c r="AC34" i="39" s="1"/>
  <c r="F100" i="39"/>
  <c r="H27" i="39"/>
  <c r="U27" i="39" s="1"/>
  <c r="J19" i="39"/>
  <c r="AC19" i="39" s="1"/>
  <c r="J17" i="39"/>
  <c r="J27" i="39"/>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H37" i="33"/>
  <c r="AB37" i="33"/>
  <c r="H15" i="33"/>
  <c r="AB15" i="33" s="1"/>
  <c r="H11" i="33"/>
  <c r="AB11" i="33" s="1"/>
  <c r="F28" i="40"/>
  <c r="AA28" i="40"/>
  <c r="AA42" i="34"/>
  <c r="S42" i="34"/>
  <c r="AC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H44" i="21"/>
  <c r="U44" i="21"/>
  <c r="F44" i="21"/>
  <c r="AA44" i="21" s="1"/>
  <c r="F46" i="21"/>
  <c r="AA46" i="21" s="1"/>
  <c r="E119" i="21"/>
  <c r="F119" i="21" s="1"/>
  <c r="G119" i="21" s="1"/>
  <c r="H119" i="21" s="1"/>
  <c r="I119" i="21" s="1"/>
  <c r="J119" i="21" s="1"/>
  <c r="K119" i="21" s="1"/>
  <c r="L119" i="21" s="1"/>
  <c r="M119" i="21" s="1"/>
  <c r="H26" i="33"/>
  <c r="AB26" i="33" s="1"/>
  <c r="U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H29" i="21"/>
  <c r="U29" i="21" s="1"/>
  <c r="F31" i="21"/>
  <c r="S31" i="21" s="1"/>
  <c r="F45" i="21"/>
  <c r="AA45" i="21" s="1"/>
  <c r="F27" i="33"/>
  <c r="AA27" i="33"/>
  <c r="J13" i="33"/>
  <c r="F13" i="33"/>
  <c r="S13" i="33"/>
  <c r="J29" i="33"/>
  <c r="H29" i="33"/>
  <c r="U29" i="33"/>
  <c r="F29" i="33"/>
  <c r="S29" i="33" s="1"/>
  <c r="J31" i="33"/>
  <c r="W31" i="33" s="1"/>
  <c r="H31" i="33"/>
  <c r="F31" i="33"/>
  <c r="H45" i="33"/>
  <c r="J45" i="33"/>
  <c r="F45" i="33"/>
  <c r="AA45" i="33" s="1"/>
  <c r="J14" i="34"/>
  <c r="W14" i="34" s="1"/>
  <c r="F14" i="34"/>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H13" i="36"/>
  <c r="AB13" i="36" s="1"/>
  <c r="J13" i="36"/>
  <c r="F13" i="36"/>
  <c r="S13" i="36"/>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F14" i="40"/>
  <c r="J27" i="37"/>
  <c r="AC27" i="37"/>
  <c r="AA44" i="33"/>
  <c r="AA14" i="33"/>
  <c r="J36" i="37"/>
  <c r="AC36" i="37" s="1"/>
  <c r="J10" i="36"/>
  <c r="AC10" i="36" s="1"/>
  <c r="AB30" i="21"/>
  <c r="W31" i="34"/>
  <c r="S45" i="33"/>
  <c r="AC28" i="21"/>
  <c r="F17" i="21"/>
  <c r="AA17" i="21" s="1"/>
  <c r="H17" i="21"/>
  <c r="AB17" i="21" s="1"/>
  <c r="F15" i="21"/>
  <c r="S15" i="21" s="1"/>
  <c r="J41" i="39"/>
  <c r="W41" i="39" s="1"/>
  <c r="W44" i="39"/>
  <c r="S35" i="39"/>
  <c r="G544" i="3"/>
  <c r="G540" i="3"/>
  <c r="G536" i="3"/>
  <c r="G535" i="3"/>
  <c r="G528" i="3"/>
  <c r="G527" i="3"/>
  <c r="G514" i="3"/>
  <c r="G510" i="3"/>
  <c r="G508" i="3"/>
  <c r="G500" i="3"/>
  <c r="G496" i="3"/>
  <c r="G584" i="3"/>
  <c r="G580" i="3"/>
  <c r="G576" i="3"/>
  <c r="G572" i="3"/>
  <c r="G564" i="3"/>
  <c r="G560" i="3"/>
  <c r="G554" i="3"/>
  <c r="G550" i="3"/>
  <c r="BL584" i="3"/>
  <c r="BL580" i="3"/>
  <c r="BL576" i="3"/>
  <c r="BL568" i="3"/>
  <c r="BL564" i="3"/>
  <c r="BL560" i="3"/>
  <c r="BL542" i="3"/>
  <c r="BL522" i="3"/>
  <c r="BL512" i="3"/>
  <c r="BL494" i="3"/>
  <c r="BL582" i="3"/>
  <c r="BL578" i="3"/>
  <c r="BL570" i="3"/>
  <c r="BL566" i="3"/>
  <c r="BL562" i="3"/>
  <c r="BL540" i="3"/>
  <c r="AZ540" i="3" s="1"/>
  <c r="G529" i="3"/>
  <c r="G525" i="3"/>
  <c r="BL504" i="3"/>
  <c r="BL500" i="3"/>
  <c r="G493" i="3"/>
  <c r="BA584" i="3"/>
  <c r="BA582" i="3"/>
  <c r="AZ582" i="3" s="1"/>
  <c r="BA578" i="3"/>
  <c r="BA576" i="3"/>
  <c r="BA574" i="3"/>
  <c r="BA570" i="3"/>
  <c r="AZ570" i="3" s="1"/>
  <c r="BA568" i="3"/>
  <c r="BA566" i="3"/>
  <c r="BA562" i="3"/>
  <c r="BA560" i="3"/>
  <c r="AZ560" i="3" s="1"/>
  <c r="BA558" i="3"/>
  <c r="AZ558" i="3" s="1"/>
  <c r="BA556" i="3"/>
  <c r="BA554" i="3"/>
  <c r="BA544" i="3"/>
  <c r="AZ544" i="3" s="1"/>
  <c r="BA538" i="3"/>
  <c r="AZ538" i="3" s="1"/>
  <c r="BA524" i="3"/>
  <c r="AZ524" i="3" s="1"/>
  <c r="BA522" i="3"/>
  <c r="BA514" i="3"/>
  <c r="BA512" i="3"/>
  <c r="AZ512" i="3" s="1"/>
  <c r="BA508" i="3"/>
  <c r="AZ508" i="3" s="1"/>
  <c r="BA504" i="3"/>
  <c r="AZ504" i="3" s="1"/>
  <c r="BA498" i="3"/>
  <c r="BA583" i="3"/>
  <c r="BA579" i="3"/>
  <c r="BA577" i="3"/>
  <c r="BA575" i="3"/>
  <c r="BA571" i="3"/>
  <c r="BA569" i="3"/>
  <c r="BA567" i="3"/>
  <c r="BA563" i="3"/>
  <c r="BA561" i="3"/>
  <c r="BA559" i="3"/>
  <c r="BA549" i="3"/>
  <c r="BA539" i="3"/>
  <c r="BA527" i="3"/>
  <c r="BA515" i="3"/>
  <c r="BA513"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5" i="3"/>
  <c r="G543" i="3"/>
  <c r="G541" i="3"/>
  <c r="G537" i="3"/>
  <c r="BQ555" i="3"/>
  <c r="BL555" i="3"/>
  <c r="BQ553" i="3"/>
  <c r="BQ551" i="3"/>
  <c r="BL551" i="3"/>
  <c r="BQ549" i="3"/>
  <c r="BQ547" i="3"/>
  <c r="BQ545" i="3"/>
  <c r="BL545" i="3"/>
  <c r="BQ543" i="3"/>
  <c r="BQ541" i="3"/>
  <c r="BL541" i="3"/>
  <c r="AZ541" i="3" s="1"/>
  <c r="BQ539" i="3"/>
  <c r="BQ537" i="3"/>
  <c r="BQ535" i="3"/>
  <c r="BL535" i="3" s="1"/>
  <c r="AZ535" i="3" s="1"/>
  <c r="BQ533" i="3"/>
  <c r="BQ531" i="3"/>
  <c r="BQ529" i="3"/>
  <c r="BQ527" i="3"/>
  <c r="BQ525" i="3"/>
  <c r="BL525" i="3" s="1"/>
  <c r="AZ525" i="3" s="1"/>
  <c r="BQ523" i="3"/>
  <c r="AC521" i="3"/>
  <c r="G521" i="3" s="1"/>
  <c r="BQ521" i="3"/>
  <c r="BL520" i="3"/>
  <c r="G515" i="3"/>
  <c r="G513" i="3"/>
  <c r="BQ519" i="3"/>
  <c r="BQ517" i="3"/>
  <c r="BL517" i="3" s="1"/>
  <c r="BQ515" i="3"/>
  <c r="BQ513" i="3"/>
  <c r="BL513" i="3"/>
  <c r="BQ511" i="3"/>
  <c r="BL511" i="3" s="1"/>
  <c r="AC509" i="3"/>
  <c r="BQ509" i="3"/>
  <c r="BL509" i="3" s="1"/>
  <c r="G507" i="3"/>
  <c r="G505" i="3"/>
  <c r="G501" i="3"/>
  <c r="G499" i="3"/>
  <c r="G497" i="3"/>
  <c r="BQ507" i="3"/>
  <c r="BQ505" i="3"/>
  <c r="BL505" i="3" s="1"/>
  <c r="AZ505" i="3" s="1"/>
  <c r="BQ503" i="3"/>
  <c r="BQ501" i="3"/>
  <c r="BL501" i="3" s="1"/>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H42" i="33"/>
  <c r="AB42" i="33" s="1"/>
  <c r="J43" i="33"/>
  <c r="AC43" i="33" s="1"/>
  <c r="S28" i="31"/>
  <c r="S27" i="31"/>
  <c r="S26" i="31"/>
  <c r="W23" i="35"/>
  <c r="U39" i="37"/>
  <c r="U26" i="37"/>
  <c r="W47" i="34"/>
  <c r="AC36" i="34"/>
  <c r="AA13" i="33"/>
  <c r="AC31" i="33"/>
  <c r="W44" i="33"/>
  <c r="U11" i="33"/>
  <c r="U19" i="21"/>
  <c r="W44" i="21"/>
  <c r="AB38" i="21"/>
  <c r="F43" i="33"/>
  <c r="AA43" i="33" s="1"/>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AA41" i="39"/>
  <c r="W8" i="39"/>
  <c r="J19" i="40"/>
  <c r="AC19" i="40" s="1"/>
  <c r="J50" i="40"/>
  <c r="H103" i="9"/>
  <c r="D8" i="53" s="1"/>
  <c r="B16" i="53"/>
  <c r="B33" i="72" s="1"/>
  <c r="C7" i="36"/>
  <c r="C46" i="36" s="1"/>
  <c r="D46" i="36" s="1"/>
  <c r="E46" i="36" s="1"/>
  <c r="F46" i="36" s="1"/>
  <c r="G46" i="36" s="1"/>
  <c r="H46" i="36" s="1"/>
  <c r="I46" i="36" s="1"/>
  <c r="W35" i="40"/>
  <c r="A118" i="9"/>
  <c r="A4" i="52"/>
  <c r="B41" i="72" s="1"/>
  <c r="J11" i="39"/>
  <c r="AC11" i="39" s="1"/>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G181" i="3"/>
  <c r="BA183" i="3"/>
  <c r="BL184" i="3"/>
  <c r="G185" i="3"/>
  <c r="BA187" i="3"/>
  <c r="BL188" i="3"/>
  <c r="AZ188" i="3" s="1"/>
  <c r="G189" i="3"/>
  <c r="BA191" i="3"/>
  <c r="AZ191" i="3"/>
  <c r="BL192" i="3"/>
  <c r="G193" i="3"/>
  <c r="BA195" i="3"/>
  <c r="AZ195" i="3"/>
  <c r="BL196" i="3"/>
  <c r="G197" i="3"/>
  <c r="BA199" i="3"/>
  <c r="BL200" i="3"/>
  <c r="G201" i="3"/>
  <c r="BA203" i="3"/>
  <c r="BL204" i="3"/>
  <c r="AZ47" i="3"/>
  <c r="AZ67" i="3"/>
  <c r="AZ144" i="3"/>
  <c r="AZ97" i="3"/>
  <c r="AZ10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AZ198" i="3"/>
  <c r="BA16" i="3"/>
  <c r="AZ16" i="3" s="1"/>
  <c r="BL303" i="3"/>
  <c r="G304" i="3"/>
  <c r="BA306" i="3"/>
  <c r="BL307" i="3"/>
  <c r="G308" i="3"/>
  <c r="BA310" i="3"/>
  <c r="AZ310" i="3"/>
  <c r="BL311" i="3"/>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9" i="3"/>
  <c r="BA379" i="3"/>
  <c r="AZ379" i="3" s="1"/>
  <c r="BL380" i="3"/>
  <c r="G381" i="3"/>
  <c r="BA383" i="3"/>
  <c r="AZ383" i="3" s="1"/>
  <c r="BL384" i="3"/>
  <c r="G385" i="3"/>
  <c r="BA387" i="3"/>
  <c r="AZ387" i="3" s="1"/>
  <c r="BL388" i="3"/>
  <c r="G389" i="3"/>
  <c r="BA391" i="3"/>
  <c r="BL392" i="3"/>
  <c r="AZ392" i="3" s="1"/>
  <c r="G393" i="3"/>
  <c r="AZ283" i="3"/>
  <c r="BO5" i="3"/>
  <c r="BM5" i="3"/>
  <c r="F29" i="6" s="1"/>
  <c r="BJ5" i="3"/>
  <c r="BF5" i="3"/>
  <c r="BD5" i="3"/>
  <c r="AC5" i="3"/>
  <c r="G538" i="3"/>
  <c r="G520" i="3"/>
  <c r="G502" i="3"/>
  <c r="BP5" i="3"/>
  <c r="BN5" i="3"/>
  <c r="BK5" i="3"/>
  <c r="BG5" i="3"/>
  <c r="BE5" i="3"/>
  <c r="BC5" i="3"/>
  <c r="G17" i="3"/>
  <c r="BA17" i="3"/>
  <c r="AZ17" i="3" s="1"/>
  <c r="BT5" i="3"/>
  <c r="BA15" i="3"/>
  <c r="BB5" i="3"/>
  <c r="AZ380" i="3"/>
  <c r="AZ499" i="3"/>
  <c r="G509" i="3"/>
  <c r="BL493" i="3"/>
  <c r="U36" i="40"/>
  <c r="F83" i="43"/>
  <c r="H85" i="43" s="1"/>
  <c r="F50" i="43"/>
  <c r="H54" i="43" s="1"/>
  <c r="F72" i="43"/>
  <c r="H75" i="43" s="1"/>
  <c r="U17" i="39"/>
  <c r="S14" i="35"/>
  <c r="U43" i="21"/>
  <c r="AC35" i="21"/>
  <c r="G8" i="1"/>
  <c r="G10" i="1"/>
  <c r="AZ501" i="3"/>
  <c r="W44" i="34"/>
  <c r="AC44" i="34"/>
  <c r="S15" i="37"/>
  <c r="U13" i="37"/>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c r="F30" i="40"/>
  <c r="AA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2" i="3"/>
  <c r="AZ82"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12" i="3"/>
  <c r="AZ433" i="3"/>
  <c r="W12" i="33"/>
  <c r="AC12" i="33"/>
  <c r="AA32" i="36"/>
  <c r="S32" i="36"/>
  <c r="AZ437" i="3"/>
  <c r="BL14" i="3"/>
  <c r="U30" i="33"/>
  <c r="AC13" i="34"/>
  <c r="AA47" i="34"/>
  <c r="W28" i="37"/>
  <c r="S19" i="39"/>
  <c r="F12" i="33"/>
  <c r="AA12" i="33" s="1"/>
  <c r="H12" i="39"/>
  <c r="AB12" i="39"/>
  <c r="F39" i="40"/>
  <c r="BA14" i="3"/>
  <c r="AZ14" i="3" s="1"/>
  <c r="AZ367"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AB31"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A13" i="36"/>
  <c r="W9" i="36"/>
  <c r="W22" i="36"/>
  <c r="AB20" i="35"/>
  <c r="AC25" i="35"/>
  <c r="U25" i="35"/>
  <c r="S24" i="35"/>
  <c r="U24" i="35"/>
  <c r="S35" i="35"/>
  <c r="W35" i="35"/>
  <c r="AA16" i="35"/>
  <c r="AA35" i="37"/>
  <c r="S27" i="37"/>
  <c r="S28" i="37"/>
  <c r="W32" i="37"/>
  <c r="U38" i="37"/>
  <c r="AC34" i="37"/>
  <c r="AB35" i="37"/>
  <c r="AA31" i="37"/>
  <c r="U19" i="37"/>
  <c r="AA29"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J32" i="39"/>
  <c r="AC32" i="39" s="1"/>
  <c r="H32" i="39"/>
  <c r="AB32" i="39" s="1"/>
  <c r="AA32" i="39"/>
  <c r="S32" i="39"/>
  <c r="AB21" i="39"/>
  <c r="U21" i="39"/>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U25" i="33"/>
  <c r="AB25" i="33"/>
  <c r="AA25" i="33"/>
  <c r="J25" i="33"/>
  <c r="AC25" i="33" s="1"/>
  <c r="AB23" i="33"/>
  <c r="U23" i="33"/>
  <c r="F23" i="33"/>
  <c r="AA19" i="33"/>
  <c r="H19" i="33"/>
  <c r="AB19" i="33" s="1"/>
  <c r="G81" i="33"/>
  <c r="H17" i="33"/>
  <c r="U17" i="33" s="1"/>
  <c r="F17" i="33"/>
  <c r="S17" i="33" s="1"/>
  <c r="W17" i="33"/>
  <c r="AC17" i="33"/>
  <c r="AA23" i="21"/>
  <c r="J23" i="21"/>
  <c r="F85" i="21"/>
  <c r="G85" i="21" s="1"/>
  <c r="H23" i="21"/>
  <c r="S13" i="21"/>
  <c r="D6" i="52"/>
  <c r="AP7" i="1"/>
  <c r="AB45" i="21"/>
  <c r="AB9" i="21"/>
  <c r="AA32" i="21"/>
  <c r="S32" i="21"/>
  <c r="W9" i="21"/>
  <c r="AC9" i="21"/>
  <c r="AB32" i="21"/>
  <c r="U32" i="21"/>
  <c r="A18" i="62"/>
  <c r="B64" i="72" s="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38" i="67"/>
  <c r="F26" i="15"/>
  <c r="F38" i="15"/>
  <c r="L47" i="15"/>
  <c r="F20" i="31"/>
  <c r="M29" i="67"/>
  <c r="E13" i="76"/>
  <c r="B10" i="76"/>
  <c r="C76" i="15"/>
  <c r="F6" i="67"/>
  <c r="AO13" i="1"/>
  <c r="M22" i="15"/>
  <c r="M29" i="15"/>
  <c r="F16" i="15"/>
  <c r="M28" i="15"/>
  <c r="M9" i="15"/>
  <c r="B12" i="76"/>
  <c r="M23" i="15"/>
  <c r="D35" i="9"/>
  <c r="F5" i="73"/>
  <c r="F40" i="15"/>
  <c r="E2" i="68"/>
  <c r="F9" i="15"/>
  <c r="F3" i="73"/>
  <c r="E7" i="76"/>
  <c r="F43" i="15"/>
  <c r="F36" i="15"/>
  <c r="F8" i="15"/>
  <c r="M24" i="15"/>
  <c r="E10" i="76"/>
  <c r="B11" i="76"/>
  <c r="M26" i="67"/>
  <c r="F37" i="15"/>
  <c r="B9" i="76"/>
  <c r="F13" i="15"/>
  <c r="J15" i="15"/>
  <c r="F6" i="73"/>
  <c r="F42" i="15"/>
  <c r="E9" i="76"/>
  <c r="M8" i="15"/>
  <c r="B8" i="76"/>
  <c r="L48" i="15"/>
  <c r="B7" i="76"/>
  <c r="B13" i="76"/>
  <c r="M26" i="15"/>
  <c r="E11" i="76"/>
  <c r="D34" i="9"/>
  <c r="F7" i="73"/>
  <c r="M6" i="15"/>
  <c r="E2" i="69"/>
  <c r="F16" i="67"/>
  <c r="M24" i="67"/>
  <c r="E12" i="76"/>
  <c r="M8" i="67"/>
  <c r="F4" i="73"/>
  <c r="F7" i="15"/>
  <c r="AB37" i="37" l="1"/>
  <c r="W37" i="37"/>
  <c r="U36" i="37"/>
  <c r="W36" i="37"/>
  <c r="W31" i="37"/>
  <c r="AC29" i="37"/>
  <c r="U29" i="37"/>
  <c r="U8" i="37"/>
  <c r="W30" i="37"/>
  <c r="G26" i="12"/>
  <c r="G22" i="68"/>
  <c r="G22" i="69"/>
  <c r="G29" i="6"/>
  <c r="E29" i="6" s="1"/>
  <c r="K15" i="1" s="1"/>
  <c r="H69" i="43"/>
  <c r="C7" i="35"/>
  <c r="C48" i="35" s="1"/>
  <c r="D48" i="35" s="1"/>
  <c r="C7" i="34"/>
  <c r="C7" i="40"/>
  <c r="C63" i="40" s="1"/>
  <c r="C7" i="39"/>
  <c r="C67" i="39" s="1"/>
  <c r="C7" i="37"/>
  <c r="C52" i="37" s="1"/>
  <c r="D52" i="37" s="1"/>
  <c r="M47" i="9"/>
  <c r="C42" i="1"/>
  <c r="C24" i="12" s="1"/>
  <c r="J1" i="73"/>
  <c r="AC25" i="37"/>
  <c r="W25" i="37"/>
  <c r="AA21" i="39"/>
  <c r="D68" i="9"/>
  <c r="F30" i="69"/>
  <c r="F48" i="69" s="1"/>
  <c r="F31" i="12"/>
  <c r="U19" i="33"/>
  <c r="F28" i="15"/>
  <c r="F32" i="67"/>
  <c r="F60" i="67" s="1"/>
  <c r="F28" i="67"/>
  <c r="U15" i="21"/>
  <c r="AB28" i="36"/>
  <c r="W27" i="40"/>
  <c r="AA33" i="34"/>
  <c r="AA32" i="37"/>
  <c r="AZ349" i="3"/>
  <c r="AZ390" i="3"/>
  <c r="AZ351" i="3"/>
  <c r="AZ160" i="3"/>
  <c r="AZ341" i="3"/>
  <c r="AZ306" i="3"/>
  <c r="S11" i="39"/>
  <c r="AA11" i="39"/>
  <c r="S14" i="34"/>
  <c r="AA14" i="34"/>
  <c r="AA28" i="34"/>
  <c r="S28" i="34"/>
  <c r="AB35" i="21"/>
  <c r="U35" i="21"/>
  <c r="BA587" i="3"/>
  <c r="BA586" i="3"/>
  <c r="BL585" i="3"/>
  <c r="BA585" i="3"/>
  <c r="AZ585" i="3" s="1"/>
  <c r="AC8" i="34"/>
  <c r="W8" i="34"/>
  <c r="H14" i="37"/>
  <c r="AB14" i="37" s="1"/>
  <c r="J14" i="37"/>
  <c r="W14" i="37" s="1"/>
  <c r="J14" i="40"/>
  <c r="H14" i="40"/>
  <c r="BA555" i="3"/>
  <c r="BA553" i="3"/>
  <c r="AZ553" i="3" s="1"/>
  <c r="BL552" i="3"/>
  <c r="BA552" i="3"/>
  <c r="AZ552" i="3" s="1"/>
  <c r="BA551" i="3"/>
  <c r="AZ551" i="3" s="1"/>
  <c r="BA550" i="3"/>
  <c r="BL549" i="3"/>
  <c r="AZ549" i="3" s="1"/>
  <c r="AZ542" i="3"/>
  <c r="AZ530" i="3"/>
  <c r="BL529" i="3"/>
  <c r="BI5" i="3"/>
  <c r="AZ520" i="3"/>
  <c r="BS5" i="3"/>
  <c r="BH5" i="3"/>
  <c r="E15" i="6" s="1"/>
  <c r="E64" i="39" s="1"/>
  <c r="AZ516" i="3"/>
  <c r="AZ510" i="3"/>
  <c r="AZ509" i="3"/>
  <c r="H5" i="3"/>
  <c r="S29" i="35"/>
  <c r="AA29" i="35"/>
  <c r="AC27" i="39"/>
  <c r="W27" i="39"/>
  <c r="H13" i="21"/>
  <c r="J13" i="21"/>
  <c r="AB34" i="40"/>
  <c r="U34" i="40"/>
  <c r="AZ175" i="3"/>
  <c r="AZ554" i="3"/>
  <c r="AA11" i="36"/>
  <c r="S11" i="36"/>
  <c r="AB36" i="33"/>
  <c r="W32" i="39"/>
  <c r="F54" i="9"/>
  <c r="F32" i="15"/>
  <c r="F60" i="15" s="1"/>
  <c r="F52" i="9"/>
  <c r="F30" i="68"/>
  <c r="F48" i="68" s="1"/>
  <c r="S20" i="36"/>
  <c r="AC39" i="34"/>
  <c r="AA27" i="40"/>
  <c r="AA34" i="33"/>
  <c r="AZ391" i="3"/>
  <c r="AZ311" i="3"/>
  <c r="AZ313" i="3"/>
  <c r="AZ179" i="3"/>
  <c r="AZ394" i="3"/>
  <c r="AZ503" i="3"/>
  <c r="AZ575" i="3"/>
  <c r="B72" i="43"/>
  <c r="C15" i="39"/>
  <c r="H25" i="37"/>
  <c r="F25" i="37"/>
  <c r="U8" i="39"/>
  <c r="AB8" i="39"/>
  <c r="AC9" i="39"/>
  <c r="W9" i="39"/>
  <c r="AA38" i="34"/>
  <c r="S38" i="34"/>
  <c r="S37" i="21"/>
  <c r="AC13" i="37"/>
  <c r="AZ384" i="3"/>
  <c r="AZ375" i="3"/>
  <c r="AZ493" i="3"/>
  <c r="AA14" i="37"/>
  <c r="AA14" i="40"/>
  <c r="S14" i="40"/>
  <c r="W45" i="33"/>
  <c r="AC45" i="33"/>
  <c r="AA44" i="34"/>
  <c r="S44" i="34"/>
  <c r="S12" i="36"/>
  <c r="AA12" i="36"/>
  <c r="H31" i="21"/>
  <c r="J31" i="21"/>
  <c r="H46" i="21"/>
  <c r="J46" i="21"/>
  <c r="F40" i="37"/>
  <c r="H40" i="37"/>
  <c r="S9" i="40"/>
  <c r="AA9" i="40"/>
  <c r="BL548" i="3"/>
  <c r="AZ548" i="3" s="1"/>
  <c r="BA546" i="3"/>
  <c r="AZ546" i="3" s="1"/>
  <c r="BA545" i="3"/>
  <c r="BA537" i="3"/>
  <c r="AZ537" i="3" s="1"/>
  <c r="BL536" i="3"/>
  <c r="BA536" i="3"/>
  <c r="BL534" i="3"/>
  <c r="AZ534" i="3" s="1"/>
  <c r="BA532" i="3"/>
  <c r="AZ532" i="3" s="1"/>
  <c r="BA529" i="3"/>
  <c r="AZ529" i="3" s="1"/>
  <c r="BL528" i="3"/>
  <c r="AZ528" i="3" s="1"/>
  <c r="BA526" i="3"/>
  <c r="AZ526" i="3" s="1"/>
  <c r="BA519" i="3"/>
  <c r="BA518" i="3"/>
  <c r="AZ518" i="3" s="1"/>
  <c r="BL516" i="3"/>
  <c r="BL514" i="3"/>
  <c r="AZ514" i="3" s="1"/>
  <c r="BA511" i="3"/>
  <c r="BA506" i="3"/>
  <c r="AZ506" i="3" s="1"/>
  <c r="BA500" i="3"/>
  <c r="AZ500" i="3" s="1"/>
  <c r="BL498" i="3"/>
  <c r="AZ498" i="3" s="1"/>
  <c r="BL496" i="3"/>
  <c r="AZ496" i="3" s="1"/>
  <c r="BA494" i="3"/>
  <c r="AZ494" i="3" s="1"/>
  <c r="BL519" i="3"/>
  <c r="AZ519" i="3" s="1"/>
  <c r="BL531" i="3"/>
  <c r="AZ531" i="3" s="1"/>
  <c r="AZ583" i="3"/>
  <c r="AZ574" i="3"/>
  <c r="U45" i="33"/>
  <c r="AB45" i="33"/>
  <c r="J36" i="39"/>
  <c r="AC36" i="39" s="1"/>
  <c r="AC33" i="33"/>
  <c r="W33" i="33"/>
  <c r="H28" i="33"/>
  <c r="J28" i="33"/>
  <c r="AA27" i="35"/>
  <c r="S27" i="35"/>
  <c r="J37" i="39"/>
  <c r="F37" i="39"/>
  <c r="BL554" i="3"/>
  <c r="AZ388" i="3"/>
  <c r="AZ345" i="3"/>
  <c r="AZ334" i="3"/>
  <c r="AZ372" i="3"/>
  <c r="AZ347" i="3"/>
  <c r="AZ337" i="3"/>
  <c r="AZ192" i="3"/>
  <c r="AZ123" i="3"/>
  <c r="AZ376" i="3"/>
  <c r="AZ324" i="3"/>
  <c r="AZ309" i="3"/>
  <c r="AC12" i="37"/>
  <c r="BL503" i="3"/>
  <c r="BL515" i="3"/>
  <c r="AZ515" i="3" s="1"/>
  <c r="BL523" i="3"/>
  <c r="AZ523" i="3" s="1"/>
  <c r="BL527" i="3"/>
  <c r="AZ527" i="3" s="1"/>
  <c r="BL547" i="3"/>
  <c r="AZ547" i="3" s="1"/>
  <c r="AZ579" i="3"/>
  <c r="AZ566" i="3"/>
  <c r="AZ576" i="3"/>
  <c r="AB46" i="34"/>
  <c r="U46" i="33"/>
  <c r="S41" i="33"/>
  <c r="H36" i="39"/>
  <c r="J27" i="21"/>
  <c r="F9" i="34"/>
  <c r="AA9" i="34" s="1"/>
  <c r="H9" i="34"/>
  <c r="J9" i="34"/>
  <c r="J12" i="34"/>
  <c r="F12" i="34"/>
  <c r="S12" i="34" s="1"/>
  <c r="H12" i="34"/>
  <c r="H23" i="36"/>
  <c r="J23" i="36"/>
  <c r="F33" i="36"/>
  <c r="J33" i="36"/>
  <c r="AC33" i="36" s="1"/>
  <c r="H31" i="39"/>
  <c r="J31" i="39"/>
  <c r="J39" i="40"/>
  <c r="H39" i="40"/>
  <c r="BA581" i="3"/>
  <c r="AZ581" i="3" s="1"/>
  <c r="BA580" i="3"/>
  <c r="AZ580" i="3" s="1"/>
  <c r="BA573" i="3"/>
  <c r="AZ573" i="3" s="1"/>
  <c r="BA572" i="3"/>
  <c r="G566" i="3"/>
  <c r="BA565" i="3"/>
  <c r="AZ565" i="3" s="1"/>
  <c r="BA564" i="3"/>
  <c r="AZ564" i="3" s="1"/>
  <c r="BL556" i="3"/>
  <c r="AZ556" i="3" s="1"/>
  <c r="AZ511" i="3"/>
  <c r="BL539" i="3"/>
  <c r="AZ539" i="3" s="1"/>
  <c r="BL543" i="3"/>
  <c r="AZ543" i="3" s="1"/>
  <c r="BL553" i="3"/>
  <c r="AZ513" i="3"/>
  <c r="AZ571" i="3"/>
  <c r="AZ568" i="3"/>
  <c r="AC40" i="33"/>
  <c r="W40" i="33"/>
  <c r="AB9" i="39"/>
  <c r="U9" i="39"/>
  <c r="AC40" i="39"/>
  <c r="W40" i="39"/>
  <c r="S34" i="40"/>
  <c r="AA34" i="40"/>
  <c r="BL574" i="3"/>
  <c r="BL572" i="3"/>
  <c r="G585" i="3"/>
  <c r="BL587" i="3"/>
  <c r="BL586" i="3"/>
  <c r="G574" i="3"/>
  <c r="BL15" i="3"/>
  <c r="AZ15" i="3" s="1"/>
  <c r="BA398" i="3"/>
  <c r="BA399" i="3"/>
  <c r="AZ399" i="3" s="1"/>
  <c r="BA401" i="3"/>
  <c r="G404" i="3"/>
  <c r="BL404" i="3"/>
  <c r="BL405" i="3"/>
  <c r="BA413" i="3"/>
  <c r="BA414" i="3"/>
  <c r="AZ414" i="3" s="1"/>
  <c r="BA415" i="3"/>
  <c r="BA416" i="3"/>
  <c r="AZ416" i="3" s="1"/>
  <c r="BA418" i="3"/>
  <c r="AZ418" i="3" s="1"/>
  <c r="BA425" i="3"/>
  <c r="BA426" i="3"/>
  <c r="BA427" i="3"/>
  <c r="AZ427" i="3" s="1"/>
  <c r="AZ458" i="3"/>
  <c r="AZ462" i="3"/>
  <c r="AZ404" i="3"/>
  <c r="AZ405" i="3"/>
  <c r="AZ419" i="3"/>
  <c r="G558" i="3"/>
  <c r="G399" i="3"/>
  <c r="BA402" i="3"/>
  <c r="AZ402" i="3" s="1"/>
  <c r="BA403" i="3"/>
  <c r="BL407" i="3"/>
  <c r="AZ407" i="3" s="1"/>
  <c r="BL410" i="3"/>
  <c r="BL413" i="3"/>
  <c r="G416" i="3"/>
  <c r="AB17" i="34"/>
  <c r="G551" i="3"/>
  <c r="BL550" i="3"/>
  <c r="G542" i="3"/>
  <c r="BA400" i="3"/>
  <c r="AZ400" i="3" s="1"/>
  <c r="BL401" i="3"/>
  <c r="BA406" i="3"/>
  <c r="AZ406" i="3" s="1"/>
  <c r="G409" i="3"/>
  <c r="BL411" i="3"/>
  <c r="BA420" i="3"/>
  <c r="BA422" i="3"/>
  <c r="AZ422" i="3" s="1"/>
  <c r="BL431" i="3"/>
  <c r="BL434" i="3"/>
  <c r="G437" i="3"/>
  <c r="AZ443" i="3"/>
  <c r="BL398" i="3"/>
  <c r="G402" i="3"/>
  <c r="BL403" i="3"/>
  <c r="G405" i="3"/>
  <c r="G406" i="3"/>
  <c r="BA408" i="3"/>
  <c r="AZ408" i="3" s="1"/>
  <c r="BA409" i="3"/>
  <c r="AZ409" i="3" s="1"/>
  <c r="BA411" i="3"/>
  <c r="BL414" i="3"/>
  <c r="BL415" i="3"/>
  <c r="BA417" i="3"/>
  <c r="BL421" i="3"/>
  <c r="AZ421" i="3" s="1"/>
  <c r="BL422" i="3"/>
  <c r="BL425" i="3"/>
  <c r="BL426" i="3"/>
  <c r="BA428" i="3"/>
  <c r="BA429" i="3"/>
  <c r="BA430" i="3"/>
  <c r="AZ430" i="3" s="1"/>
  <c r="BA432" i="3"/>
  <c r="BA434" i="3"/>
  <c r="AZ434" i="3" s="1"/>
  <c r="BA436" i="3"/>
  <c r="BA438" i="3"/>
  <c r="AZ438" i="3" s="1"/>
  <c r="G442" i="3"/>
  <c r="G443" i="3"/>
  <c r="BA446" i="3"/>
  <c r="BA450" i="3"/>
  <c r="AZ450" i="3" s="1"/>
  <c r="BA453" i="3"/>
  <c r="AZ453" i="3" s="1"/>
  <c r="BA455" i="3"/>
  <c r="AZ455" i="3" s="1"/>
  <c r="BL457" i="3"/>
  <c r="AZ457" i="3" s="1"/>
  <c r="BL460" i="3"/>
  <c r="AZ460" i="3" s="1"/>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AZ217" i="3"/>
  <c r="BA225" i="3"/>
  <c r="G229" i="3"/>
  <c r="BA231" i="3"/>
  <c r="AZ270" i="3"/>
  <c r="AZ451" i="3"/>
  <c r="AZ459" i="3"/>
  <c r="AZ461" i="3"/>
  <c r="AZ469" i="3"/>
  <c r="AZ483" i="3"/>
  <c r="BA333" i="3"/>
  <c r="BL346" i="3"/>
  <c r="AZ346" i="3" s="1"/>
  <c r="G349" i="3"/>
  <c r="G374" i="3"/>
  <c r="BA384" i="3"/>
  <c r="BA395" i="3"/>
  <c r="AZ395" i="3" s="1"/>
  <c r="BA208" i="3"/>
  <c r="AZ208" i="3" s="1"/>
  <c r="BA211" i="3"/>
  <c r="AZ211" i="3" s="1"/>
  <c r="BL215" i="3"/>
  <c r="BL219" i="3"/>
  <c r="BL438" i="3"/>
  <c r="BL439" i="3"/>
  <c r="AZ439" i="3" s="1"/>
  <c r="BA441" i="3"/>
  <c r="AZ441" i="3" s="1"/>
  <c r="BL445" i="3"/>
  <c r="BL446" i="3"/>
  <c r="BL449" i="3"/>
  <c r="AZ449" i="3" s="1"/>
  <c r="BL450" i="3"/>
  <c r="BL452" i="3"/>
  <c r="AZ452" i="3" s="1"/>
  <c r="G455" i="3"/>
  <c r="BL456" i="3"/>
  <c r="BA464" i="3"/>
  <c r="AZ464" i="3" s="1"/>
  <c r="BL467" i="3"/>
  <c r="AZ467" i="3" s="1"/>
  <c r="BL468" i="3"/>
  <c r="BL470" i="3"/>
  <c r="AZ470" i="3" s="1"/>
  <c r="BL473" i="3"/>
  <c r="AZ473" i="3" s="1"/>
  <c r="BL474" i="3"/>
  <c r="BA482" i="3"/>
  <c r="BA484" i="3"/>
  <c r="AZ484" i="3" s="1"/>
  <c r="BA303" i="3"/>
  <c r="AZ303" i="3" s="1"/>
  <c r="BA307" i="3"/>
  <c r="AZ307" i="3" s="1"/>
  <c r="BL314" i="3"/>
  <c r="AZ314" i="3" s="1"/>
  <c r="AZ228" i="3"/>
  <c r="BL417" i="3"/>
  <c r="BL418" i="3"/>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AZ478" i="3" s="1"/>
  <c r="BA481" i="3"/>
  <c r="G484" i="3"/>
  <c r="BA488" i="3"/>
  <c r="AZ488" i="3" s="1"/>
  <c r="BA491" i="3"/>
  <c r="AZ491" i="3" s="1"/>
  <c r="BL324" i="3"/>
  <c r="BL328" i="3"/>
  <c r="AZ328" i="3" s="1"/>
  <c r="BA335" i="3"/>
  <c r="AZ335" i="3" s="1"/>
  <c r="BA339" i="3"/>
  <c r="AZ339" i="3" s="1"/>
  <c r="BA348" i="3"/>
  <c r="BA350" i="3"/>
  <c r="AZ350" i="3" s="1"/>
  <c r="BA354" i="3"/>
  <c r="BA366" i="3"/>
  <c r="AZ366" i="3" s="1"/>
  <c r="BL375" i="3"/>
  <c r="BL385" i="3"/>
  <c r="AZ385" i="3" s="1"/>
  <c r="BA397" i="3"/>
  <c r="BL397" i="3"/>
  <c r="BA210" i="3"/>
  <c r="BL210" i="3"/>
  <c r="BL213" i="3"/>
  <c r="G218" i="3"/>
  <c r="BA220" i="3"/>
  <c r="BA233" i="3"/>
  <c r="AZ2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92" i="3"/>
  <c r="BA294" i="3"/>
  <c r="AZ294" i="3" s="1"/>
  <c r="BL295" i="3"/>
  <c r="BA298" i="3"/>
  <c r="AZ298" i="3" s="1"/>
  <c r="BL301" i="3"/>
  <c r="BL302" i="3"/>
  <c r="BA114" i="3"/>
  <c r="BL123" i="3"/>
  <c r="BA128" i="3"/>
  <c r="AZ128" i="3" s="1"/>
  <c r="BL134" i="3"/>
  <c r="BL137" i="3"/>
  <c r="G143" i="3"/>
  <c r="BA146" i="3"/>
  <c r="AZ146" i="3" s="1"/>
  <c r="BA150" i="3"/>
  <c r="AZ150" i="3" s="1"/>
  <c r="G159" i="3"/>
  <c r="BL167" i="3"/>
  <c r="AZ167" i="3" s="1"/>
  <c r="G175" i="3"/>
  <c r="BA176" i="3"/>
  <c r="AZ176" i="3" s="1"/>
  <c r="BL179" i="3"/>
  <c r="BA181" i="3"/>
  <c r="AZ181" i="3" s="1"/>
  <c r="BA182" i="3"/>
  <c r="BA194" i="3"/>
  <c r="AZ194" i="3" s="1"/>
  <c r="BA196" i="3"/>
  <c r="AZ196" i="3" s="1"/>
  <c r="BL206" i="3"/>
  <c r="BA22" i="3"/>
  <c r="BL24" i="3"/>
  <c r="BA30" i="3"/>
  <c r="BL34" i="3"/>
  <c r="BL270" i="3"/>
  <c r="BA272" i="3"/>
  <c r="AZ272" i="3" s="1"/>
  <c r="BL275" i="3"/>
  <c r="AZ275" i="3" s="1"/>
  <c r="BL285" i="3"/>
  <c r="BL287" i="3"/>
  <c r="AZ301"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AZ290" i="3" s="1"/>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BA173" i="3"/>
  <c r="AZ173" i="3" s="1"/>
  <c r="BA174" i="3"/>
  <c r="G178" i="3"/>
  <c r="BL178" i="3"/>
  <c r="AZ178" i="3" s="1"/>
  <c r="BA180" i="3"/>
  <c r="AZ180" i="3" s="1"/>
  <c r="BL182" i="3"/>
  <c r="G183" i="3"/>
  <c r="BA184" i="3"/>
  <c r="AZ184" i="3" s="1"/>
  <c r="BL187" i="3"/>
  <c r="AZ187" i="3" s="1"/>
  <c r="G188" i="3"/>
  <c r="BL189" i="3"/>
  <c r="AZ189" i="3" s="1"/>
  <c r="AZ52" i="3"/>
  <c r="BA396" i="3"/>
  <c r="BA209" i="3"/>
  <c r="BL217" i="3"/>
  <c r="BA219" i="3"/>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5" i="3"/>
  <c r="BL185" i="3"/>
  <c r="BL193" i="3"/>
  <c r="BA205" i="3"/>
  <c r="AZ205" i="3" s="1"/>
  <c r="BA19" i="3"/>
  <c r="BA27" i="3"/>
  <c r="BA33" i="3"/>
  <c r="BL35" i="3"/>
  <c r="C55" i="71"/>
  <c r="D54" i="71"/>
  <c r="AZ100" i="3"/>
  <c r="T32" i="71"/>
  <c r="D32" i="71"/>
  <c r="Y30" i="71"/>
  <c r="Z30" i="71" s="1"/>
  <c r="C34" i="71"/>
  <c r="Y28" i="71"/>
  <c r="Z28" i="71" s="1"/>
  <c r="C67" i="71"/>
  <c r="T68" i="71"/>
  <c r="O68" i="71"/>
  <c r="Y27" i="71"/>
  <c r="Z27" i="71" s="1"/>
  <c r="Y26" i="71"/>
  <c r="Z26" i="71" s="1"/>
  <c r="AA3" i="71"/>
  <c r="BL190" i="3"/>
  <c r="G191" i="3"/>
  <c r="BA192" i="3"/>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BA42" i="3"/>
  <c r="G46" i="3"/>
  <c r="G47" i="3"/>
  <c r="BL48" i="3"/>
  <c r="BL54" i="3"/>
  <c r="AZ54" i="3" s="1"/>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89" i="3"/>
  <c r="BL93" i="3"/>
  <c r="BL94" i="3"/>
  <c r="AZ94" i="3" s="1"/>
  <c r="BL101" i="3"/>
  <c r="BL102" i="3"/>
  <c r="AZ102" i="3" s="1"/>
  <c r="G104" i="3"/>
  <c r="G105" i="3"/>
  <c r="BL106" i="3"/>
  <c r="AZ106" i="3" s="1"/>
  <c r="BA108" i="3"/>
  <c r="BL111" i="3"/>
  <c r="D43" i="71"/>
  <c r="AB25" i="71"/>
  <c r="AB28" i="71"/>
  <c r="AB26" i="71"/>
  <c r="T40" i="71"/>
  <c r="D40" i="71"/>
  <c r="C47" i="71"/>
  <c r="D47" i="71" s="1"/>
  <c r="D46" i="71"/>
  <c r="C64" i="71"/>
  <c r="D63" i="71"/>
  <c r="T76" i="71"/>
  <c r="D76" i="71"/>
  <c r="C75" i="71"/>
  <c r="C23" i="71"/>
  <c r="B22" i="71"/>
  <c r="B21" i="71" s="1"/>
  <c r="B20" i="71" s="1"/>
  <c r="BL40" i="3"/>
  <c r="BL41" i="3"/>
  <c r="BL45" i="3"/>
  <c r="BA48" i="3"/>
  <c r="BA49" i="3"/>
  <c r="AZ49" i="3" s="1"/>
  <c r="BA51" i="3"/>
  <c r="BL56" i="3"/>
  <c r="BA58" i="3"/>
  <c r="BL59" i="3"/>
  <c r="BL60" i="3"/>
  <c r="BA61" i="3"/>
  <c r="AZ61" i="3" s="1"/>
  <c r="BA68" i="3"/>
  <c r="BA73" i="3"/>
  <c r="AZ73" i="3" s="1"/>
  <c r="BA80" i="3"/>
  <c r="BL84" i="3"/>
  <c r="BA103" i="3"/>
  <c r="AZ103" i="3" s="1"/>
  <c r="BA104" i="3"/>
  <c r="BA106" i="3"/>
  <c r="BL108" i="3"/>
  <c r="AB21" i="37"/>
  <c r="U21" i="37"/>
  <c r="T44" i="71"/>
  <c r="P65" i="71"/>
  <c r="P66" i="71"/>
  <c r="F28" i="71"/>
  <c r="F27" i="71" s="1"/>
  <c r="F26" i="71" s="1"/>
  <c r="E71" i="71"/>
  <c r="E70" i="71" s="1"/>
  <c r="B66" i="71"/>
  <c r="Y29" i="71"/>
  <c r="Z29" i="71" s="1"/>
  <c r="B35" i="71"/>
  <c r="B36" i="71" s="1"/>
  <c r="S36" i="71" s="1"/>
  <c r="B27" i="71"/>
  <c r="B26" i="71" s="1"/>
  <c r="S28" i="71"/>
  <c r="AB34" i="71"/>
  <c r="AB33" i="71"/>
  <c r="AB35" i="71"/>
  <c r="AA38" i="71"/>
  <c r="AA37" i="71"/>
  <c r="AA27" i="71"/>
  <c r="E59" i="71"/>
  <c r="E60" i="71" s="1"/>
  <c r="U60" i="71" s="1"/>
  <c r="S80" i="71"/>
  <c r="B79" i="71"/>
  <c r="B78"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AZ46" i="3" s="1"/>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G83" i="3"/>
  <c r="BA84" i="3"/>
  <c r="BL88" i="3"/>
  <c r="AZ88" i="3" s="1"/>
  <c r="G89" i="3"/>
  <c r="BA90" i="3"/>
  <c r="AZ90" i="3" s="1"/>
  <c r="BA109" i="3"/>
  <c r="BA111" i="3"/>
  <c r="AZ111" i="3" s="1"/>
  <c r="K13" i="1"/>
  <c r="M13" i="1" s="1"/>
  <c r="O13" i="1" s="1"/>
  <c r="P13" i="1" s="1"/>
  <c r="U21" i="33"/>
  <c r="AB21" i="33"/>
  <c r="C86" i="71"/>
  <c r="D86" i="71" s="1"/>
  <c r="D87" i="71"/>
  <c r="C51" i="71"/>
  <c r="X33" i="71"/>
  <c r="X34" i="71"/>
  <c r="X36" i="71"/>
  <c r="X35" i="71"/>
  <c r="AB37" i="71"/>
  <c r="F38" i="71"/>
  <c r="F39" i="71" s="1"/>
  <c r="F40" i="71" s="1"/>
  <c r="V40" i="71" s="1"/>
  <c r="X25" i="71"/>
  <c r="V24" i="71"/>
  <c r="E23" i="71"/>
  <c r="E22" i="71" s="1"/>
  <c r="E21" i="71" s="1"/>
  <c r="E20" i="71" s="1"/>
  <c r="E19" i="71" s="1"/>
  <c r="E18" i="71" s="1"/>
  <c r="E17" i="71" s="1"/>
  <c r="E16" i="71" s="1"/>
  <c r="X28" i="71"/>
  <c r="X32" i="71"/>
  <c r="G90" i="3"/>
  <c r="BL90" i="3"/>
  <c r="BL92" i="3"/>
  <c r="AZ92" i="3" s="1"/>
  <c r="G101" i="3"/>
  <c r="BA101" i="3"/>
  <c r="AZ101" i="3" s="1"/>
  <c r="G108" i="3"/>
  <c r="G109" i="3"/>
  <c r="BL112" i="3"/>
  <c r="U25" i="40"/>
  <c r="S21" i="34"/>
  <c r="B68" i="43"/>
  <c r="B88" i="43"/>
  <c r="D39" i="71"/>
  <c r="C27" i="71"/>
  <c r="Q68" i="71"/>
  <c r="U68" i="71"/>
  <c r="D30" i="71"/>
  <c r="X31" i="71"/>
  <c r="F35" i="71"/>
  <c r="F36" i="71" s="1"/>
  <c r="V36" i="71" s="1"/>
  <c r="AA34" i="71"/>
  <c r="B51" i="71"/>
  <c r="B52" i="71" s="1"/>
  <c r="S52" i="71" s="1"/>
  <c r="E51" i="71"/>
  <c r="E52" i="71" s="1"/>
  <c r="U52" i="71" s="1"/>
  <c r="D28" i="71"/>
  <c r="U28" i="71" s="1"/>
  <c r="AA30" i="71"/>
  <c r="F31" i="71"/>
  <c r="F32" i="71" s="1"/>
  <c r="V32" i="71" s="1"/>
  <c r="AB31" i="71"/>
  <c r="AB36" i="71"/>
  <c r="AA36" i="71"/>
  <c r="Y38" i="71"/>
  <c r="Z3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10" i="3"/>
  <c r="AZ431" i="3"/>
  <c r="AZ442" i="3"/>
  <c r="AZ456" i="3"/>
  <c r="AZ468" i="3"/>
  <c r="W35" i="39"/>
  <c r="F27" i="34"/>
  <c r="C21" i="39"/>
  <c r="U9" i="36"/>
  <c r="U14" i="37"/>
  <c r="H12" i="21"/>
  <c r="G526" i="3"/>
  <c r="AZ424" i="3"/>
  <c r="AZ446"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BA266" i="3"/>
  <c r="AZ266" i="3" s="1"/>
  <c r="G272" i="3"/>
  <c r="G275" i="3"/>
  <c r="BL276" i="3"/>
  <c r="BL279" i="3"/>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193" i="3"/>
  <c r="AZ87" i="3"/>
  <c r="BL202" i="3"/>
  <c r="AZ30" i="3"/>
  <c r="BL36" i="3"/>
  <c r="AZ36" i="3" s="1"/>
  <c r="AZ40" i="3"/>
  <c r="AZ48" i="3"/>
  <c r="AZ68" i="3"/>
  <c r="AZ104" i="3"/>
  <c r="G200" i="3"/>
  <c r="G207" i="3"/>
  <c r="BA23" i="3"/>
  <c r="AZ23" i="3" s="1"/>
  <c r="BA24" i="3"/>
  <c r="BL26" i="3"/>
  <c r="AZ26" i="3" s="1"/>
  <c r="BL32" i="3"/>
  <c r="BA34" i="3"/>
  <c r="AZ34" i="3" s="1"/>
  <c r="BA35" i="3"/>
  <c r="BL37" i="3"/>
  <c r="BL42" i="3"/>
  <c r="BA44" i="3"/>
  <c r="AZ44" i="3" s="1"/>
  <c r="BA206" i="3"/>
  <c r="AZ206" i="3" s="1"/>
  <c r="BL22" i="3"/>
  <c r="AZ22" i="3" s="1"/>
  <c r="BL33" i="3"/>
  <c r="AZ33" i="3" s="1"/>
  <c r="BL43" i="3"/>
  <c r="AZ43" i="3" s="1"/>
  <c r="BL46"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F66" i="67"/>
  <c r="L59" i="15"/>
  <c r="N59" i="15"/>
  <c r="L58" i="15"/>
  <c r="M59" i="15"/>
  <c r="F66" i="15"/>
  <c r="F64" i="15"/>
  <c r="C27" i="15"/>
  <c r="F65" i="15"/>
  <c r="B13" i="70"/>
  <c r="F68" i="15"/>
  <c r="C36" i="68"/>
  <c r="D9" i="69"/>
  <c r="C36" i="69"/>
  <c r="D9" i="68"/>
  <c r="M23" i="67"/>
  <c r="F13" i="67"/>
  <c r="F8" i="67"/>
  <c r="L47" i="67"/>
  <c r="F9" i="67"/>
  <c r="C16" i="15"/>
  <c r="F26" i="67"/>
  <c r="F7" i="67"/>
  <c r="F40" i="67"/>
  <c r="J15" i="67"/>
  <c r="F42" i="67"/>
  <c r="F37" i="67"/>
  <c r="D5" i="73"/>
  <c r="C76" i="67"/>
  <c r="F43" i="67"/>
  <c r="L48" i="67"/>
  <c r="D7" i="73"/>
  <c r="F36" i="67"/>
  <c r="M28" i="67"/>
  <c r="M6" i="67"/>
  <c r="M9" i="67"/>
  <c r="D3" i="73"/>
  <c r="D4" i="73"/>
  <c r="D6" i="73"/>
  <c r="M22" i="67"/>
  <c r="C30" i="68" l="1"/>
  <c r="C48" i="68"/>
  <c r="C28" i="15"/>
  <c r="C30" i="69"/>
  <c r="C31" i="12"/>
  <c r="C77" i="9"/>
  <c r="C74" i="9" s="1"/>
  <c r="C48" i="69"/>
  <c r="N370" i="46"/>
  <c r="G26" i="43"/>
  <c r="F26" i="43"/>
  <c r="D26" i="43" s="1"/>
  <c r="C25" i="43" s="1"/>
  <c r="P6" i="1"/>
  <c r="C13" i="12" s="1"/>
  <c r="G16" i="1"/>
  <c r="F10" i="39" s="1"/>
  <c r="S10" i="39" s="1"/>
  <c r="E26" i="43"/>
  <c r="H26" i="43"/>
  <c r="E14" i="6"/>
  <c r="Q16" i="1"/>
  <c r="F27" i="69" s="1"/>
  <c r="C47" i="69" s="1"/>
  <c r="D45" i="69" s="1"/>
  <c r="N94" i="46"/>
  <c r="H16" i="1"/>
  <c r="C28" i="67"/>
  <c r="Q71" i="67"/>
  <c r="L58" i="67"/>
  <c r="Q60" i="67" s="1"/>
  <c r="M59" i="67"/>
  <c r="L59" i="67"/>
  <c r="Q74" i="67" s="1"/>
  <c r="N59" i="67"/>
  <c r="C27" i="67"/>
  <c r="F64" i="67"/>
  <c r="F50" i="67"/>
  <c r="F31" i="67"/>
  <c r="M7" i="67"/>
  <c r="J6" i="67" s="1"/>
  <c r="J18" i="67" s="1"/>
  <c r="F71" i="67"/>
  <c r="F51" i="67"/>
  <c r="C6" i="67"/>
  <c r="C32" i="67" s="1"/>
  <c r="F65" i="67"/>
  <c r="L56" i="67"/>
  <c r="I54" i="67"/>
  <c r="J57" i="67"/>
  <c r="J55" i="67" s="1"/>
  <c r="J58" i="67" s="1"/>
  <c r="Q50" i="67" s="1"/>
  <c r="J53" i="67"/>
  <c r="Q52" i="67" s="1"/>
  <c r="F68" i="67"/>
  <c r="N65" i="71"/>
  <c r="N66" i="71"/>
  <c r="C22" i="71"/>
  <c r="D23" i="71"/>
  <c r="AB31" i="39"/>
  <c r="U31" i="39"/>
  <c r="AB23" i="36"/>
  <c r="U23" i="36"/>
  <c r="W28" i="33"/>
  <c r="AC28" i="33"/>
  <c r="AA40" i="37"/>
  <c r="S40" i="37"/>
  <c r="U31" i="21"/>
  <c r="AB31" i="21"/>
  <c r="U25" i="37"/>
  <c r="AB25" i="37"/>
  <c r="U14" i="40"/>
  <c r="AB14" i="40"/>
  <c r="AZ586" i="3"/>
  <c r="C52" i="71"/>
  <c r="D51" i="71"/>
  <c r="AC9" i="34"/>
  <c r="W9" i="34"/>
  <c r="U36" i="39"/>
  <c r="AB36" i="39"/>
  <c r="AA37" i="39"/>
  <c r="S37" i="39"/>
  <c r="J7" i="37"/>
  <c r="G5" i="3"/>
  <c r="B3" i="3" s="1"/>
  <c r="E510" i="3" s="1"/>
  <c r="AZ42" i="3"/>
  <c r="AZ32" i="3"/>
  <c r="AZ51" i="3"/>
  <c r="D75" i="71"/>
  <c r="C74" i="71"/>
  <c r="D74" i="71" s="1"/>
  <c r="AZ41" i="3"/>
  <c r="D34" i="71"/>
  <c r="C35" i="71"/>
  <c r="AZ271" i="3"/>
  <c r="AZ219" i="3"/>
  <c r="AZ302" i="3"/>
  <c r="AZ277" i="3"/>
  <c r="AZ256" i="3"/>
  <c r="AZ182" i="3"/>
  <c r="AZ210" i="3"/>
  <c r="AZ429" i="3"/>
  <c r="AZ415" i="3"/>
  <c r="AZ398" i="3"/>
  <c r="AZ572" i="3"/>
  <c r="U39" i="40"/>
  <c r="AB39" i="40"/>
  <c r="AB12" i="34"/>
  <c r="U12" i="34"/>
  <c r="AB9" i="34"/>
  <c r="U9" i="34"/>
  <c r="AC37" i="39"/>
  <c r="W37" i="39"/>
  <c r="U28" i="33"/>
  <c r="AB28" i="33"/>
  <c r="AC13" i="21"/>
  <c r="W13" i="21"/>
  <c r="W14" i="40"/>
  <c r="AC14" i="40"/>
  <c r="AZ587" i="3"/>
  <c r="AZ37" i="3"/>
  <c r="AZ165" i="3"/>
  <c r="AZ279" i="3"/>
  <c r="AZ246" i="3"/>
  <c r="AZ268" i="3"/>
  <c r="AZ428" i="3"/>
  <c r="AZ411" i="3"/>
  <c r="AZ425" i="3"/>
  <c r="AC39" i="40"/>
  <c r="W39" i="40"/>
  <c r="AA33" i="36"/>
  <c r="S33" i="36"/>
  <c r="U46" i="21"/>
  <c r="AB46" i="21"/>
  <c r="AB13" i="21"/>
  <c r="U13" i="21"/>
  <c r="AZ550" i="3"/>
  <c r="AZ85" i="3"/>
  <c r="AZ35" i="3"/>
  <c r="AZ24" i="3"/>
  <c r="AZ202" i="3"/>
  <c r="AZ174" i="3"/>
  <c r="AZ296" i="3"/>
  <c r="AZ264" i="3"/>
  <c r="AZ475" i="3"/>
  <c r="AA12" i="34"/>
  <c r="F28" i="6"/>
  <c r="C26" i="71"/>
  <c r="D26" i="71" s="1"/>
  <c r="D27" i="71"/>
  <c r="AZ84" i="3"/>
  <c r="AZ45" i="3"/>
  <c r="AZ58" i="3"/>
  <c r="B19" i="71"/>
  <c r="B18" i="71" s="1"/>
  <c r="B17" i="71" s="1"/>
  <c r="B16" i="71" s="1"/>
  <c r="S20" i="71"/>
  <c r="AZ108" i="3"/>
  <c r="AZ27" i="3"/>
  <c r="D67" i="71"/>
  <c r="C66" i="71"/>
  <c r="O67" i="71"/>
  <c r="C56" i="71"/>
  <c r="D55" i="71"/>
  <c r="AZ19" i="3"/>
  <c r="AZ274" i="3"/>
  <c r="AZ282" i="3"/>
  <c r="AZ397" i="3"/>
  <c r="AZ432" i="3"/>
  <c r="AZ417" i="3"/>
  <c r="AZ403" i="3"/>
  <c r="AZ413" i="3"/>
  <c r="AZ401" i="3"/>
  <c r="W31" i="39"/>
  <c r="AC31" i="39"/>
  <c r="AC23" i="36"/>
  <c r="W23" i="36"/>
  <c r="W12" i="34"/>
  <c r="AC12" i="34"/>
  <c r="W27" i="21"/>
  <c r="AC27" i="21"/>
  <c r="AZ536" i="3"/>
  <c r="U40" i="37"/>
  <c r="AB40" i="37"/>
  <c r="AC31" i="21"/>
  <c r="W31" i="21"/>
  <c r="AA25" i="37"/>
  <c r="S25" i="37"/>
  <c r="K1" i="73"/>
  <c r="E212" i="3"/>
  <c r="E575" i="3"/>
  <c r="E499" i="3"/>
  <c r="E466" i="3"/>
  <c r="E449" i="3"/>
  <c r="E255" i="3"/>
  <c r="E517" i="3"/>
  <c r="E417" i="3"/>
  <c r="E479" i="3"/>
  <c r="E152" i="3"/>
  <c r="E241" i="3"/>
  <c r="E292" i="3"/>
  <c r="E544" i="3"/>
  <c r="E409" i="3"/>
  <c r="E484" i="3"/>
  <c r="E46" i="3"/>
  <c r="E267" i="3"/>
  <c r="E249" i="3"/>
  <c r="E492" i="3"/>
  <c r="E67" i="3"/>
  <c r="E33" i="3"/>
  <c r="E355" i="3"/>
  <c r="E63" i="3"/>
  <c r="E81" i="3"/>
  <c r="E513" i="3"/>
  <c r="E198" i="3"/>
  <c r="E281" i="3"/>
  <c r="E42" i="3"/>
  <c r="E18" i="3"/>
  <c r="E96" i="3"/>
  <c r="E383" i="3"/>
  <c r="E34" i="3"/>
  <c r="E206" i="3"/>
  <c r="E113" i="3"/>
  <c r="E22" i="3"/>
  <c r="E205" i="3"/>
  <c r="E525" i="3"/>
  <c r="E405" i="3"/>
  <c r="E456" i="3"/>
  <c r="E451" i="3"/>
  <c r="E360" i="3"/>
  <c r="E497" i="3"/>
  <c r="E452" i="3"/>
  <c r="E420" i="3"/>
  <c r="E26" i="3"/>
  <c r="E115" i="3"/>
  <c r="E225" i="3"/>
  <c r="E243" i="3"/>
  <c r="E412" i="3"/>
  <c r="E78" i="3"/>
  <c r="E220" i="3"/>
  <c r="E342" i="3"/>
  <c r="E49" i="3"/>
  <c r="E232" i="3"/>
  <c r="E158" i="3"/>
  <c r="E326" i="3"/>
  <c r="E83" i="3"/>
  <c r="E188" i="3"/>
  <c r="E223" i="3"/>
  <c r="E105" i="3"/>
  <c r="E493" i="3"/>
  <c r="E543" i="3"/>
  <c r="E427" i="3"/>
  <c r="E422" i="3"/>
  <c r="E440" i="3"/>
  <c r="E490" i="3"/>
  <c r="J6" i="3"/>
  <c r="E498" i="3"/>
  <c r="E401" i="3"/>
  <c r="E40" i="3"/>
  <c r="E108" i="3"/>
  <c r="E178" i="3"/>
  <c r="E276" i="3"/>
  <c r="E346" i="3"/>
  <c r="E333" i="3"/>
  <c r="E60" i="3"/>
  <c r="E43" i="3"/>
  <c r="E473" i="3"/>
  <c r="E455" i="3"/>
  <c r="E38" i="3"/>
  <c r="E170" i="3"/>
  <c r="E234" i="3"/>
  <c r="E299" i="3"/>
  <c r="E339" i="3"/>
  <c r="AQ6" i="3"/>
  <c r="E52" i="3"/>
  <c r="E112" i="3"/>
  <c r="E147" i="3"/>
  <c r="E340" i="3"/>
  <c r="E364" i="3"/>
  <c r="E62" i="3"/>
  <c r="E176" i="3"/>
  <c r="E218" i="3"/>
  <c r="E524" i="3"/>
  <c r="E101" i="3"/>
  <c r="E141" i="3"/>
  <c r="E398" i="3"/>
  <c r="E460" i="3"/>
  <c r="E90" i="3"/>
  <c r="E58" i="3"/>
  <c r="E521" i="3"/>
  <c r="E65" i="3"/>
  <c r="E250" i="3"/>
  <c r="E51" i="3"/>
  <c r="E244"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E58" i="40"/>
  <c r="E62" i="39"/>
  <c r="E3" i="6"/>
  <c r="D5" i="43"/>
  <c r="J10" i="39"/>
  <c r="W10" i="39" s="1"/>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AE7" i="1"/>
  <c r="AE8" i="1"/>
  <c r="AE12" i="1"/>
  <c r="AE10" i="1"/>
  <c r="AE6" i="1"/>
  <c r="C16" i="67"/>
  <c r="F41" i="67"/>
  <c r="G1" i="73"/>
  <c r="AA10" i="39" l="1"/>
  <c r="F1" i="67"/>
  <c r="Q73" i="67"/>
  <c r="C49" i="67"/>
  <c r="F27" i="68"/>
  <c r="F45" i="68" s="1"/>
  <c r="F10" i="40"/>
  <c r="S10" i="40" s="1"/>
  <c r="H10" i="39"/>
  <c r="U10" i="39" s="1"/>
  <c r="H10" i="40"/>
  <c r="AB10" i="40" s="1"/>
  <c r="J10" i="40"/>
  <c r="AC10" i="40" s="1"/>
  <c r="F27" i="11"/>
  <c r="C29" i="11" s="1"/>
  <c r="D27" i="11" s="1"/>
  <c r="Q61" i="67"/>
  <c r="F45" i="69"/>
  <c r="J5" i="67"/>
  <c r="J24" i="67" s="1"/>
  <c r="E312" i="3"/>
  <c r="E24" i="3"/>
  <c r="E155" i="3"/>
  <c r="E552" i="3"/>
  <c r="E365" i="3"/>
  <c r="E50" i="3"/>
  <c r="E123" i="3"/>
  <c r="E392" i="3"/>
  <c r="E137" i="3"/>
  <c r="E15" i="3"/>
  <c r="L6" i="3"/>
  <c r="E202" i="3"/>
  <c r="E463" i="3"/>
  <c r="AH6" i="3"/>
  <c r="E486" i="3"/>
  <c r="E393" i="3"/>
  <c r="E16" i="3"/>
  <c r="E370" i="3"/>
  <c r="E324" i="3"/>
  <c r="E428" i="3"/>
  <c r="E104" i="3"/>
  <c r="E13" i="3"/>
  <c r="E408" i="3"/>
  <c r="E173" i="3"/>
  <c r="E102" i="3"/>
  <c r="E235" i="3"/>
  <c r="AL6" i="3"/>
  <c r="E309" i="3"/>
  <c r="E233" i="3"/>
  <c r="E310" i="3"/>
  <c r="E64" i="3"/>
  <c r="E389" i="3"/>
  <c r="E95" i="3"/>
  <c r="E554" i="3"/>
  <c r="E442" i="3"/>
  <c r="E536" i="3"/>
  <c r="E63" i="39"/>
  <c r="E59" i="40"/>
  <c r="C29" i="69"/>
  <c r="D27" i="69" s="1"/>
  <c r="F28" i="12"/>
  <c r="C29" i="12" s="1"/>
  <c r="D28" i="12" s="1"/>
  <c r="T52" i="71"/>
  <c r="D52"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D56" i="71"/>
  <c r="T56" i="71"/>
  <c r="D22" i="71"/>
  <c r="C21" i="7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28" i="6"/>
  <c r="F30" i="6"/>
  <c r="F31" i="6" s="1"/>
  <c r="K26" i="6"/>
  <c r="M26" i="6" s="1"/>
  <c r="I26" i="6" s="1"/>
  <c r="S26" i="6" s="1"/>
  <c r="O65" i="71"/>
  <c r="D66" i="71"/>
  <c r="O6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F41" i="15"/>
  <c r="M27" i="67"/>
  <c r="M27" i="15"/>
  <c r="F25" i="12" l="1"/>
  <c r="C26" i="12" s="1"/>
  <c r="D25" i="12" s="1"/>
  <c r="W10" i="40"/>
  <c r="C47" i="11"/>
  <c r="D45" i="11" s="1"/>
  <c r="C48" i="67"/>
  <c r="C60" i="67" s="1"/>
  <c r="C29" i="68"/>
  <c r="D27" i="68" s="1"/>
  <c r="C47" i="68"/>
  <c r="D45" i="68" s="1"/>
  <c r="U10" i="40"/>
  <c r="F22" i="68"/>
  <c r="D116" i="43"/>
  <c r="F22" i="11"/>
  <c r="C24" i="11" s="1"/>
  <c r="F24" i="67"/>
  <c r="C24" i="67" s="1"/>
  <c r="F24" i="15"/>
  <c r="C24" i="15" s="1"/>
  <c r="F22" i="69"/>
  <c r="F41" i="69" s="1"/>
  <c r="D36" i="71"/>
  <c r="T36" i="71"/>
  <c r="D21" i="71"/>
  <c r="C20" i="71"/>
  <c r="K14" i="1"/>
  <c r="C34" i="69" s="1"/>
  <c r="E30" i="6"/>
  <c r="E31" i="6" s="1"/>
  <c r="O36" i="43"/>
  <c r="Q36" i="43"/>
  <c r="N36" i="43"/>
  <c r="M36" i="43"/>
  <c r="P36" i="43"/>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D10" i="68"/>
  <c r="C14" i="67"/>
  <c r="C17" i="67"/>
  <c r="C17" i="15"/>
  <c r="C66" i="67" l="1"/>
  <c r="F41" i="68"/>
  <c r="H25" i="6"/>
  <c r="C44" i="11"/>
  <c r="D41" i="11" s="1"/>
  <c r="C26" i="68"/>
  <c r="D22" i="68" s="1"/>
  <c r="C44" i="68"/>
  <c r="D41" i="68" s="1"/>
  <c r="C26" i="11"/>
  <c r="D22" i="11" s="1"/>
  <c r="C23" i="11"/>
  <c r="C25" i="11"/>
  <c r="C26" i="69"/>
  <c r="D22" i="69" s="1"/>
  <c r="C44" i="69"/>
  <c r="D41" i="69" s="1"/>
  <c r="C19" i="71"/>
  <c r="T20" i="71"/>
  <c r="D20" i="71"/>
  <c r="U20" i="71" s="1"/>
  <c r="K16" i="1"/>
  <c r="M14" i="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D27" i="6"/>
  <c r="D31" i="6" s="1"/>
  <c r="D8" i="74"/>
  <c r="D7" i="74"/>
  <c r="R21" i="6"/>
  <c r="R8" i="1" s="1"/>
  <c r="C10" i="69"/>
  <c r="C8" i="69" s="1"/>
  <c r="C5" i="69" s="1"/>
  <c r="D19" i="69"/>
  <c r="C4" i="52"/>
  <c r="B45" i="72" s="1"/>
  <c r="A10" i="51"/>
  <c r="B9" i="72" s="1"/>
  <c r="A7" i="51"/>
  <c r="B7" i="72" s="1"/>
  <c r="R25" i="6"/>
  <c r="R12" i="1" s="1"/>
  <c r="C10" i="68"/>
  <c r="B29" i="1" s="1"/>
  <c r="C8" i="68" s="1"/>
  <c r="C5" i="68" s="1"/>
  <c r="C23" i="68" s="1"/>
  <c r="D19" i="68"/>
  <c r="H69" i="39"/>
  <c r="I67" i="39"/>
  <c r="G65" i="40"/>
  <c r="H63" i="40"/>
  <c r="C43" i="37"/>
  <c r="C42" i="37"/>
  <c r="U6" i="1" s="1"/>
  <c r="I48" i="35"/>
  <c r="C48" i="33"/>
  <c r="C49" i="33"/>
  <c r="H58" i="21"/>
  <c r="E47" i="37"/>
  <c r="F47" i="37" s="1"/>
  <c r="E46" i="37"/>
  <c r="F46" i="37" s="1"/>
  <c r="I47" i="37"/>
  <c r="J47" i="37" s="1"/>
  <c r="E53" i="33"/>
  <c r="F53" i="33" s="1"/>
  <c r="E52" i="33"/>
  <c r="F52" i="33" s="1"/>
  <c r="C33" i="67"/>
  <c r="J19" i="67"/>
  <c r="B6" i="76"/>
  <c r="F6" i="15"/>
  <c r="E6" i="76"/>
  <c r="C14" i="15"/>
  <c r="C6" i="15" l="1"/>
  <c r="C22" i="11"/>
  <c r="C31" i="11" s="1"/>
  <c r="C18" i="12"/>
  <c r="O14" i="1"/>
  <c r="O16" i="1" s="1"/>
  <c r="M16" i="1"/>
  <c r="C34" i="11" s="1"/>
  <c r="D19" i="71"/>
  <c r="C18" i="71"/>
  <c r="C19" i="67"/>
  <c r="C20" i="67" s="1"/>
  <c r="C26" i="67" s="1"/>
  <c r="T16" i="1"/>
  <c r="C18" i="15"/>
  <c r="C15" i="15"/>
  <c r="C36" i="11"/>
  <c r="C37"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2" i="15" l="1"/>
  <c r="C10" i="15"/>
  <c r="C5" i="15" s="1"/>
  <c r="C38" i="15" s="1"/>
  <c r="C33" i="15"/>
  <c r="P14" i="1"/>
  <c r="P16" i="1" s="1"/>
  <c r="C11" i="12" s="1"/>
  <c r="N16" i="1"/>
  <c r="L16" i="1"/>
  <c r="C34" i="68"/>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5" i="12" l="1"/>
  <c r="C12" i="12"/>
  <c r="C16" i="71"/>
  <c r="D17" i="71"/>
  <c r="F50" i="69"/>
  <c r="F50" i="68"/>
  <c r="F50" i="11"/>
  <c r="C35" i="68"/>
  <c r="C38" i="68"/>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15"/>
  <c r="M21" i="15"/>
  <c r="M21" i="67"/>
  <c r="F35" i="67"/>
  <c r="C16" i="12" l="1"/>
  <c r="C21" i="12" s="1"/>
  <c r="C22" i="12" s="1"/>
  <c r="C30" i="12" s="1"/>
  <c r="C28" i="12" s="1"/>
  <c r="C33" i="68"/>
  <c r="C42" i="68" s="1"/>
  <c r="E48" i="21"/>
  <c r="E53" i="21" s="1"/>
  <c r="F53" i="21" s="1"/>
  <c r="C15" i="7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39" i="68" l="1"/>
  <c r="C43" i="68" s="1"/>
  <c r="C41" i="68" s="1"/>
  <c r="C27" i="12"/>
  <c r="C25" i="12" s="1"/>
  <c r="C32" i="12" s="1"/>
  <c r="B2" i="12" s="1"/>
  <c r="B3" i="12"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52" i="68" s="1"/>
  <c r="B2" i="68" s="1"/>
  <c r="B3"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11" i="71" l="1"/>
  <c r="T12" i="71"/>
  <c r="D12" i="71"/>
  <c r="U12" i="71" s="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D19" i="9"/>
  <c r="AO12" i="1"/>
  <c r="AO11" i="1"/>
  <c r="AO10" i="1"/>
  <c r="AO8" i="1"/>
  <c r="AO7" i="1"/>
  <c r="D102" i="9" l="1"/>
  <c r="D21" i="9"/>
  <c r="B3" i="37"/>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9"/>
  <c r="AO6" i="1"/>
  <c r="D103" i="9" l="1"/>
  <c r="C102" i="9"/>
  <c r="D22" i="9"/>
  <c r="G19" i="9"/>
  <c r="G21" i="9" s="1"/>
  <c r="C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103"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B22" i="72"/>
  <c r="B31" i="72"/>
  <c r="D53" i="9"/>
  <c r="D52" i="9"/>
  <c r="C105" i="9"/>
  <c r="I4" i="52"/>
  <c r="N61" i="9"/>
  <c r="N59" i="9"/>
  <c r="N60" i="9"/>
  <c r="C5" i="74"/>
  <c r="B30" i="72"/>
  <c r="E81" i="9"/>
  <c r="D59" i="9"/>
  <c r="M55" i="9"/>
  <c r="M48" i="9"/>
  <c r="C104" i="9"/>
  <c r="H4" i="52"/>
  <c r="E97" i="9"/>
  <c r="M54" i="9"/>
  <c r="G4" i="52"/>
  <c r="B52" i="72"/>
  <c r="C78" i="9"/>
  <c r="C73" i="9"/>
  <c r="D55" i="9"/>
  <c r="M53" i="9"/>
  <c r="N57" i="9"/>
  <c r="D13" i="53"/>
  <c r="D14" i="53"/>
  <c r="B32" i="72"/>
  <c r="B20" i="72"/>
  <c r="D5" i="53"/>
  <c r="D6" i="53"/>
  <c r="C93" i="9"/>
  <c r="C86" i="9"/>
  <c r="F4" i="52"/>
  <c r="B51" i="72"/>
  <c r="D9" i="52"/>
  <c r="D123" i="9"/>
  <c r="D122" i="9"/>
  <c r="D8" i="52"/>
  <c r="C68" i="9"/>
  <c r="D54" i="9"/>
  <c r="C97" i="9"/>
  <c r="D58" i="9"/>
  <c r="D56" i="9"/>
  <c r="D119" i="9"/>
  <c r="D5" i="52"/>
  <c r="B49" i="72"/>
  <c r="C81" i="9"/>
  <c r="H102" i="9"/>
  <c r="D7" i="53"/>
  <c r="B21" i="72"/>
  <c r="C64" i="9"/>
  <c r="C63" i="9"/>
  <c r="C67" i="9"/>
  <c r="C96" i="9"/>
  <c r="E96" i="9"/>
  <c r="C85" i="9"/>
  <c r="C95" i="9"/>
  <c r="C6" i="74"/>
  <c r="H107" i="9"/>
  <c r="H108" i="9"/>
  <c r="D15" i="53"/>
  <c r="E4" i="52"/>
  <c r="B48" i="72"/>
  <c r="G118" i="9"/>
  <c r="F118" i="9"/>
  <c r="F119" i="9"/>
  <c r="F5" i="52"/>
  <c r="B53" i="72"/>
  <c r="E118" i="9"/>
  <c r="D118" i="9"/>
  <c r="D4" i="52"/>
  <c r="B47" i="72"/>
  <c r="H119" i="9"/>
  <c r="H5" i="52"/>
  <c r="C80" i="9"/>
  <c r="E80"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<sst xmlns="http://schemas.openxmlformats.org/spreadsheetml/2006/main" count="8083" uniqueCount="3446">
  <si>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</si>
  <si>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</si>
  <si>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</si>
  <si>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</si>
  <si>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</si>
  <si>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</si>
  <si>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</si>
  <si>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</si>
  <si>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</si>
  <si>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</si>
  <si>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</si>
  <si>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</si>
  <si>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</si>
  <si>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</si>
  <si>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</si>
  <si>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</si>
  <si>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</si>
  <si>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</si>
  <si>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</si>
  <si>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</si>
  <si>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</si>
  <si>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</si>
  <si>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</si>
  <si>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</si>
  <si>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</si>
  <si>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</si>
  <si>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</si>
  <si>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</si>
  <si>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</si>
  <si>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</si>
  <si>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</si>
  <si>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</si>
  <si>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</si>
  <si>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</si>
  <si>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</si>
  <si>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</si>
  <si>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</si>
  <si>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</si>
  <si>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</si>
  <si>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</si>
  <si>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</si>
  <si>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</si>
  <si>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</si>
  <si>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</si>
  <si>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</si>
  <si>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</si>
  <si>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</si>
  <si>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</si>
  <si>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</si>
  <si>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</si>
  <si>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</si>
  <si>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</si>
  <si>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</si>
  <si>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</si>
  <si>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</si>
  <si>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</si>
  <si>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</si>
  <si>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</si>
  <si>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</si>
  <si>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</si>
  <si>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</si>
  <si>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</si>
  <si>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</si>
  <si>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</si>
  <si>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</si>
  <si>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</si>
  <si>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</si>
  <si>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</si>
  <si>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</si>
  <si>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</si>
  <si>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</si>
  <si>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</si>
  <si>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</si>
  <si>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</si>
  <si>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</si>
  <si>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</si>
  <si>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</si>
  <si>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</si>
  <si>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</si>
  <si>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</si>
  <si>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</si>
  <si>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</si>
  <si>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</si>
  <si>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</si>
  <si>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</si>
  <si>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</si>
  <si>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</si>
  <si>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</si>
  <si>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</si>
  <si>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</si>
  <si>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</si>
  <si>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</si>
  <si>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</si>
  <si>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</si>
  <si>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</si>
  <si>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</si>
  <si>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</si>
  <si>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</si>
  <si>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</si>
  <si>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</si>
  <si>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</si>
  <si>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</si>
  <si>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</si>
  <si>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</si>
  <si>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</si>
  <si>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</si>
  <si>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</si>
  <si>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</si>
  <si>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</si>
  <si>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</si>
  <si>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</si>
  <si>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</si>
  <si>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</si>
  <si>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</si>
  <si>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</si>
  <si>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</si>
  <si>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</si>
  <si>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</si>
  <si>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</si>
  <si>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</si>
  <si>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</si>
  <si>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</si>
  <si>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</si>
  <si>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</si>
  <si>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</si>
  <si>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</si>
  <si>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</si>
  <si>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</si>
  <si>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</si>
  <si>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</si>
  <si>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</si>
  <si>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</si>
  <si>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</si>
  <si>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</si>
  <si>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</si>
  <si>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</si>
  <si>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</si>
  <si>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</si>
  <si>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</si>
  <si>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</si>
  <si>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</si>
  <si>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</si>
  <si>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</si>
  <si>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</si>
  <si>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</si>
  <si>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</si>
  <si>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</si>
  <si>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</si>
  <si>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</si>
  <si>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</si>
  <si>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</si>
  <si>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</si>
  <si>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</si>
  <si>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</si>
  <si>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</si>
  <si>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</si>
  <si>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</si>
  <si>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</si>
  <si>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</si>
  <si>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</si>
  <si>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</si>
  <si>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</si>
  <si>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</si>
  <si>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</si>
  <si>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</si>
  <si>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</si>
  <si>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</si>
  <si>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</si>
  <si>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</si>
  <si>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</si>
  <si>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</si>
  <si>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</si>
  <si>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</si>
  <si>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</si>
  <si>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</si>
  <si>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</si>
  <si>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</si>
  <si>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</si>
  <si>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</si>
  <si>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</si>
  <si>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</si>
  <si>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</si>
  <si>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</si>
  <si>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</si>
  <si>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</si>
  <si>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</si>
  <si>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</si>
  <si>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</si>
  <si>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</si>
  <si>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</si>
  <si>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</si>
  <si>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</si>
  <si>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</si>
  <si>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</si>
  <si>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</si>
  <si>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</si>
  <si>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</si>
  <si>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</si>
  <si>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</si>
  <si>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</si>
  <si>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</si>
  <si>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</si>
  <si>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</si>
  <si>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</si>
  <si>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</si>
  <si>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</si>
  <si>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</si>
  <si>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</si>
  <si>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</si>
  <si>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</si>
  <si>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</si>
  <si>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</si>
  <si>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</si>
  <si>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</si>
  <si>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</si>
  <si>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</si>
  <si>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</si>
  <si>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</si>
  <si>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</si>
  <si>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</si>
  <si>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</si>
  <si>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</si>
  <si>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</si>
  <si>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</si>
  <si>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</si>
  <si>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</si>
  <si>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</si>
  <si>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</si>
  <si>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</si>
  <si>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</si>
  <si>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</si>
  <si>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</si>
  <si>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</si>
  <si>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</si>
  <si>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</si>
  <si>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</si>
  <si>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</si>
  <si>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</si>
  <si>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</si>
  <si>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</si>
  <si>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</si>
  <si>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</si>
  <si>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</si>
  <si>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</si>
  <si>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</si>
  <si>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</si>
  <si>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</si>
  <si>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</si>
  <si>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</si>
  <si>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</si>
  <si>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</si>
  <si>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</si>
  <si>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</si>
  <si>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</si>
  <si>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</si>
  <si>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</si>
  <si>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</si>
  <si>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</si>
  <si>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</si>
  <si>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</si>
  <si>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</si>
  <si>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</si>
  <si>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</si>
  <si>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</si>
  <si>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</si>
  <si>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</si>
  <si>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</si>
  <si>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</si>
  <si>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</si>
  <si>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</si>
  <si>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</si>
  <si>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</si>
  <si>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</si>
  <si>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</si>
  <si>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</si>
  <si>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</si>
  <si>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</si>
  <si>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</si>
  <si>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</si>
  <si>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</si>
  <si>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</si>
  <si>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</si>
  <si>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</si>
  <si>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</si>
  <si>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</si>
  <si>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</si>
  <si>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</si>
  <si>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</si>
  <si>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</si>
  <si>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</si>
  <si>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</si>
  <si>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</si>
  <si>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</si>
  <si>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</si>
  <si>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</si>
  <si>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</si>
  <si>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</si>
  <si>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</si>
  <si>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</si>
  <si>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</si>
  <si>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</si>
  <si>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</si>
  <si>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</si>
  <si>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</si>
  <si>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</si>
  <si>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</si>
  <si>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</si>
  <si>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</si>
  <si>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</si>
  <si>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</si>
  <si>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</si>
  <si>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</si>
  <si>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</si>
  <si>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</si>
  <si>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</si>
  <si>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</si>
  <si>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</si>
  <si>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</si>
  <si>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</si>
  <si>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</si>
  <si>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</si>
  <si>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</si>
  <si>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</si>
  <si>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</si>
  <si>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</si>
  <si>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</si>
  <si>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</si>
  <si>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</si>
  <si>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</si>
  <si>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</si>
  <si>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</si>
  <si>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</si>
  <si>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</si>
  <si>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</si>
  <si>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</si>
  <si>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</si>
  <si>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</si>
  <si>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</si>
  <si>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</si>
  <si>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</si>
  <si>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</si>
  <si>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</si>
  <si>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</si>
  <si>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</si>
  <si>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</si>
  <si>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</si>
  <si>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</si>
  <si>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</si>
  <si>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</si>
  <si>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</si>
  <si>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</si>
  <si>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</si>
  <si>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</si>
  <si>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</si>
  <si>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</si>
  <si>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</si>
  <si>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</si>
  <si>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</si>
  <si>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</si>
  <si>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</si>
  <si>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</si>
  <si>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</si>
  <si>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</si>
  <si>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</si>
  <si>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</si>
  <si>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</si>
  <si>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</si>
  <si>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</si>
  <si>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</si>
  <si>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</si>
  <si>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</si>
  <si>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</si>
  <si>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</si>
  <si>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</si>
  <si>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</si>
  <si>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</si>
  <si>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</si>
  <si>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</si>
  <si>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</si>
  <si>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</si>
  <si>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</si>
  <si>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</si>
  <si>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</si>
  <si>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</si>
  <si>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</si>
  <si>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</si>
  <si>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</si>
  <si>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</si>
  <si>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</si>
  <si>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</si>
  <si>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</si>
  <si>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</si>
  <si>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</si>
  <si>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</si>
  <si>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</si>
  <si>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</si>
  <si>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</si>
  <si>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</si>
  <si>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</si>
  <si>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</si>
  <si>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</si>
  <si>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</si>
  <si>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</si>
  <si>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</si>
  <si>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</si>
  <si>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</si>
  <si>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</si>
  <si>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</si>
  <si>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</si>
  <si>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</si>
  <si>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</si>
  <si>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</si>
  <si>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</si>
  <si>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</si>
  <si>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</si>
  <si>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</si>
  <si>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</si>
  <si>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</si>
  <si>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</si>
  <si>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</si>
  <si>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</si>
  <si>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</si>
  <si>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</si>
  <si>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</si>
  <si>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</si>
  <si>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</si>
  <si>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</si>
  <si>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</si>
  <si>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</si>
  <si>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</si>
  <si>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</si>
  <si>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</si>
  <si>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</si>
  <si>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</si>
  <si>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</si>
  <si>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</si>
  <si>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</si>
  <si>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</si>
  <si>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</si>
  <si>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</si>
  <si>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</si>
  <si>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</si>
  <si>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</si>
  <si>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</si>
  <si>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</si>
  <si>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</si>
  <si>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</si>
  <si>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</si>
  <si>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</si>
  <si>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</si>
  <si>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</si>
  <si>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</si>
  <si>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</si>
  <si>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</si>
  <si>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</si>
  <si>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</si>
  <si>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</si>
  <si>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</si>
  <si>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</si>
  <si>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</si>
  <si>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</si>
  <si>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</si>
  <si>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</si>
  <si>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</si>
  <si>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</si>
  <si>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</si>
  <si>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</si>
  <si>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</si>
  <si>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</si>
  <si>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</si>
  <si>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</si>
  <si>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</si>
  <si>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</si>
  <si>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</si>
  <si>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</si>
  <si>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</si>
  <si>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</si>
  <si>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</si>
  <si>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</si>
  <si>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</si>
  <si>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</si>
  <si>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</si>
  <si>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</si>
  <si>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</si>
  <si>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</si>
  <si>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</si>
  <si>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</si>
  <si>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</si>
  <si>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</si>
  <si>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</si>
  <si>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</si>
  <si>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</si>
  <si>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</si>
  <si>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</si>
  <si>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</si>
  <si>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</si>
  <si>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</si>
  <si>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</si>
  <si>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</si>
  <si>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</si>
  <si>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</si>
  <si>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</si>
  <si>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</si>
  <si>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</si>
  <si>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</si>
  <si>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</si>
  <si>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</si>
  <si>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</si>
  <si>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</si>
  <si>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</si>
  <si>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</si>
  <si>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</si>
  <si>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</si>
  <si>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</si>
  <si>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</si>
  <si>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</si>
  <si>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</si>
  <si>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</si>
  <si>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</si>
  <si>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</si>
  <si>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</si>
  <si>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</si>
  <si>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</si>
  <si>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</si>
  <si>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</si>
  <si>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</si>
  <si>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</si>
  <si>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</si>
  <si>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</si>
  <si>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</si>
  <si>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</si>
  <si>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</si>
  <si>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</si>
  <si>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</si>
  <si>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</si>
  <si>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</si>
  <si>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</si>
  <si>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</si>
  <si>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</si>
  <si>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</si>
  <si>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</si>
  <si>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</si>
  <si>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</si>
  <si>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</si>
  <si>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</si>
  <si>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</si>
  <si>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</si>
  <si>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</si>
  <si>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</si>
  <si>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</si>
  <si>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</si>
  <si>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</si>
  <si>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</si>
  <si>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</si>
  <si>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</si>
  <si>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</si>
  <si>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</si>
  <si>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</si>
  <si>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</si>
  <si>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</si>
  <si>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</si>
  <si>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</si>
  <si>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</si>
  <si>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</si>
  <si>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</si>
  <si>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</si>
  <si>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</si>
  <si>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</si>
  <si>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</si>
  <si>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</si>
  <si>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</si>
  <si>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</si>
  <si>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</si>
  <si>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</si>
  <si>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</si>
  <si>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</si>
  <si>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</si>
  <si>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</si>
  <si>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</si>
  <si>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</si>
  <si>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</si>
  <si>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</si>
  <si>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</si>
  <si>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</si>
  <si>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</si>
  <si>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</si>
  <si>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</si>
  <si>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</si>
  <si>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</si>
  <si>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</si>
  <si>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</si>
  <si>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</si>
  <si>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</si>
  <si>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</si>
  <si>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</si>
  <si>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</si>
  <si>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</si>
  <si>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</si>
  <si>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</si>
  <si>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</si>
  <si>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</si>
  <si>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</si>
  <si>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</si>
  <si>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</si>
  <si>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</si>
  <si>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</si>
  <si>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</si>
  <si>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</si>
  <si>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</si>
  <si>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</si>
  <si>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</si>
  <si>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</si>
  <si>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</si>
  <si>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</si>
  <si>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</si>
  <si>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</si>
  <si>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</si>
  <si>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</si>
  <si>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</si>
  <si>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</si>
  <si>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</si>
  <si>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</si>
  <si>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</si>
  <si>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</si>
  <si>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</si>
  <si>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</si>
  <si>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</si>
  <si>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</si>
  <si>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</si>
  <si>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</si>
  <si>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</si>
  <si>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</si>
  <si>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</si>
  <si>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</si>
  <si>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</si>
  <si>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</si>
  <si>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</si>
  <si>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</si>
  <si>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</si>
  <si>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</si>
  <si>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</si>
  <si>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</si>
  <si>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</si>
  <si>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</si>
  <si>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</si>
  <si>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</si>
  <si>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</si>
  <si>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</si>
  <si>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</si>
  <si>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</si>
  <si>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</si>
  <si>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</si>
  <si>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</si>
  <si>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</si>
  <si>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</si>
  <si>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</si>
  <si>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</si>
  <si>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</si>
  <si>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</si>
  <si>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</si>
  <si>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</si>
  <si>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</si>
  <si>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</si>
  <si>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</si>
  <si>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</si>
  <si>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</si>
  <si>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</si>
  <si>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</si>
  <si>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</si>
  <si>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</si>
  <si>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</si>
  <si>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</si>
  <si>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</si>
  <si>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</si>
  <si>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</si>
  <si>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</si>
  <si>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</si>
  <si>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</si>
  <si>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</si>
  <si>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</si>
  <si>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</si>
  <si>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</si>
  <si>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</si>
  <si>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</si>
  <si>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</si>
  <si>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</si>
  <si>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</si>
  <si>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</si>
  <si>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</si>
  <si>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</si>
  <si>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</si>
  <si>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</si>
  <si>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</si>
  <si>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</si>
  <si>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</si>
  <si>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</si>
  <si>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</si>
  <si>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</si>
  <si>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</si>
  <si>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</si>
  <si>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</si>
  <si>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</si>
  <si>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</si>
  <si>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</si>
  <si>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</si>
  <si>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</si>
  <si>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</si>
  <si>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</si>
  <si>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</si>
  <si>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</si>
  <si>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</si>
  <si>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</si>
  <si>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</si>
  <si>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</si>
  <si>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</si>
  <si>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</si>
  <si>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</si>
  <si>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</si>
  <si>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</si>
  <si>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</si>
  <si>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</si>
  <si>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</si>
  <si>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</si>
  <si>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</si>
  <si>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</si>
  <si>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</si>
  <si>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</si>
  <si>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</si>
  <si>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</si>
  <si>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</si>
  <si>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</si>
  <si>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</si>
  <si>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</si>
  <si>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</si>
  <si>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</si>
  <si>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</si>
  <si>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</si>
  <si>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</si>
  <si>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</si>
  <si>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</si>
  <si>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</si>
  <si>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</si>
  <si>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</si>
  <si>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</si>
  <si>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</si>
  <si>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</si>
  <si>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</si>
  <si>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</si>
  <si>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</si>
  <si>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</si>
  <si>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</si>
  <si>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</si>
  <si>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</si>
  <si>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</si>
  <si>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</si>
  <si>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</si>
  <si>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</si>
  <si>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</si>
  <si>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</si>
  <si>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</si>
  <si>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</si>
  <si>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</si>
  <si>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</si>
  <si>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</si>
  <si>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</si>
  <si>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</si>
  <si>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</si>
  <si>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</si>
  <si>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</si>
  <si>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</si>
  <si>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</si>
  <si>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</si>
  <si>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</si>
  <si>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</si>
  <si>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</si>
  <si>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</si>
  <si>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</si>
  <si>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</si>
  <si>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</si>
  <si>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</si>
  <si>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</si>
  <si>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</si>
  <si>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</si>
  <si>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</si>
  <si>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</si>
  <si>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</si>
  <si>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</si>
  <si>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</si>
  <si>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</si>
  <si>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</si>
  <si>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</si>
  <si>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</si>
  <si>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</si>
  <si>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</si>
  <si>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</si>
  <si>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</si>
  <si>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</si>
  <si>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</si>
  <si>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</si>
  <si>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</si>
  <si>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</si>
  <si>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</si>
  <si>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</si>
  <si>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</si>
  <si>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</si>
  <si>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</si>
  <si>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</si>
  <si>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</si>
  <si>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</si>
  <si>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</si>
  <si>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</si>
  <si>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</si>
  <si>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</si>
  <si>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</si>
  <si>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</si>
  <si>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</si>
  <si>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</si>
  <si>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</si>
  <si>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</si>
  <si>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</si>
  <si>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</si>
  <si>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</si>
  <si>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</si>
  <si>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</si>
  <si>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</si>
  <si>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</si>
  <si>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</si>
  <si>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</si>
  <si>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</si>
  <si>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</si>
  <si>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</si>
  <si>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</si>
  <si>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</si>
  <si>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</si>
  <si>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</si>
  <si>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</si>
  <si>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</si>
  <si>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</si>
  <si>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</si>
  <si>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</si>
  <si>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</si>
  <si>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</si>
  <si>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</si>
  <si>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</si>
  <si>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</si>
  <si>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</si>
  <si>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</si>
  <si>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</si>
  <si>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</si>
  <si>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</si>
  <si>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</si>
  <si>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</si>
  <si>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</si>
  <si>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</si>
  <si>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</si>
  <si>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</si>
  <si>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</si>
  <si>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</si>
  <si>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</si>
  <si>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</si>
  <si>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</si>
  <si>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</si>
  <si>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</si>
  <si>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</si>
  <si>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</si>
  <si>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</si>
  <si>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</si>
  <si>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</si>
  <si>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</si>
  <si>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</si>
  <si>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</si>
  <si>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</si>
  <si>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</si>
  <si>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</si>
  <si>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</si>
  <si>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</si>
  <si>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</si>
  <si>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</si>
  <si>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</si>
  <si>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</si>
  <si>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</si>
  <si>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</si>
  <si>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</si>
  <si>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</si>
  <si>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</si>
  <si>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</si>
  <si>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</si>
  <si>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</si>
  <si>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</si>
  <si>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</si>
  <si>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</si>
  <si>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</si>
  <si>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</si>
  <si>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</si>
  <si>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</si>
  <si>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</si>
  <si>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</si>
  <si>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</si>
  <si>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</si>
  <si>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</si>
  <si>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</si>
  <si>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</si>
  <si>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</si>
  <si>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</si>
  <si>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</si>
  <si>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</si>
  <si>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</si>
  <si>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</si>
  <si>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</si>
  <si>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</si>
  <si>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</si>
  <si>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</si>
  <si>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</si>
  <si>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</si>
  <si>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</si>
  <si>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</si>
  <si>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</si>
  <si>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</si>
  <si>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</si>
  <si>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</si>
  <si>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</si>
  <si>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</si>
  <si>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</si>
  <si>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</si>
  <si>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</si>
  <si>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</si>
  <si>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</si>
  <si>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</si>
  <si>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</si>
  <si>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</si>
  <si>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</si>
  <si>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</si>
  <si>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</si>
  <si>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</si>
  <si>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</si>
  <si>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</si>
  <si>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</si>
  <si>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</si>
  <si>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</si>
  <si>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</si>
  <si>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</si>
  <si>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</si>
  <si>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</si>
  <si>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</si>
  <si>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</si>
  <si>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</si>
  <si>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</si>
  <si>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</si>
  <si>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</si>
  <si>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</si>
  <si>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</si>
  <si>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</si>
  <si>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</si>
  <si>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</si>
  <si>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</si>
  <si>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</si>
  <si>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</si>
  <si>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</si>
  <si>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</si>
  <si>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</si>
  <si>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</si>
  <si>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</si>
  <si>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</si>
  <si>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</si>
  <si>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</si>
  <si>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</si>
  <si>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</si>
  <si>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</si>
  <si>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</si>
  <si>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</si>
  <si>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</si>
  <si>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</si>
  <si>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</si>
  <si>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</si>
  <si>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</si>
  <si>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</si>
  <si>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</si>
  <si>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</si>
  <si>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</si>
  <si>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</si>
  <si>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</si>
  <si>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</si>
  <si>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</si>
  <si>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</si>
  <si>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</si>
  <si>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</si>
  <si>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</si>
  <si>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</si>
  <si>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</si>
  <si>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</si>
  <si>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</si>
  <si>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</si>
  <si>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</si>
  <si>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</si>
  <si>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</si>
  <si>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</si>
  <si>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</si>
  <si>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</si>
  <si>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</si>
  <si>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</si>
  <si>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</si>
  <si>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</si>
  <si>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</si>
  <si>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</si>
  <si>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</si>
  <si>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</si>
  <si>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</si>
  <si>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</si>
  <si>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</si>
  <si>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</si>
  <si>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</si>
  <si>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</si>
  <si>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</si>
  <si>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</si>
  <si>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</si>
  <si>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</si>
  <si>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</si>
  <si>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</si>
  <si>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</si>
  <si>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</si>
  <si>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</si>
  <si>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</si>
  <si>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</si>
  <si>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</si>
  <si>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</si>
  <si>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</si>
  <si>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</si>
  <si>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</si>
  <si>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</si>
  <si>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</si>
  <si>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</si>
  <si>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</si>
  <si>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</si>
  <si>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</si>
  <si>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</si>
  <si>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</si>
  <si>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</si>
  <si>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</si>
  <si>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</si>
  <si>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</si>
  <si>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</si>
  <si>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</si>
  <si>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</si>
  <si>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</si>
  <si>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</si>
  <si>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</si>
  <si>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</si>
  <si>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</si>
  <si>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</si>
  <si>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</si>
  <si>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</si>
  <si>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</si>
  <si>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</si>
  <si>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</si>
  <si>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</si>
  <si>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</si>
  <si>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</si>
  <si>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</si>
  <si>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</si>
  <si>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</si>
  <si>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</si>
  <si>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</si>
  <si>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</si>
  <si>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</si>
  <si>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</si>
  <si>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</si>
  <si>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</si>
  <si>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</si>
  <si>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</si>
  <si>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</si>
  <si>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</si>
  <si>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</si>
  <si>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</si>
  <si>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</si>
  <si>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</si>
  <si>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</si>
  <si>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</si>
  <si>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</si>
  <si>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</si>
  <si>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</si>
  <si>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</si>
  <si>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</si>
  <si>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</si>
  <si>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</si>
  <si>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</si>
  <si>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</si>
  <si>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</si>
  <si>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</si>
  <si>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</si>
  <si>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</si>
  <si>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</si>
  <si>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</si>
  <si>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</si>
  <si>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</si>
  <si>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</si>
  <si>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</si>
  <si>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</si>
  <si>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</si>
  <si>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</si>
  <si>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</si>
  <si>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</si>
  <si>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</si>
  <si>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</si>
  <si>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</si>
  <si>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</si>
  <si>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</si>
  <si>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</si>
  <si>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</si>
  <si>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</si>
  <si>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</si>
  <si>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</si>
  <si>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</si>
  <si>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</si>
  <si>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</si>
  <si>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</si>
  <si>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</si>
  <si>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</si>
  <si>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</si>
  <si>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</si>
  <si>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</si>
  <si>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</si>
  <si>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</si>
  <si>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</si>
  <si>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</si>
  <si>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</si>
  <si>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</si>
  <si>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</si>
  <si>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</si>
  <si>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</si>
  <si>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</si>
  <si>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</si>
  <si>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</si>
  <si>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</si>
  <si>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</si>
  <si>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</si>
  <si>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</si>
  <si>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</si>
  <si>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</si>
  <si>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</si>
  <si>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</si>
  <si>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</si>
  <si>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</si>
  <si>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</si>
  <si>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</si>
  <si>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</si>
  <si>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</si>
  <si>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</si>
  <si>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</si>
  <si>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</si>
  <si>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</si>
  <si>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</si>
  <si>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</si>
  <si>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</si>
  <si>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</si>
  <si>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</si>
  <si>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</si>
  <si>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</si>
  <si>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</si>
  <si>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</si>
  <si>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</si>
  <si>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</si>
  <si>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</si>
  <si>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</si>
  <si>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</si>
  <si>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</si>
  <si>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</si>
  <si>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</si>
  <si>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</si>
  <si>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</si>
  <si>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</si>
  <si>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</si>
  <si>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</si>
  <si>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</si>
  <si>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</si>
  <si>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</si>
  <si>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</si>
  <si>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</si>
  <si>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</si>
  <si>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</si>
  <si>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</si>
  <si>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</si>
  <si>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</si>
  <si>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</si>
  <si>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</si>
  <si>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</si>
  <si>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</si>
  <si>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</si>
  <si>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</si>
  <si>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</si>
  <si>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</si>
  <si>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</si>
  <si>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</si>
  <si>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</si>
  <si>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</si>
  <si>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</si>
  <si>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</si>
  <si>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</si>
  <si>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</si>
  <si>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</si>
  <si>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</si>
  <si>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</si>
  <si>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</si>
  <si>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</si>
  <si>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</si>
  <si>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</si>
  <si>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</si>
  <si>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</si>
  <si>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</si>
  <si>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</si>
  <si>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</si>
  <si>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</si>
  <si>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</si>
  <si>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</si>
  <si>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</si>
  <si>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</si>
  <si>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</si>
  <si>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</si>
  <si>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</si>
  <si>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</si>
  <si>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</si>
  <si>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</si>
  <si>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</si>
  <si>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</si>
  <si>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</si>
  <si>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</si>
  <si>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</si>
  <si>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</si>
  <si>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</si>
  <si>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</si>
  <si>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</si>
  <si>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</si>
  <si>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</si>
  <si>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</si>
  <si>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</si>
  <si>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</si>
  <si>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</si>
  <si>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</si>
  <si>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</si>
  <si>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</si>
  <si>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</si>
  <si>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</si>
  <si>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</si>
  <si>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</si>
  <si>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</si>
  <si>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</si>
  <si>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</si>
  <si>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</si>
  <si>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</si>
  <si>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</si>
  <si>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</si>
  <si>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</si>
  <si>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</si>
  <si>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</si>
  <si>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</si>
  <si>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</si>
  <si>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</si>
  <si>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</si>
  <si>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</si>
  <si>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</si>
  <si>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</si>
  <si>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</si>
  <si>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</si>
  <si>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</si>
  <si>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</si>
  <si>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</si>
  <si>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</si>
  <si>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</si>
  <si>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</si>
  <si>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</si>
  <si>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</si>
  <si>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</si>
  <si>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</si>
  <si>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</si>
  <si>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</si>
  <si>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</si>
  <si>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</si>
  <si>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</si>
  <si>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</si>
  <si>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</si>
  <si>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</si>
  <si>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</si>
  <si>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</si>
  <si>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</si>
  <si>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</si>
  <si>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</si>
  <si>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</si>
  <si>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</si>
  <si>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</si>
  <si>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</si>
  <si>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</si>
  <si>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</si>
  <si>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</si>
  <si>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</si>
  <si>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</si>
  <si>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</si>
  <si>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</si>
  <si>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</si>
  <si>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</si>
  <si>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</si>
  <si>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</si>
  <si>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</si>
  <si>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</si>
  <si>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</si>
  <si>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</si>
  <si>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</si>
  <si>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</si>
  <si>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</si>
  <si>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</si>
  <si>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</si>
  <si>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</si>
  <si>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</si>
  <si>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</si>
  <si>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</si>
  <si>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</si>
  <si>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</si>
  <si>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</si>
  <si>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</si>
  <si>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</si>
  <si>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</si>
  <si>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</si>
  <si>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</si>
  <si>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</si>
  <si>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</si>
  <si>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</si>
  <si>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</si>
  <si>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</si>
  <si>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</si>
  <si>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</si>
  <si>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</si>
  <si>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</si>
  <si>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</si>
  <si>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</si>
  <si>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</si>
  <si>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</si>
  <si>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</si>
  <si>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</si>
  <si>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</si>
  <si>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</si>
  <si>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</si>
  <si>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</si>
  <si>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</si>
  <si>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</si>
  <si>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</si>
  <si>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</si>
  <si>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</si>
  <si>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</si>
  <si>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</si>
  <si>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</si>
  <si>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</si>
  <si>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</si>
  <si>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</si>
  <si>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</si>
  <si>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</si>
  <si>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</si>
  <si>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</si>
  <si>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</si>
  <si>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</si>
  <si>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</si>
  <si>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</si>
  <si>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</si>
  <si>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</si>
  <si>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</si>
  <si>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</si>
  <si>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</si>
  <si>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</si>
  <si>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</si>
  <si>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</si>
  <si>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</si>
  <si>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</si>
  <si>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</si>
  <si>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</si>
  <si>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</si>
  <si>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</si>
  <si>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</si>
  <si>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</si>
  <si>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</si>
  <si>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</si>
  <si>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</si>
  <si>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</si>
  <si>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</si>
  <si>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</si>
  <si>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</si>
  <si>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</si>
  <si>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</si>
  <si>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</si>
  <si>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</si>
  <si>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</si>
  <si>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</si>
  <si>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</si>
  <si>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</si>
  <si>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</si>
  <si>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</si>
  <si>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</si>
  <si>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</si>
  <si>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</si>
  <si>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</si>
  <si>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</si>
  <si>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</si>
  <si>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</si>
  <si>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</si>
  <si>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</si>
  <si>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</si>
  <si>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</si>
  <si>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</si>
  <si>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</si>
  <si>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</si>
  <si>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</si>
  <si>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</si>
  <si>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</si>
  <si>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</si>
  <si>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</si>
  <si>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</si>
  <si>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</si>
  <si>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</si>
  <si>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</si>
  <si>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</si>
  <si>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</si>
  <si>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</si>
  <si>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</si>
  <si>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</si>
  <si>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</si>
  <si>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</si>
  <si>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</si>
  <si>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</si>
  <si>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</si>
  <si>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</si>
  <si>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</si>
  <si>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</si>
  <si>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</si>
  <si>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</si>
  <si>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</si>
  <si>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</si>
  <si>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</si>
  <si>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</si>
  <si>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</si>
  <si>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</si>
  <si>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</si>
  <si>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</si>
  <si>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</si>
  <si>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</si>
  <si>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</si>
  <si>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</si>
  <si>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</si>
  <si>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</si>
  <si>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</si>
  <si>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</si>
  <si>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</si>
  <si>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</si>
  <si>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</si>
  <si>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</si>
  <si>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</si>
  <si>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</si>
  <si>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</si>
  <si>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</si>
  <si>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</si>
  <si>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</si>
  <si>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</si>
  <si>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</si>
  <si>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</si>
  <si>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</si>
  <si>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</si>
  <si>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</si>
  <si>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</si>
  <si>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</si>
  <si>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</si>
  <si>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</si>
  <si>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</si>
  <si>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</si>
  <si>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</si>
  <si>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</si>
  <si>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</si>
  <si>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</si>
  <si>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</si>
  <si>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</si>
  <si>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</si>
  <si>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</si>
  <si>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</si>
  <si>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</si>
  <si>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</si>
  <si>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</si>
  <si>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</si>
  <si>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</si>
  <si>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</si>
  <si>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</si>
  <si>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</si>
  <si>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</si>
  <si>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</si>
  <si>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</si>
  <si>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</si>
  <si>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</si>
  <si>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</si>
  <si>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</si>
  <si>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</si>
  <si>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</si>
  <si>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</si>
  <si>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</si>
  <si>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</si>
  <si>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</si>
  <si>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</si>
  <si>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</si>
  <si>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</si>
  <si>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</si>
  <si>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</si>
  <si>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</si>
  <si>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</si>
  <si>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</si>
  <si>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</si>
  <si>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</si>
  <si>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</si>
  <si>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</si>
  <si>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</si>
  <si>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</si>
  <si>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</si>
  <si>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</si>
  <si>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</si>
  <si>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</si>
  <si>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</si>
  <si>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</si>
  <si>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</si>
  <si>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</si>
  <si>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</si>
  <si>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</si>
  <si>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</si>
  <si>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</si>
  <si>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</si>
  <si>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</si>
  <si>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</si>
  <si>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</si>
  <si>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</si>
  <si>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</si>
  <si>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</si>
  <si>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</si>
  <si>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</si>
  <si>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</si>
  <si>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</si>
  <si>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</si>
  <si>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</si>
  <si>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</si>
  <si>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</si>
  <si>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</si>
  <si>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</si>
  <si>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</si>
  <si>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</si>
  <si>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</si>
  <si>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</si>
  <si>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</si>
  <si>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</si>
  <si>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</si>
  <si>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</si>
  <si>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</si>
  <si>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</si>
  <si>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</si>
  <si>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</si>
  <si>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</si>
  <si>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</si>
  <si>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</si>
  <si>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</si>
  <si>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</si>
  <si>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</si>
  <si>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</si>
  <si>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</si>
  <si>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</si>
  <si>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</si>
  <si>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</si>
  <si>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</si>
  <si>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</si>
  <si>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</si>
  <si>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</si>
  <si>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</si>
  <si>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</si>
  <si>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</si>
  <si>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</si>
  <si>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</si>
  <si>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</si>
  <si>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</si>
  <si>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</si>
  <si>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</si>
  <si>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</si>
  <si>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</si>
  <si>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</si>
  <si>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</si>
  <si>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</si>
  <si>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</si>
  <si>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</si>
  <si>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</si>
  <si>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</si>
  <si>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</si>
  <si>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</si>
  <si>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</si>
  <si>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</si>
  <si>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</si>
  <si>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</si>
  <si>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</si>
  <si>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</si>
  <si>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</si>
  <si>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</si>
  <si>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</si>
  <si>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</si>
  <si>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</si>
  <si>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</si>
  <si>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</si>
  <si>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</si>
  <si>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</si>
  <si>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</si>
  <si>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</si>
  <si>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</si>
  <si>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</si>
  <si>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</si>
  <si>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</si>
  <si>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</si>
  <si>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</si>
  <si>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</si>
  <si>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</si>
  <si>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</si>
  <si>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</si>
  <si>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</si>
  <si>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</si>
  <si>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</si>
  <si>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</si>
  <si>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</si>
  <si>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</si>
  <si>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</si>
  <si>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</si>
  <si>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</si>
  <si>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</si>
  <si>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</si>
  <si>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</si>
  <si>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</si>
  <si>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</si>
  <si>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</si>
  <si>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</si>
  <si>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</si>
  <si>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</si>
  <si>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</si>
  <si>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</si>
  <si>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</si>
  <si>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</si>
  <si>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</si>
  <si>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</si>
  <si>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</si>
  <si>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</si>
  <si>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</si>
  <si>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</si>
  <si>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</si>
  <si>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</si>
  <si>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</si>
  <si>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</si>
  <si>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</si>
  <si>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</si>
  <si>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</si>
  <si>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</si>
  <si>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</si>
  <si>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</si>
  <si>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</si>
  <si>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</si>
  <si>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</si>
  <si>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</si>
  <si>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</si>
  <si>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</si>
  <si>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</si>
  <si>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</si>
  <si>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</si>
  <si>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</si>
  <si>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</si>
  <si>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</si>
  <si>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</si>
  <si>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</si>
  <si>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</si>
  <si>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</si>
  <si>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</si>
  <si>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</si>
  <si>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</si>
  <si>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</si>
  <si>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</si>
  <si>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</si>
  <si>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</si>
  <si>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</si>
  <si>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</si>
  <si>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</si>
  <si>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</si>
  <si>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</si>
  <si>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</si>
  <si>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</si>
  <si>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</si>
  <si>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</si>
  <si>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</si>
  <si>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</si>
  <si>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</si>
  <si>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</si>
  <si>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</si>
  <si>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</si>
  <si>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</si>
  <si>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</si>
  <si>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</si>
  <si>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</si>
  <si>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</si>
  <si>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</si>
  <si>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</si>
  <si>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</si>
  <si>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</si>
  <si>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</si>
  <si>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</si>
  <si>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</si>
  <si>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</si>
  <si>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</si>
  <si>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</si>
  <si>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</si>
  <si>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</si>
  <si>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</si>
  <si>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</si>
  <si>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</si>
  <si>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</si>
  <si>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</si>
  <si>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</si>
  <si>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</si>
  <si>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</si>
  <si>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</si>
  <si>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</si>
  <si>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</si>
  <si>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</si>
  <si>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</si>
  <si>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</si>
  <si>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</si>
  <si>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</si>
  <si>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</si>
  <si>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</si>
  <si>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</si>
  <si>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</si>
  <si>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</si>
  <si>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</si>
  <si>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</si>
  <si>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</si>
  <si>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</si>
  <si>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</si>
  <si>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</si>
  <si>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</si>
  <si>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</si>
  <si>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</si>
  <si>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</si>
  <si>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</si>
  <si>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</si>
  <si>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</si>
  <si>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</si>
  <si>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</si>
  <si>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</si>
  <si>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</si>
  <si>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</si>
  <si>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</si>
  <si>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</si>
  <si>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</si>
  <si>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</si>
  <si>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</si>
  <si>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</si>
  <si>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</si>
  <si>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</si>
  <si>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</si>
  <si>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</si>
  <si>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</si>
  <si>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</si>
  <si>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</si>
  <si>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</si>
  <si>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</si>
  <si>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</si>
  <si>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</si>
  <si>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</si>
  <si>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</si>
  <si>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</si>
  <si>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</si>
  <si>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</si>
  <si>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</si>
  <si>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</si>
  <si>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</si>
  <si>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</si>
  <si>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</si>
  <si>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</si>
  <si>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</si>
  <si>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</si>
  <si>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</si>
  <si>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</si>
  <si>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</si>
  <si>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</si>
  <si>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</si>
  <si>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</si>
  <si>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</si>
  <si>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</si>
  <si>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</si>
  <si>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</si>
  <si>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</si>
  <si>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</si>
  <si>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</si>
  <si>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</si>
  <si>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</si>
  <si>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</si>
  <si>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</si>
  <si>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</si>
  <si>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</si>
  <si>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</si>
  <si>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</si>
  <si>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</si>
  <si>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</si>
  <si>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</si>
  <si>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</si>
  <si>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</si>
  <si>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</si>
  <si>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</si>
  <si>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</si>
  <si>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</si>
  <si>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</si>
  <si>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</si>
  <si>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</si>
  <si>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</si>
  <si>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</si>
  <si>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</si>
  <si>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</si>
  <si>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</si>
  <si>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</si>
  <si>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</si>
  <si>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</si>
  <si>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</si>
  <si>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</si>
  <si>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</si>
  <si>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</si>
  <si>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</si>
  <si>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</si>
  <si>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</si>
  <si>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</si>
  <si>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</si>
  <si>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</si>
  <si>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</si>
  <si>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</si>
  <si>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</si>
  <si>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</si>
  <si>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</si>
  <si>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</si>
  <si>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</si>
  <si>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</si>
  <si>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</si>
  <si>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</si>
  <si>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</si>
  <si>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</si>
  <si>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</si>
  <si>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</si>
  <si>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</si>
  <si>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</si>
  <si>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</si>
  <si>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</si>
  <si>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</si>
  <si>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</si>
  <si>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</si>
  <si>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</si>
  <si>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</si>
  <si>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</si>
  <si>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</si>
  <si>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</si>
  <si>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</si>
  <si>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</si>
  <si>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</si>
  <si>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</si>
  <si>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</si>
  <si>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</si>
  <si>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</si>
  <si>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</si>
  <si>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</si>
  <si>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</si>
  <si>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</si>
  <si>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</si>
  <si>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</si>
  <si>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</si>
  <si>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</si>
  <si>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</si>
  <si>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</si>
  <si>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</si>
  <si>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</si>
  <si>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</si>
  <si>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</si>
  <si>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</si>
  <si>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</si>
  <si>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</si>
  <si>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</si>
  <si>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</si>
  <si>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</si>
  <si>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</si>
  <si>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</si>
  <si>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</si>
  <si>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</si>
  <si>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</si>
  <si>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</si>
  <si>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</si>
  <si>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</si>
  <si>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</si>
  <si>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</si>
  <si>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</si>
  <si>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</si>
  <si>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</si>
  <si>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</si>
  <si>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</si>
  <si>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</si>
  <si>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</si>
  <si>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</si>
  <si>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</si>
  <si>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</si>
  <si>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</si>
  <si>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</si>
  <si>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</si>
  <si>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</si>
  <si>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</si>
  <si>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</si>
  <si>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</si>
  <si>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</si>
  <si>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</si>
  <si>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</si>
  <si>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</si>
  <si>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</si>
  <si>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</si>
  <si>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</si>
  <si>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</si>
  <si>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</si>
  <si>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</si>
  <si>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</si>
  <si>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</si>
  <si>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</si>
  <si>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</si>
  <si>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</si>
  <si>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</si>
  <si>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</si>
  <si>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</si>
  <si>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</si>
  <si>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</si>
  <si>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</si>
  <si>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</si>
  <si>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</si>
  <si>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</si>
  <si>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</si>
  <si>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</si>
  <si>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</si>
  <si>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</si>
  <si>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</si>
  <si>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</si>
  <si>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</si>
  <si>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</si>
  <si>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</si>
  <si>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</si>
  <si>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</si>
  <si>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</si>
  <si>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</si>
  <si>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</si>
  <si>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</si>
  <si>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</si>
  <si>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</si>
  <si>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</si>
  <si>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</si>
  <si>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</si>
  <si>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</si>
  <si>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</si>
  <si>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</si>
  <si>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</si>
  <si>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</si>
  <si>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</si>
  <si>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</si>
  <si>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</si>
  <si>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</si>
  <si>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</si>
  <si>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</si>
  <si>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</si>
  <si>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</si>
  <si>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</si>
  <si>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</si>
  <si>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</si>
  <si>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</si>
  <si>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</si>
  <si>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</si>
  <si>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</si>
  <si>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</si>
  <si>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</si>
  <si>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</si>
  <si>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</si>
  <si>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</si>
  <si>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</si>
  <si>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</si>
  <si>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</si>
  <si>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</si>
  <si>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</si>
  <si>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</si>
  <si>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</si>
  <si>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</si>
  <si>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</si>
  <si>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</si>
  <si>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</si>
  <si>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</si>
  <si>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</si>
  <si>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</si>
  <si>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</si>
  <si>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</si>
  <si>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</si>
  <si>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</si>
  <si>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</si>
  <si>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</si>
  <si>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</si>
  <si>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</si>
  <si>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</si>
  <si>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</si>
  <si>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</si>
  <si>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</si>
  <si>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</si>
  <si>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</si>
  <si>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</si>
  <si>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</si>
  <si>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</si>
  <si>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</si>
  <si>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</si>
  <si>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</si>
  <si>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</si>
  <si>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</si>
  <si>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</si>
  <si>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</si>
  <si>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</si>
  <si>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</si>
  <si>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</si>
  <si>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</si>
  <si>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</si>
  <si>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</si>
  <si>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</si>
  <si>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</si>
  <si>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</si>
  <si>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</si>
  <si>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</si>
  <si>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</si>
  <si>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</si>
  <si>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</si>
  <si>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</si>
  <si>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</si>
  <si>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</si>
  <si>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</si>
  <si>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</si>
  <si>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</si>
  <si>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</si>
  <si>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</si>
  <si>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</si>
  <si>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</si>
  <si>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</si>
  <si>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</si>
  <si>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</si>
  <si>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</si>
  <si>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</si>
  <si>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</si>
  <si>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</si>
  <si>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</si>
  <si>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</si>
  <si>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</si>
  <si>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</si>
  <si>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</si>
  <si>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</si>
  <si>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</si>
  <si>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</si>
  <si>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</si>
  <si>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</si>
  <si>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</si>
  <si>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</si>
  <si>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</si>
  <si>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</si>
  <si>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</si>
  <si>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</si>
  <si>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</si>
  <si>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</si>
  <si>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</si>
  <si>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</si>
  <si>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</si>
  <si>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</si>
  <si>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</si>
  <si>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</si>
  <si>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</si>
  <si>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</si>
  <si>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</si>
  <si>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</si>
  <si>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</si>
  <si>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</si>
  <si>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</si>
  <si>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</si>
  <si>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</si>
  <si>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</si>
  <si>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</si>
  <si>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</si>
  <si>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</si>
  <si>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</si>
  <si>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</si>
  <si>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</si>
  <si>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</si>
  <si>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</si>
  <si>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</si>
  <si>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</si>
  <si>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</si>
  <si>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</si>
  <si>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</si>
  <si>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</si>
  <si>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</si>
  <si>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</si>
  <si>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</si>
  <si>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</si>
  <si>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</si>
  <si>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</si>
  <si>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</si>
  <si>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</si>
  <si>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</si>
  <si>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</si>
  <si>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</si>
  <si>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</si>
  <si>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</si>
  <si>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</si>
  <si>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</si>
  <si>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</si>
  <si>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</si>
  <si>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</si>
  <si>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</si>
  <si>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</si>
  <si>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</si>
  <si>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</si>
  <si>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</si>
  <si>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</si>
  <si>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</si>
  <si>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</si>
  <si>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</si>
  <si>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</si>
  <si>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</si>
  <si>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</si>
  <si>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</si>
  <si>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</si>
  <si>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</si>
  <si>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</si>
  <si>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</si>
  <si>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</si>
  <si>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</si>
  <si>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</si>
  <si>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</si>
  <si>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</si>
  <si>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</si>
  <si>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</si>
  <si>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</si>
  <si>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</si>
  <si>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</si>
  <si>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</si>
  <si>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</si>
  <si>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</si>
  <si>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</si>
  <si>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</si>
  <si>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</si>
  <si>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</si>
  <si>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</si>
  <si>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</si>
  <si>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</si>
  <si>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</si>
  <si>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</si>
  <si>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</si>
  <si>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</si>
  <si>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</si>
  <si>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</si>
  <si>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</si>
  <si>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</si>
  <si>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</si>
  <si>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</si>
  <si>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</si>
  <si>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</si>
  <si>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</si>
  <si>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</si>
  <si>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</si>
  <si>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</si>
  <si>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</si>
  <si>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</si>
  <si>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</si>
  <si>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</si>
  <si>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</si>
  <si>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</si>
  <si>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</si>
  <si>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</si>
  <si>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</si>
  <si>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</si>
  <si>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</si>
  <si>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</si>
  <si>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</si>
  <si>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</si>
  <si>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</si>
  <si>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</si>
  <si>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</si>
  <si>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</si>
  <si>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</si>
  <si>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</si>
  <si>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</si>
  <si>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</si>
  <si>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</si>
  <si>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</si>
  <si>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</si>
  <si>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</si>
  <si>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</si>
  <si>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</si>
  <si>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</si>
  <si>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</si>
  <si>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</si>
  <si>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</si>
  <si>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</si>
  <si>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</si>
  <si>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</si>
  <si>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</si>
  <si>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</si>
  <si>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</si>
  <si>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</si>
  <si>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</si>
  <si>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</si>
  <si>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</si>
  <si>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</si>
  <si>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</si>
  <si>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</si>
  <si>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</si>
  <si>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</si>
  <si>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</si>
  <si>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</si>
  <si>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</si>
  <si>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</si>
  <si>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</si>
  <si>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</si>
  <si>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</si>
  <si>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</si>
  <si>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</si>
  <si>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</si>
  <si>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</si>
  <si>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</si>
  <si>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</si>
  <si>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</si>
  <si>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</si>
  <si>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</si>
  <si>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</si>
  <si>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</si>
  <si>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</si>
  <si>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</si>
  <si>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</si>
  <si>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</si>
  <si>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</si>
  <si>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</si>
  <si>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</si>
  <si>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</si>
  <si>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</si>
  <si>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</si>
  <si>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</si>
  <si>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</si>
  <si>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</si>
  <si>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</si>
  <si>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</si>
  <si>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</si>
  <si>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</si>
  <si>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</si>
  <si>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</si>
  <si>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</si>
  <si>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</si>
  <si>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</si>
  <si>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</si>
  <si>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</si>
  <si>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</si>
  <si>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</si>
  <si>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</si>
  <si>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</si>
  <si>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</si>
  <si>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</si>
  <si>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</si>
  <si>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</si>
  <si>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</si>
  <si>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</si>
  <si>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</si>
  <si>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</si>
  <si>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</si>
  <si>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</si>
  <si>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</si>
  <si>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</si>
  <si>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</si>
  <si>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</si>
  <si>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</si>
  <si>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</si>
  <si>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</si>
  <si>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</si>
  <si>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</si>
  <si>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</si>
  <si>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</si>
  <si>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</si>
  <si>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</si>
  <si>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</si>
  <si>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</si>
  <si>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</si>
  <si>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</si>
  <si>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</si>
  <si>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</si>
  <si>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</si>
  <si>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</si>
  <si>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</si>
  <si>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</si>
  <si>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</si>
  <si>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</si>
  <si>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</si>
  <si>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</si>
  <si>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</si>
  <si>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</si>
  <si>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</si>
  <si>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</si>
  <si>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</si>
  <si>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</si>
  <si>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</si>
  <si>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</si>
  <si>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</si>
  <si>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</si>
  <si>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</si>
  <si>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</si>
  <si>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</si>
  <si>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</si>
  <si>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</si>
  <si>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</si>
  <si>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</si>
  <si>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</si>
  <si>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</si>
  <si>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</si>
  <si>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</si>
  <si>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</si>
  <si>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</si>
  <si>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</si>
  <si>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</si>
  <si>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</si>
  <si>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</si>
  <si>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</si>
  <si>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</si>
  <si>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</si>
  <si>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</si>
  <si>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</si>
  <si>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</si>
  <si>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</si>
  <si>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</si>
  <si>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</si>
  <si>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</si>
  <si>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</si>
  <si>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</si>
  <si>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</si>
  <si>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</si>
  <si>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</si>
  <si>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</si>
  <si>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</si>
  <si>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</si>
  <si>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</si>
  <si>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</si>
  <si>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</si>
  <si>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</si>
  <si>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</si>
  <si>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</si>
  <si>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</si>
  <si>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</si>
  <si>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</si>
  <si>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</si>
  <si>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</si>
  <si>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</si>
  <si>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</si>
  <si>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</si>
  <si>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</si>
  <si>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</si>
  <si>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</si>
  <si>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</si>
  <si>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</si>
  <si>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</si>
  <si>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</si>
  <si>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</si>
  <si>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</si>
  <si>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</si>
  <si>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</si>
  <si>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</si>
  <si>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</si>
  <si>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</si>
  <si>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</si>
  <si>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</si>
  <si>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</si>
  <si>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</si>
  <si>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</si>
  <si>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</si>
  <si>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</si>
  <si>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</si>
  <si>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</si>
  <si>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</si>
  <si>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</si>
  <si>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</si>
  <si>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</si>
  <si>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</si>
  <si>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</si>
  <si>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</si>
  <si>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</si>
  <si>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</si>
  <si>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</si>
  <si>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</si>
  <si>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</si>
  <si>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</si>
  <si>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</si>
  <si>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</si>
  <si>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</si>
  <si>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</si>
  <si>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</si>
  <si>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</si>
  <si>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</si>
  <si>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</si>
  <si>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</si>
  <si>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</si>
  <si>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</si>
  <si>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</si>
  <si>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</si>
  <si>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</si>
  <si>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</si>
  <si>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</si>
  <si>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</si>
  <si>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</si>
  <si>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</si>
  <si>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</si>
  <si>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</si>
  <si>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</si>
  <si>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</si>
  <si>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</si>
  <si>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</si>
  <si>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</si>
  <si>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</si>
  <si>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</si>
  <si>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</si>
  <si>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</si>
  <si>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</si>
  <si>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</si>
  <si>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</si>
  <si>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</si>
  <si>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</si>
  <si>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</si>
  <si>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</si>
  <si>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</si>
  <si>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</si>
  <si>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</si>
  <si>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</si>
  <si>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</si>
  <si>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</si>
  <si>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</si>
  <si>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</si>
  <si>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</si>
  <si>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</si>
  <si>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</si>
  <si>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</si>
  <si>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</si>
  <si>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</si>
  <si>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</si>
  <si>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</si>
  <si>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</si>
  <si>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</si>
  <si>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</si>
  <si>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</si>
  <si>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</si>
  <si>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</si>
  <si>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</si>
  <si>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</si>
  <si>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</si>
  <si>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</si>
  <si>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</si>
  <si>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</si>
  <si>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</si>
  <si>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</si>
  <si>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</si>
  <si>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</si>
  <si>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</si>
  <si>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</si>
  <si>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</si>
  <si>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</si>
  <si>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</si>
  <si>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</si>
  <si>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</si>
  <si>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</si>
  <si>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</si>
  <si>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</si>
  <si>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</si>
  <si>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</si>
  <si>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</si>
  <si>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</si>
  <si>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</si>
  <si>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</si>
  <si>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</si>
  <si>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</si>
  <si>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</si>
  <si>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</si>
  <si>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</si>
  <si>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</si>
  <si>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</si>
  <si>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</si>
  <si>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</si>
  <si>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</si>
  <si>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</si>
  <si>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</si>
  <si>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</si>
  <si>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</si>
  <si>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</si>
  <si>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</si>
  <si>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</si>
  <si>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</si>
  <si>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</si>
  <si>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</si>
  <si>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</si>
  <si>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</si>
  <si>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</si>
  <si>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</si>
  <si>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</si>
  <si>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</si>
  <si>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</si>
  <si>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</si>
  <si>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</si>
  <si>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</si>
  <si>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</si>
  <si>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</si>
  <si>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</si>
  <si>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</si>
  <si>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</si>
  <si>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</si>
  <si>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</si>
  <si>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</si>
  <si>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</si>
  <si>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</si>
  <si>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</si>
  <si>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</si>
  <si>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</si>
  <si>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</si>
  <si>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</si>
  <si>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</si>
  <si>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</si>
  <si>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</si>
  <si>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</si>
  <si>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</si>
  <si>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</si>
  <si>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</si>
  <si>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</si>
  <si>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</si>
  <si>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</si>
  <si>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</si>
  <si>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</si>
  <si>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</si>
  <si>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</si>
  <si>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</si>
  <si>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</si>
  <si>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</si>
  <si>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</si>
  <si>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</si>
  <si>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</si>
  <si>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</si>
  <si>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</si>
  <si>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</si>
  <si>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</si>
  <si>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</si>
  <si>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</si>
  <si>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</si>
  <si>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</si>
  <si>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</si>
  <si>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</si>
  <si>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</si>
  <si>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</si>
  <si>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</si>
  <si>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</si>
  <si>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</si>
  <si>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</si>
  <si>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</si>
  <si>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</si>
  <si>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</si>
  <si>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</si>
  <si>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</si>
  <si>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</si>
  <si>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</si>
  <si>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</si>
  <si>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</si>
  <si>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</si>
  <si>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</si>
  <si>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</si>
  <si>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</si>
  <si>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</si>
  <si>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</si>
  <si>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</si>
  <si>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</si>
  <si>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</si>
  <si>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</si>
  <si>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</si>
  <si>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</si>
  <si>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</si>
  <si>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</si>
  <si>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</si>
  <si>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</si>
  <si>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</si>
  <si>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</si>
  <si>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</si>
  <si>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</si>
  <si>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</si>
  <si>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</si>
  <si>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</si>
  <si>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</si>
  <si>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</si>
  <si>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</si>
  <si>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</si>
  <si>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</si>
  <si>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</si>
  <si>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</si>
  <si>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</si>
  <si>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</si>
  <si>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</si>
  <si>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</si>
  <si>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</si>
  <si>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</si>
  <si>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</si>
  <si>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</si>
  <si>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</si>
  <si>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</si>
  <si>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</si>
  <si>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</si>
  <si>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</si>
  <si>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</si>
  <si>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</si>
  <si>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</si>
  <si>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</si>
  <si>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</si>
  <si>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</si>
  <si>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</si>
  <si>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</si>
  <si>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</si>
  <si>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</si>
  <si>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</si>
  <si>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</si>
  <si>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</si>
  <si>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</si>
  <si>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</si>
  <si>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</si>
  <si>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</si>
  <si>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</si>
  <si>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</si>
  <si>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</si>
  <si>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</si>
  <si>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</si>
  <si>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</si>
  <si>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</si>
  <si>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</si>
  <si>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</si>
  <si>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</si>
  <si>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</si>
  <si>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</si>
  <si>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</si>
  <si>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</si>
  <si>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</si>
  <si>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</si>
  <si>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</si>
  <si>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</si>
  <si>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</si>
  <si>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</si>
  <si>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</si>
  <si>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</si>
  <si>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</si>
  <si>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</si>
  <si>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</si>
  <si>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</si>
  <si>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</si>
  <si>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</si>
  <si>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</si>
  <si>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</si>
  <si>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</si>
  <si>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</si>
  <si>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</si>
  <si>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</si>
  <si>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</si>
  <si>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</si>
  <si>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</si>
  <si>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</si>
  <si>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</si>
  <si>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</si>
  <si>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</si>
  <si>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</si>
  <si>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</si>
  <si>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</si>
  <si>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</si>
  <si>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</si>
  <si>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</si>
  <si>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</si>
  <si>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</si>
  <si>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</si>
  <si>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</si>
  <si>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</si>
  <si>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</si>
  <si>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</si>
  <si>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</si>
  <si>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</si>
  <si>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</si>
  <si>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</si>
  <si>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</si>
  <si>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</si>
  <si>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</si>
  <si>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</si>
  <si>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</si>
  <si>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</si>
  <si>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</si>
  <si>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</si>
  <si>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</si>
  <si>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</si>
  <si>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</si>
  <si>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</si>
  <si>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</si>
  <si>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</si>
  <si>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</si>
  <si>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</si>
  <si>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</si>
  <si>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</si>
  <si>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</si>
  <si>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</si>
  <si>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</si>
  <si>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</si>
  <si>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</si>
  <si>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</si>
  <si>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</si>
  <si>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</si>
  <si>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</si>
  <si>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</si>
  <si>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</si>
  <si>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</si>
  <si>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</si>
  <si>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</si>
  <si>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</si>
  <si>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</si>
  <si>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</si>
  <si>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</si>
  <si>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</si>
  <si>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</si>
  <si>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</si>
  <si>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</si>
  <si>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</si>
  <si>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</si>
  <si>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</si>
  <si>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</si>
  <si>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</si>
  <si>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</si>
  <si>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</si>
  <si>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</si>
  <si>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</si>
  <si>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</si>
  <si>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</si>
  <si>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</si>
  <si>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</si>
  <si>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</si>
  <si>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</si>
  <si>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</si>
  <si>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</si>
  <si>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</si>
  <si>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</si>
  <si>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</si>
  <si>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</si>
  <si>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</si>
  <si>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</si>
  <si>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</si>
  <si>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</si>
  <si>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</si>
  <si>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</si>
  <si>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</si>
  <si>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</si>
  <si>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</si>
  <si>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</si>
  <si>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</si>
  <si>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</si>
  <si>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</si>
  <si>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</si>
  <si>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</si>
  <si>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</si>
  <si>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</si>
  <si>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</si>
  <si>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</si>
  <si>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</si>
  <si>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</si>
  <si>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</si>
  <si>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</si>
  <si>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</si>
  <si>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</si>
  <si>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</si>
  <si>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</si>
  <si>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</si>
  <si>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</si>
  <si>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</si>
  <si>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</si>
  <si>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</si>
  <si>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</si>
  <si>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</si>
  <si>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</si>
  <si>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</si>
  <si>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</si>
  <si>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</si>
  <si>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</si>
  <si>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</si>
  <si>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</si>
  <si>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</si>
  <si>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</si>
  <si>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</si>
  <si>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</si>
  <si>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</si>
  <si>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</si>
  <si>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</si>
  <si>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</si>
  <si>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</si>
  <si>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</si>
  <si>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</si>
  <si>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</si>
  <si>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</si>
  <si>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</si>
  <si>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</si>
  <si>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</si>
  <si>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</si>
  <si>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</si>
  <si>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</si>
  <si>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</si>
  <si>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</si>
  <si>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</si>
  <si>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</si>
  <si>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</si>
  <si>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</si>
  <si>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</si>
  <si>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</si>
  <si>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</si>
  <si>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</si>
  <si>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</si>
  <si>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</si>
  <si>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</si>
  <si>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</si>
  <si>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</si>
  <si>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</si>
  <si>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</si>
  <si>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</si>
  <si>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</si>
  <si>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</si>
  <si>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</si>
  <si>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</si>
  <si>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</si>
  <si>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</si>
  <si>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</si>
  <si>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</si>
  <si>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</si>
  <si>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</si>
  <si>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</si>
  <si>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</si>
  <si>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</si>
  <si>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</si>
  <si>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</si>
  <si>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</si>
  <si>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</si>
  <si>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</si>
  <si>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</si>
  <si>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</si>
  <si>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</si>
  <si>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</si>
  <si>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</si>
  <si>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</si>
  <si>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</si>
  <si>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</si>
  <si>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</si>
  <si>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</si>
  <si>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</si>
  <si>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</si>
  <si>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</si>
  <si>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</si>
  <si>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</si>
  <si>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</si>
  <si>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</si>
  <si>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</si>
  <si>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</si>
  <si>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</si>
  <si>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</si>
  <si>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</si>
  <si>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</si>
  <si>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</si>
  <si>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</si>
  <si>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</si>
  <si>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</si>
  <si>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</si>
  <si>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</si>
  <si>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</si>
  <si>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</si>
  <si>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</si>
  <si>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</si>
  <si>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</si>
  <si>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</si>
  <si>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</si>
  <si>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</si>
  <si>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</si>
  <si>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</si>
  <si>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</si>
  <si>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</si>
  <si>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</si>
  <si>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</si>
  <si>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</si>
  <si>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</si>
  <si>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</si>
  <si>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</si>
  <si>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</si>
  <si>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</si>
  <si>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</si>
  <si>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</si>
  <si>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</si>
  <si>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</si>
  <si>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</si>
  <si>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</si>
  <si>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</si>
  <si>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</si>
  <si>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</si>
  <si>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</si>
  <si>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</si>
  <si>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</si>
  <si>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</si>
  <si>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</si>
  <si>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</si>
  <si>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</si>
  <si>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</si>
  <si>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</si>
  <si>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</si>
  <si>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</si>
  <si>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</si>
  <si>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</si>
  <si>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</si>
  <si>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</si>
  <si>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</si>
  <si>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</si>
  <si>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</si>
  <si>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</si>
  <si>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</si>
  <si>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</si>
  <si>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</si>
  <si>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</si>
  <si>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</si>
  <si>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</si>
  <si>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</si>
  <si>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</si>
  <si>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</si>
  <si>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</si>
  <si>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</si>
  <si>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</si>
  <si>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</si>
  <si>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</si>
  <si>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</si>
  <si>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</si>
  <si>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</si>
  <si>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</si>
  <si>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</si>
  <si>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</si>
  <si>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</si>
  <si>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</si>
  <si>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</si>
  <si>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</si>
  <si>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</si>
  <si>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</si>
  <si>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</si>
  <si>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</si>
  <si>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</si>
  <si>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</si>
  <si>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</si>
  <si>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</si>
  <si>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</si>
  <si>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</si>
  <si>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</si>
  <si>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</si>
  <si>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</si>
  <si>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</si>
  <si>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</si>
  <si>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</si>
  <si>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</si>
  <si>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</si>
  <si>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</si>
  <si>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</si>
  <si>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</si>
  <si>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</si>
  <si>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</si>
  <si>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</si>
  <si>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</si>
  <si>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</si>
  <si>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</si>
  <si>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</si>
  <si>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</si>
  <si>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</si>
  <si>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</si>
  <si>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</si>
  <si>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</si>
  <si>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</si>
  <si>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</si>
  <si>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</si>
  <si>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</si>
  <si>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</si>
  <si>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</si>
  <si>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</si>
  <si>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</si>
  <si>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</si>
  <si>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</si>
  <si>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</si>
  <si>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</si>
  <si>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</si>
  <si>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</si>
  <si>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</si>
  <si>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</si>
  <si>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</si>
  <si>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</si>
  <si>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</si>
  <si>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</si>
  <si>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</si>
  <si>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</si>
  <si>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</si>
  <si>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</si>
  <si>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</si>
  <si>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</si>
  <si>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</si>
  <si>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</si>
  <si>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</si>
  <si>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</si>
  <si>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</si>
  <si>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</si>
  <si>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</si>
  <si>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</si>
  <si>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</si>
  <si>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</si>
  <si>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</si>
  <si>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</si>
  <si>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</si>
  <si>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</si>
  <si>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</si>
  <si>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</si>
  <si>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</si>
  <si>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</si>
  <si>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</si>
  <si>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</si>
  <si>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</si>
  <si>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</si>
  <si>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</si>
  <si>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</si>
  <si>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</si>
  <si>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</si>
  <si>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</si>
  <si>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</si>
  <si>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</si>
  <si>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</si>
  <si>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</si>
  <si>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</si>
  <si>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</si>
  <si>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</si>
  <si>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</si>
  <si>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</si>
  <si>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</si>
  <si>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</si>
  <si>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</si>
  <si>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</si>
  <si>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</si>
  <si>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</si>
  <si>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</si>
  <si>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</si>
  <si>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</si>
  <si>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</si>
  <si>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</si>
  <si>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</si>
  <si>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</si>
  <si>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</si>
  <si>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</si>
  <si>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</si>
  <si>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</si>
  <si>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</si>
  <si>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</si>
  <si>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</si>
  <si>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</si>
  <si>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</si>
  <si>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</si>
  <si>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</si>
  <si>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</si>
  <si>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</si>
  <si>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</si>
  <si>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</si>
  <si>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</si>
  <si>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</si>
  <si>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</si>
  <si>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</si>
  <si>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</si>
  <si>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</si>
  <si>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</si>
  <si>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</si>
  <si>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</si>
  <si>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</si>
  <si>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</si>
  <si>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</si>
  <si>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</si>
  <si>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</si>
  <si>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</si>
  <si>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</si>
  <si>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</si>
  <si>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</si>
  <si>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</si>
  <si>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</si>
  <si>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</si>
  <si>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</si>
  <si>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</si>
  <si>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</si>
  <si>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</si>
  <si>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</si>
  <si>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</si>
  <si>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</si>
  <si>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</si>
  <si>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</si>
  <si>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</si>
  <si>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</si>
  <si>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</si>
  <si>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</si>
  <si>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</si>
  <si>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</si>
  <si>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</si>
  <si>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</si>
  <si>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</si>
  <si>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</si>
  <si>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</si>
  <si>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</si>
  <si>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</si>
  <si>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</si>
  <si>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</si>
  <si>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</si>
  <si>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</si>
  <si>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</si>
  <si>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</si>
  <si>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</si>
  <si>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</si>
  <si>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</si>
  <si>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</si>
  <si>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</si>
  <si>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</si>
  <si>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</si>
  <si>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</si>
  <si>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</si>
  <si>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</si>
  <si>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</si>
  <si>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</si>
  <si>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</si>
  <si>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</si>
  <si>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</si>
  <si>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</si>
  <si>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</si>
  <si>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</si>
  <si>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</si>
  <si>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</si>
  <si>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</si>
  <si>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</si>
  <si>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</si>
  <si>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</si>
  <si>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</si>
  <si>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</si>
  <si>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</si>
  <si>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</si>
  <si>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</si>
  <si>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</si>
  <si>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</si>
  <si>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</si>
  <si>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</si>
  <si>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</si>
  <si>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</si>
  <si>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</si>
  <si>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</si>
  <si>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</si>
  <si>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</si>
  <si>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</si>
  <si>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</si>
  <si>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</si>
  <si>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</si>
  <si>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</si>
  <si>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</si>
  <si>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</si>
  <si>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</si>
  <si>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</si>
  <si>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</si>
  <si>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</si>
  <si>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</si>
  <si>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</si>
  <si>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</si>
  <si>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</si>
  <si>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</si>
  <si>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</si>
  <si>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</si>
  <si>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</si>
  <si>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</si>
  <si>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</si>
  <si>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</si>
  <si>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</si>
  <si>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</si>
  <si>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</si>
  <si>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</si>
  <si>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</si>
  <si>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</si>
  <si>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</si>
  <si>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</si>
  <si>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</si>
  <si>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</si>
  <si>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</si>
  <si>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</si>
  <si>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</si>
  <si>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</si>
  <si>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</si>
  <si>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</si>
  <si>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</si>
  <si>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</si>
  <si>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</si>
  <si>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</si>
  <si>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</si>
  <si>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</si>
  <si>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</si>
  <si>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</si>
  <si>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</si>
  <si>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</si>
  <si>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</si>
  <si>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</si>
  <si>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</si>
  <si>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</si>
  <si>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</si>
  <si>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</si>
  <si>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</si>
  <si>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</si>
  <si>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</si>
  <si>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</si>
  <si>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</si>
  <si>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</si>
  <si>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</si>
  <si>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</si>
  <si>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</si>
  <si>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</si>
  <si>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</si>
  <si>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</si>
  <si>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</si>
  <si>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</si>
  <si>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</si>
  <si>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</si>
  <si>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</si>
  <si>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</si>
  <si>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</si>
  <si>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</si>
  <si>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</si>
  <si>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</si>
  <si>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</si>
  <si>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</si>
  <si>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</si>
  <si>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</si>
  <si>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</si>
  <si>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</si>
  <si>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</si>
  <si>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</si>
  <si>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</si>
  <si>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</si>
  <si>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</si>
  <si>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</si>
  <si>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</si>
  <si>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</si>
  <si>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</si>
  <si>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</si>
  <si>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</si>
  <si>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</si>
  <si>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</si>
  <si>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</si>
  <si>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</si>
  <si>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</si>
  <si>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</si>
  <si>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</si>
  <si>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</si>
  <si>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</si>
  <si>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</si>
  <si>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</si>
  <si>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</si>
  <si>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</si>
  <si>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</si>
  <si>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</si>
  <si>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</si>
  <si>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</si>
  <si>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</si>
  <si>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</si>
  <si>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</si>
  <si>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</si>
  <si>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</si>
  <si>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</si>
  <si>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</si>
  <si>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</si>
  <si>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</si>
  <si>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</si>
  <si>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</si>
  <si>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</si>
  <si>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</si>
  <si>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</si>
  <si>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</si>
  <si>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</si>
  <si>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</si>
  <si>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</si>
  <si>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</si>
  <si>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</si>
  <si>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</si>
  <si>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</si>
  <si>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</si>
  <si>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</si>
  <si>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</si>
  <si>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</si>
  <si>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</si>
  <si>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</si>
  <si>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</si>
  <si>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</si>
  <si>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</si>
  <si>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</si>
  <si>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</si>
  <si>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</si>
  <si>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</si>
  <si>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</si>
  <si>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</si>
  <si>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</si>
  <si>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</si>
  <si>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</si>
  <si>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</si>
  <si>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</si>
  <si>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</si>
  <si>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</si>
  <si>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</si>
  <si>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</si>
  <si>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</si>
  <si>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</si>
  <si>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</si>
  <si>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</si>
  <si>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</si>
  <si>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</si>
  <si>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</si>
  <si>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</si>
  <si>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</si>
  <si>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</si>
  <si>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</si>
  <si>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</si>
  <si>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</si>
  <si>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</si>
  <si>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</si>
  <si>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</si>
  <si>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</si>
  <si>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</si>
  <si>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</si>
  <si>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</si>
  <si>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</si>
  <si>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</si>
  <si>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</si>
  <si>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</si>
  <si>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</si>
  <si>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</si>
  <si>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</si>
  <si>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</si>
  <si>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</si>
  <si>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</si>
  <si>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</si>
  <si>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</si>
  <si>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</si>
  <si>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</si>
  <si>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</si>
  <si>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</si>
  <si>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</si>
  <si>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</si>
  <si>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</si>
  <si>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</si>
  <si>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</si>
  <si>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</si>
  <si>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</si>
  <si>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</si>
  <si>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</si>
  <si>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</si>
  <si>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</si>
  <si>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</si>
  <si>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</si>
  <si>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</si>
  <si>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</si>
  <si>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</si>
  <si>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</si>
  <si>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</si>
  <si>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</si>
  <si>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</si>
  <si>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</si>
  <si>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</si>
  <si>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</si>
  <si>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</si>
  <si>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</si>
  <si>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</si>
  <si>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</si>
  <si>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</si>
  <si>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</si>
  <si>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</si>
  <si>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</si>
  <si>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</si>
  <si>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</si>
  <si>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</si>
  <si>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</si>
  <si>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</si>
  <si>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</si>
  <si>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</si>
  <si>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</si>
  <si>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</si>
  <si>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</si>
  <si>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</si>
  <si>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</si>
  <si>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</si>
  <si>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</si>
  <si>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</si>
  <si>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</si>
  <si>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核定资产</t>
  </si>
  <si>
    <t>房地产市场价值</t>
  </si>
  <si>
    <t>Ⅷ-昌平园北Ⅱ</t>
  </si>
  <si>
    <t>地上</t>
  </si>
  <si>
    <t>是</t>
  </si>
  <si>
    <t>北京市昌平区何营路8号院17号楼1至5层101号房地产 - 司法拍卖 - 阿里资产</t>
  </si>
  <si>
    <t>建筑面积</t>
    <phoneticPr fontId="134" type="noConversion"/>
  </si>
  <si>
    <t>土地面积</t>
    <phoneticPr fontId="134" type="noConversion"/>
  </si>
  <si>
    <t>建成年代</t>
    <phoneticPr fontId="134" type="noConversion"/>
  </si>
  <si>
    <t>评估值</t>
    <phoneticPr fontId="134" type="noConversion"/>
  </si>
  <si>
    <t>流拍</t>
    <phoneticPr fontId="134" type="noConversion"/>
  </si>
  <si>
    <t>工业</t>
    <phoneticPr fontId="7" type="noConversion"/>
  </si>
  <si>
    <t>成新度</t>
  </si>
  <si>
    <t>收益法</t>
  </si>
  <si>
    <t>利息：取LPR加浮动点数</t>
  </si>
  <si>
    <t>与级别开发程度一致</t>
  </si>
  <si>
    <t>自定义容积率</t>
  </si>
  <si>
    <t>全部缴纳</t>
  </si>
  <si>
    <t>押一</t>
  </si>
  <si>
    <t>钢混</t>
  </si>
  <si>
    <t>非生产用房</t>
  </si>
  <si>
    <t>否</t>
  </si>
  <si>
    <t>售价</t>
  </si>
  <si>
    <t>项目模式</t>
  </si>
  <si>
    <t>企业墅写字楼出售,地铁昌平线企业墅精装独栋出售 地标建筑-北京写字楼_房天下</t>
  </si>
  <si>
    <t>【多图】出售昌平科技园企业墅独栋 独栋带院-北京58安居客</t>
  </si>
  <si>
    <t>【多图】昌平区企业独栋出租2200平米，1.5万平米-北京58安居客</t>
  </si>
  <si>
    <t>独栋</t>
  </si>
  <si>
    <t>独栋</t>
    <phoneticPr fontId="134" type="noConversion"/>
  </si>
  <si>
    <t>钢混</t>
    <phoneticPr fontId="134" type="noConversion"/>
  </si>
  <si>
    <t>精装修</t>
  </si>
  <si>
    <t>精装修</t>
    <phoneticPr fontId="134" type="noConversion"/>
  </si>
  <si>
    <t>普通装修</t>
  </si>
  <si>
    <t>普通装修</t>
    <phoneticPr fontId="134" type="noConversion"/>
  </si>
  <si>
    <t>处置</t>
  </si>
  <si>
    <t>处置</t>
    <phoneticPr fontId="134" type="noConversion"/>
  </si>
  <si>
    <t>挂牌</t>
  </si>
  <si>
    <t>挂牌</t>
    <phoneticPr fontId="134" type="noConversion"/>
  </si>
  <si>
    <t>较好</t>
  </si>
  <si>
    <t>企业墅写字楼出租·办公室租赁昌平南邵地铁站附近企业墅科技园出租2200平米到1万平独栋-北京写字楼_房天下</t>
  </si>
  <si>
    <t>比较法-工业售价</t>
  </si>
  <si>
    <t>比较法-工业售价</t>
    <phoneticPr fontId="16" type="noConversion"/>
  </si>
  <si>
    <t>企业墅</t>
    <phoneticPr fontId="134" type="noConversion"/>
  </si>
  <si>
    <t>「企业墅」写字楼|写字楼出售|办公室出租|租金价格|物业费停车费|电话地址|图片</t>
  </si>
  <si>
    <t>租金</t>
  </si>
  <si>
    <t>挂牌</t>
    <phoneticPr fontId="31" type="noConversion"/>
  </si>
  <si>
    <t>正常</t>
  </si>
  <si>
    <t>企业墅写字楼出租/出售信息，企业墅租金价格，图片，交通配套 -石家庄58联合办公网</t>
  </si>
  <si>
    <t>企业墅写字楼出租/出售信息，企业墅租金价格，图片，交通配套 -北京58联合办公网</t>
  </si>
  <si>
    <t>已电话市调，只有一套在售，报价18000左右，近期无成交，租金水平2-2.5元</t>
    <phoneticPr fontId="134" type="noConversion"/>
  </si>
  <si>
    <t>独栋</t>
    <phoneticPr fontId="31" type="noConversion"/>
  </si>
  <si>
    <t>钢混</t>
    <phoneticPr fontId="31" type="noConversion"/>
  </si>
  <si>
    <t>精装修</t>
    <phoneticPr fontId="31" type="noConversion"/>
  </si>
  <si>
    <t>普通装修</t>
    <phoneticPr fontId="31" type="noConversion"/>
  </si>
  <si>
    <t>企业墅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</si>
</sst>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17" fontId="0" fillId="0" borderId="0" xfId="0" applyNumberFormat="1">
      <alignment vertical="center"/>
    </xf>
    <xf numFmtId="0" fontId="53" fillId="22" borderId="24" xfId="0"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Font="1" applyAlignment="1">
      <alignment horizontal="center" vertical="center" wrapText="1"/>
    </xf>
    <xf numFmtId="0" fontId="208" fillId="0" borderId="23" xfId="0" applyFont="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14</xdr:col>
      <xdr:colOff>275038</xdr:colOff>
      <xdr:row>26</xdr:row>
      <xdr:rowOff>170893</xdr:rowOff>
    </xdr:to>
    <xdr:pic>
      <xdr:nvPicPr>
        <xdr:cNvPr id="2" name="图片 1">
          <a:extLst>
            <a:ext uri="{FF2B5EF4-FFF2-40B4-BE49-F238E27FC236}">
              <a16:creationId xmlns="" xmlns:a16="http://schemas.microsoft.com/office/drawing/2014/main" id="{05C3C8B3-F0FD-026B-4FB2-388004303ED9}"/>
            </a:ext>
          </a:extLst>
        </xdr:cNvPr>
        <xdr:cNvPicPr>
          <a:picLocks noChangeAspect="1"/>
        </xdr:cNvPicPr>
      </xdr:nvPicPr>
      <xdr:blipFill>
        <a:blip xmlns:r="http://schemas.openxmlformats.org/officeDocument/2006/relationships" r:embed="rId1"/>
        <a:stretch>
          <a:fillRect/>
        </a:stretch>
      </xdr:blipFill>
      <xdr:spPr>
        <a:xfrm>
          <a:off x="381000" y="171450"/>
          <a:ext cx="9495238" cy="4457143"/>
        </a:xfrm>
        <a:prstGeom prst="rect">
          <a:avLst/>
        </a:prstGeom>
      </xdr:spPr>
    </xdr:pic>
    <xdr:clientData/>
  </xdr:twoCellAnchor>
  <xdr:twoCellAnchor editAs="oneCell">
    <xdr:from>
      <xdr:col>0</xdr:col>
      <xdr:colOff>485775</xdr:colOff>
      <xdr:row>28</xdr:row>
      <xdr:rowOff>47625</xdr:rowOff>
    </xdr:from>
    <xdr:to>
      <xdr:col>13</xdr:col>
      <xdr:colOff>246565</xdr:colOff>
      <xdr:row>66</xdr:row>
      <xdr:rowOff>151573</xdr:rowOff>
    </xdr:to>
    <xdr:pic>
      <xdr:nvPicPr>
        <xdr:cNvPr id="3" name="图片 2">
          <a:extLst>
            <a:ext uri="{FF2B5EF4-FFF2-40B4-BE49-F238E27FC236}">
              <a16:creationId xmlns="" xmlns:a16="http://schemas.microsoft.com/office/drawing/2014/main" id="{77A430CD-8E63-7EF4-7809-B3DA0E08E6A5}"/>
            </a:ext>
          </a:extLst>
        </xdr:cNvPr>
        <xdr:cNvPicPr>
          <a:picLocks noChangeAspect="1"/>
        </xdr:cNvPicPr>
      </xdr:nvPicPr>
      <xdr:blipFill>
        <a:blip xmlns:r="http://schemas.openxmlformats.org/officeDocument/2006/relationships" r:embed="rId2"/>
        <a:stretch>
          <a:fillRect/>
        </a:stretch>
      </xdr:blipFill>
      <xdr:spPr>
        <a:xfrm>
          <a:off x="485775" y="4848225"/>
          <a:ext cx="8676190" cy="6619048"/>
        </a:xfrm>
        <a:prstGeom prst="rect">
          <a:avLst/>
        </a:prstGeom>
      </xdr:spPr>
    </xdr:pic>
    <xdr:clientData/>
  </xdr:twoCellAnchor>
  <xdr:twoCellAnchor editAs="oneCell">
    <xdr:from>
      <xdr:col>14</xdr:col>
      <xdr:colOff>228600</xdr:colOff>
      <xdr:row>20</xdr:row>
      <xdr:rowOff>91440</xdr:rowOff>
    </xdr:from>
    <xdr:to>
      <xdr:col>25</xdr:col>
      <xdr:colOff>389667</xdr:colOff>
      <xdr:row>39</xdr:row>
      <xdr:rowOff>83387</xdr:rowOff>
    </xdr:to>
    <xdr:pic>
      <xdr:nvPicPr>
        <xdr:cNvPr id="4" name="图片 3"/>
        <xdr:cNvPicPr>
          <a:picLocks noChangeAspect="1"/>
        </xdr:cNvPicPr>
      </xdr:nvPicPr>
      <xdr:blipFill>
        <a:blip xmlns:r="http://schemas.openxmlformats.org/officeDocument/2006/relationships" r:embed="rId3"/>
        <a:stretch>
          <a:fillRect/>
        </a:stretch>
      </xdr:blipFill>
      <xdr:spPr>
        <a:xfrm>
          <a:off x="8763000" y="3749040"/>
          <a:ext cx="6866667" cy="3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11</xdr:col>
      <xdr:colOff>541909</xdr:colOff>
      <xdr:row>32</xdr:row>
      <xdr:rowOff>94686</xdr:rowOff>
    </xdr:to>
    <xdr:pic>
      <xdr:nvPicPr>
        <xdr:cNvPr id="2" name="图片 1">
          <a:extLst>
            <a:ext uri="{FF2B5EF4-FFF2-40B4-BE49-F238E27FC236}">
              <a16:creationId xmlns="" xmlns:a16="http://schemas.microsoft.com/office/drawing/2014/main" id="{83E9A627-3CDF-D88D-2F3F-427C29EB3EBA}"/>
            </a:ext>
          </a:extLst>
        </xdr:cNvPr>
        <xdr:cNvPicPr>
          <a:picLocks noChangeAspect="1"/>
        </xdr:cNvPicPr>
      </xdr:nvPicPr>
      <xdr:blipFill>
        <a:blip xmlns:r="http://schemas.openxmlformats.org/officeDocument/2006/relationships" r:embed="rId1"/>
        <a:stretch>
          <a:fillRect/>
        </a:stretch>
      </xdr:blipFill>
      <xdr:spPr>
        <a:xfrm>
          <a:off x="0" y="1066800"/>
          <a:ext cx="8123809" cy="4514286"/>
        </a:xfrm>
        <a:prstGeom prst="rect">
          <a:avLst/>
        </a:prstGeom>
      </xdr:spPr>
    </xdr:pic>
    <xdr:clientData/>
  </xdr:twoCellAnchor>
  <xdr:twoCellAnchor editAs="oneCell">
    <xdr:from>
      <xdr:col>29</xdr:col>
      <xdr:colOff>218110</xdr:colOff>
      <xdr:row>0</xdr:row>
      <xdr:rowOff>0</xdr:rowOff>
    </xdr:from>
    <xdr:to>
      <xdr:col>42</xdr:col>
      <xdr:colOff>265433</xdr:colOff>
      <xdr:row>31</xdr:row>
      <xdr:rowOff>8773</xdr:rowOff>
    </xdr:to>
    <xdr:pic>
      <xdr:nvPicPr>
        <xdr:cNvPr id="3" name="图片 2">
          <a:extLst>
            <a:ext uri="{FF2B5EF4-FFF2-40B4-BE49-F238E27FC236}">
              <a16:creationId xmlns="" xmlns:a16="http://schemas.microsoft.com/office/drawing/2014/main" id="{D15F4B38-2B25-2CD9-5C06-A6852A33FB2B}"/>
            </a:ext>
          </a:extLst>
        </xdr:cNvPr>
        <xdr:cNvPicPr>
          <a:picLocks noChangeAspect="1"/>
        </xdr:cNvPicPr>
      </xdr:nvPicPr>
      <xdr:blipFill>
        <a:blip xmlns:r="http://schemas.openxmlformats.org/officeDocument/2006/relationships" r:embed="rId2"/>
        <a:stretch>
          <a:fillRect/>
        </a:stretch>
      </xdr:blipFill>
      <xdr:spPr>
        <a:xfrm>
          <a:off x="12600610" y="0"/>
          <a:ext cx="8962723" cy="5323723"/>
        </a:xfrm>
        <a:prstGeom prst="rect">
          <a:avLst/>
        </a:prstGeom>
      </xdr:spPr>
    </xdr:pic>
    <xdr:clientData/>
  </xdr:twoCellAnchor>
  <xdr:twoCellAnchor editAs="oneCell">
    <xdr:from>
      <xdr:col>29</xdr:col>
      <xdr:colOff>78686</xdr:colOff>
      <xdr:row>30</xdr:row>
      <xdr:rowOff>8348</xdr:rowOff>
    </xdr:from>
    <xdr:to>
      <xdr:col>42</xdr:col>
      <xdr:colOff>381000</xdr:colOff>
      <xdr:row>61</xdr:row>
      <xdr:rowOff>113551</xdr:rowOff>
    </xdr:to>
    <xdr:pic>
      <xdr:nvPicPr>
        <xdr:cNvPr id="4" name="图片 3">
          <a:extLst>
            <a:ext uri="{FF2B5EF4-FFF2-40B4-BE49-F238E27FC236}">
              <a16:creationId xmlns="" xmlns:a16="http://schemas.microsoft.com/office/drawing/2014/main" id="{D749B7ED-0798-98B5-9576-E438FBE2926B}"/>
            </a:ext>
          </a:extLst>
        </xdr:cNvPr>
        <xdr:cNvPicPr>
          <a:picLocks noChangeAspect="1"/>
        </xdr:cNvPicPr>
      </xdr:nvPicPr>
      <xdr:blipFill>
        <a:blip xmlns:r="http://schemas.openxmlformats.org/officeDocument/2006/relationships" r:embed="rId3"/>
        <a:stretch>
          <a:fillRect/>
        </a:stretch>
      </xdr:blipFill>
      <xdr:spPr>
        <a:xfrm>
          <a:off x="12461186" y="4980398"/>
          <a:ext cx="9217714" cy="5420153"/>
        </a:xfrm>
        <a:prstGeom prst="rect">
          <a:avLst/>
        </a:prstGeom>
      </xdr:spPr>
    </xdr:pic>
    <xdr:clientData/>
  </xdr:twoCellAnchor>
  <xdr:twoCellAnchor editAs="oneCell">
    <xdr:from>
      <xdr:col>0</xdr:col>
      <xdr:colOff>0</xdr:colOff>
      <xdr:row>32</xdr:row>
      <xdr:rowOff>9525</xdr:rowOff>
    </xdr:from>
    <xdr:to>
      <xdr:col>14</xdr:col>
      <xdr:colOff>455938</xdr:colOff>
      <xdr:row>54</xdr:row>
      <xdr:rowOff>170958</xdr:rowOff>
    </xdr:to>
    <xdr:pic>
      <xdr:nvPicPr>
        <xdr:cNvPr id="5" name="图片 4">
          <a:extLst>
            <a:ext uri="{FF2B5EF4-FFF2-40B4-BE49-F238E27FC236}">
              <a16:creationId xmlns="" xmlns:a16="http://schemas.microsoft.com/office/drawing/2014/main" id="{E4BCFA66-D0C6-1DBF-408A-430379974766}"/>
            </a:ext>
          </a:extLst>
        </xdr:cNvPr>
        <xdr:cNvPicPr>
          <a:picLocks noChangeAspect="1"/>
        </xdr:cNvPicPr>
      </xdr:nvPicPr>
      <xdr:blipFill>
        <a:blip xmlns:r="http://schemas.openxmlformats.org/officeDocument/2006/relationships" r:embed="rId4"/>
        <a:stretch>
          <a:fillRect/>
        </a:stretch>
      </xdr:blipFill>
      <xdr:spPr>
        <a:xfrm>
          <a:off x="0" y="5324475"/>
          <a:ext cx="10095238" cy="3933333"/>
        </a:xfrm>
        <a:prstGeom prst="rect">
          <a:avLst/>
        </a:prstGeom>
      </xdr:spPr>
    </xdr:pic>
    <xdr:clientData/>
  </xdr:twoCellAnchor>
  <xdr:twoCellAnchor editAs="oneCell">
    <xdr:from>
      <xdr:col>0</xdr:col>
      <xdr:colOff>0</xdr:colOff>
      <xdr:row>53</xdr:row>
      <xdr:rowOff>142875</xdr:rowOff>
    </xdr:from>
    <xdr:to>
      <xdr:col>14</xdr:col>
      <xdr:colOff>452968</xdr:colOff>
      <xdr:row>60</xdr:row>
      <xdr:rowOff>85563</xdr:rowOff>
    </xdr:to>
    <xdr:pic>
      <xdr:nvPicPr>
        <xdr:cNvPr id="6" name="图片 5">
          <a:extLst>
            <a:ext uri="{FF2B5EF4-FFF2-40B4-BE49-F238E27FC236}">
              <a16:creationId xmlns="" xmlns:a16="http://schemas.microsoft.com/office/drawing/2014/main" id="{F15C347C-B657-95CB-5984-273EBD3A7EEB}"/>
            </a:ext>
          </a:extLst>
        </xdr:cNvPr>
        <xdr:cNvPicPr>
          <a:picLocks noChangeAspect="1"/>
        </xdr:cNvPicPr>
      </xdr:nvPicPr>
      <xdr:blipFill>
        <a:blip xmlns:r="http://schemas.openxmlformats.org/officeDocument/2006/relationships" r:embed="rId5"/>
        <a:stretch>
          <a:fillRect/>
        </a:stretch>
      </xdr:blipFill>
      <xdr:spPr>
        <a:xfrm>
          <a:off x="0" y="9058275"/>
          <a:ext cx="10092268" cy="1142838"/>
        </a:xfrm>
        <a:prstGeom prst="rect">
          <a:avLst/>
        </a:prstGeom>
      </xdr:spPr>
    </xdr:pic>
    <xdr:clientData/>
  </xdr:twoCellAnchor>
  <xdr:twoCellAnchor editAs="oneCell">
    <xdr:from>
      <xdr:col>24</xdr:col>
      <xdr:colOff>542925</xdr:colOff>
      <xdr:row>62</xdr:row>
      <xdr:rowOff>28575</xdr:rowOff>
    </xdr:from>
    <xdr:to>
      <xdr:col>36</xdr:col>
      <xdr:colOff>598906</xdr:colOff>
      <xdr:row>84</xdr:row>
      <xdr:rowOff>28104</xdr:rowOff>
    </xdr:to>
    <xdr:pic>
      <xdr:nvPicPr>
        <xdr:cNvPr id="7" name="图片 6">
          <a:extLst>
            <a:ext uri="{FF2B5EF4-FFF2-40B4-BE49-F238E27FC236}">
              <a16:creationId xmlns="" xmlns:a16="http://schemas.microsoft.com/office/drawing/2014/main" id="{D981563E-7F38-3617-2904-877FC352E32A}"/>
            </a:ext>
          </a:extLst>
        </xdr:cNvPr>
        <xdr:cNvPicPr>
          <a:picLocks noChangeAspect="1"/>
        </xdr:cNvPicPr>
      </xdr:nvPicPr>
      <xdr:blipFill>
        <a:blip xmlns:r="http://schemas.openxmlformats.org/officeDocument/2006/relationships" r:embed="rId6"/>
        <a:stretch>
          <a:fillRect/>
        </a:stretch>
      </xdr:blipFill>
      <xdr:spPr>
        <a:xfrm>
          <a:off x="17040225" y="10658475"/>
          <a:ext cx="9352381"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shangban.58.com/bj/xiezilou/loupan-l1727593740435713.shtml?PGTID=0d00000d-0000-11f5-1f48-88c9d1799c19&amp;ClickID=1" TargetMode="External"/><Relationship Id="rId1" Type="http://schemas.openxmlformats.org/officeDocument/2006/relationships/hyperlink" Target="http://www.chaolindasha.cn/goods.php?id=2557" TargetMode="External"/><Relationship Id="rId4"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bj.sydc.anjuke.com/xzl-shou/6485953537/?proType=combo&amp;legoHuiDu=0&amp;houseid=2793409837849604&amp;pt=1&amp;kw=%E4%BC%81%E4%B8%9A%E5%A2%85&amp;zhidingLegoHuiDu=0&amp;uniqid=1a3f5adfa2394b9e9188d4e168738037&amp;gpos=1&amp;" TargetMode="External"/><Relationship Id="rId7" Type="http://schemas.openxmlformats.org/officeDocument/2006/relationships/hyperlink" Target="https://shangban.58.com/sjz/xiezilou/loupan-l1727593740435713.shtml" TargetMode="External"/><Relationship Id="rId2" Type="http://schemas.openxmlformats.org/officeDocument/2006/relationships/hyperlink" Target="https://office.fang.com/shou/3_472639655.html" TargetMode="External"/><Relationship Id="rId1" Type="http://schemas.openxmlformats.org/officeDocument/2006/relationships/hyperlink" Target="https://sf-item.taobao.com/sf_item/571736246220.htm?spm=a213w.7398504.paiList.1.46c01f6786B81A&amp;track_id=45b1204e-3ca9-4883-b6fd-2507e15bd6b7" TargetMode="External"/><Relationship Id="rId6" Type="http://schemas.openxmlformats.org/officeDocument/2006/relationships/hyperlink" Target="http://www.chaolindasha.cn/goods.php?id=2557" TargetMode="External"/><Relationship Id="rId5" Type="http://schemas.openxmlformats.org/officeDocument/2006/relationships/hyperlink" Target="https://office.fang.com/zu/3_480739355.html?channel=1,32" TargetMode="External"/><Relationship Id="rId4" Type="http://schemas.openxmlformats.org/officeDocument/2006/relationships/hyperlink" Target="https://bj.sydc.anjuke.com/xzl-shou/6663486344/?proType=combo&amp;legoHuiDu=0&amp;houseid=3147165472005125&amp;pt=1&amp;kw=%E4%BC%81%E4%B8%9A%E5%A2%85&amp;zhidingLegoHuiDu=0&amp;uniqid=3467141859d542ec9f3989f337e656a7&amp;gpos=2&amp;"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估价对象为北京市房地产，为所有。根据《国有土地使用证》[]，估价对象（分摊）出让国有建设用地使用权面积为0平方米，建筑面积为2067.87平方米。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估价对象为北京市房地产,属开发建设的，该项目尚在开发建设中。根据《国有土地使用证》[]，估价对象（分摊）出让国有建设用地使用权面积为0平方米，规划建筑面积为2067.87平方米。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2024年10月28日（评估专业人员实地查勘之日）</v>
      </c>
    </row>
    <row r="13" spans="1:2">
      <c r="A13" s="1119" t="s">
        <v>529</v>
      </c>
      <c r="B13" s="1120"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2067.87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8" sqref="G28"/>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3432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193" t="s">
        <v>2581</v>
      </c>
      <c r="J2" s="3193"/>
      <c r="K2" s="3193"/>
      <c r="L2" s="3193"/>
      <c r="M2" s="3193"/>
      <c r="N2" s="3193"/>
      <c r="O2" s="3193"/>
      <c r="P2" s="3193"/>
      <c r="Q2" s="3193"/>
      <c r="R2" s="3193"/>
    </row>
    <row r="3" spans="1:18">
      <c r="A3" s="2763" t="s">
        <v>2502</v>
      </c>
      <c r="B3" s="2764">
        <f>项目基本情况!D3</f>
        <v>45593</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2.14</v>
      </c>
      <c r="D5" s="2768">
        <f>IF(ISERROR(ROUND(POWER(1+E5,A5-C5)*(POWER(1+E5,C5)-1)/(POWER(1+E5,A5)-1),3)),0,ROUND(POWER(1+E5,A5-C5)*(POWER(1+E5,C5)-1)/(POWER(1+E5,A5)-1),4))</f>
        <v>0.1017</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12.15</v>
      </c>
      <c r="D6" s="2768">
        <f>IF(ISERROR(ROUND(POWER(1+E6,A6-C6)*(POWER(1+E6,C6)-1)/(POWER(1+E6,A6)-1),3)),0,ROUND(POWER(1+E6,A6-C6)*(POWER(1+E6,C6)-1)/(POWER(1+E6,A6)-1),4))</f>
        <v>0.44109999999999999</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32.159999999999997</v>
      </c>
      <c r="D7" s="2768">
        <f>IF(ISERROR(ROUND(POWER(1+E7,A7-C7)*(POWER(1+E7,C7)-1)/(POWER(1+E7,A7)-1),3)),0,ROUND(POWER(1+E7,A7-C7)*(POWER(1+E7,C7)-1)/(POWER(1+E7,A7)-1),4))</f>
        <v>0.76590000000000003</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5" thickBot="1">
      <c r="A18" s="2773" t="s">
        <v>2517</v>
      </c>
      <c r="B18" s="2774">
        <f>ROUND(B17*F11/F12,2)</f>
        <v>5541.87</v>
      </c>
      <c r="C18" s="2774">
        <f>ROUND(F11/F12,4)</f>
        <v>1.1521999999999999</v>
      </c>
      <c r="D18" s="2775"/>
      <c r="E18" s="2775"/>
      <c r="F18" s="2776"/>
    </row>
    <row r="19" spans="1:13" ht="15" thickBot="1"/>
    <row r="20" spans="1:13" s="2809" customFormat="1" ht="1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27" sqref="B27"/>
    </sheetView>
  </sheetViews>
  <sheetFormatPr defaultColWidth="10" defaultRowHeight="13.2"/>
  <cols>
    <col min="1" max="1" width="16.88671875" style="1618" customWidth="1"/>
    <col min="2" max="2" width="14.77734375" style="1618" customWidth="1"/>
    <col min="3" max="3" width="11.44140625" style="1618" customWidth="1"/>
    <col min="4" max="4" width="14.88671875"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45593</v>
      </c>
      <c r="C3" s="2186" t="s">
        <v>2171</v>
      </c>
      <c r="D3" s="2185">
        <f>B3</f>
        <v>45593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3391</v>
      </c>
      <c r="C8" s="2201"/>
      <c r="D8" s="3204" t="s">
        <v>2177</v>
      </c>
      <c r="E8" s="2202"/>
      <c r="F8" s="2203"/>
      <c r="G8" s="2442"/>
      <c r="H8" s="2442"/>
      <c r="I8" s="2442"/>
      <c r="J8" s="2245"/>
      <c r="K8" s="2400"/>
      <c r="L8" s="2399"/>
      <c r="M8" s="2399"/>
      <c r="N8" s="2245"/>
      <c r="O8" s="1670"/>
      <c r="P8" s="2245"/>
      <c r="Q8" s="2245"/>
      <c r="R8" s="2245"/>
    </row>
    <row r="9" spans="1:30" ht="13.8" thickBot="1">
      <c r="A9" s="2204" t="s">
        <v>2178</v>
      </c>
      <c r="B9" s="2205" t="s">
        <v>3392</v>
      </c>
      <c r="C9" s="2206"/>
      <c r="D9" s="3205"/>
      <c r="E9" s="2205"/>
      <c r="F9" s="2207"/>
      <c r="G9" s="2443"/>
      <c r="H9" s="2443"/>
      <c r="I9" s="2443"/>
      <c r="J9" s="2245"/>
      <c r="K9" s="2402"/>
      <c r="L9" s="2399"/>
      <c r="M9" s="2399"/>
      <c r="N9" s="2245"/>
      <c r="O9" s="1670"/>
      <c r="P9" s="2245"/>
      <c r="Q9" s="2245"/>
      <c r="R9" s="2245"/>
    </row>
    <row r="10" spans="1:30" ht="13.8" thickTop="1">
      <c r="A10" s="2208" t="s">
        <v>2179</v>
      </c>
      <c r="B10" s="2209" t="s">
        <v>3389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c r="D13" s="803"/>
      <c r="E13" s="803"/>
      <c r="F13" s="803"/>
      <c r="G13" s="803"/>
      <c r="H13" s="803">
        <v>58640</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2067.87</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25.2"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6"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6"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27" thickBot="1">
      <c r="A38" s="2416" t="s">
        <v>2231</v>
      </c>
      <c r="B38" s="2238"/>
      <c r="C38" s="2238"/>
      <c r="D38" s="2238"/>
      <c r="E38" s="2238" t="s">
        <v>3393</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4" sqref="F3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2067.87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2067.87</v>
      </c>
      <c r="H5" s="13">
        <f t="shared" ref="H5:AT5" si="0">SUM(H13:H656)</f>
        <v>2067.87</v>
      </c>
      <c r="I5" s="13">
        <f t="shared" si="0"/>
        <v>2067.87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2067.87</v>
      </c>
      <c r="BA5" s="15">
        <f t="shared" si="1"/>
        <v>2067.87</v>
      </c>
      <c r="BB5" s="15">
        <f t="shared" si="1"/>
        <v>2067.87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3395</v>
      </c>
      <c r="E13" s="13">
        <f>IF($C$3="是",ROUND($A$3*G13/$B$3,2),ROUND($A$3*(G13-AT13)/$B$3,2))</f>
        <v>0</v>
      </c>
      <c r="F13" s="29"/>
      <c r="G13" s="30">
        <f>H13+AC13+AT13</f>
        <v>2067.87</v>
      </c>
      <c r="H13" s="17">
        <f>SUMIF(I$12:AB$12,"总值",I13:AB13)</f>
        <v>2067.87</v>
      </c>
      <c r="I13" s="1514">
        <v>2067.87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2067.87</v>
      </c>
      <c r="BA13" s="13">
        <f>SUM(BB13:BK13)</f>
        <v>2067.87</v>
      </c>
      <c r="BB13" s="13">
        <f>IF($D13="是",I13-J13,0)</f>
        <v>2067.87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9"/>
      <c r="G2" s="2432"/>
      <c r="H2" s="2433"/>
      <c r="I2" s="2146" t="s">
        <v>1132</v>
      </c>
      <c r="J2" s="2439"/>
      <c r="K2" s="2439"/>
      <c r="L2" s="2439"/>
      <c r="M2" s="2439"/>
      <c r="N2" s="2440"/>
      <c r="O2" s="2439"/>
      <c r="P2" s="2439"/>
    </row>
    <row r="3" spans="1:16" ht="15" thickBot="1">
      <c r="A3" s="3233" t="s">
        <v>1105</v>
      </c>
      <c r="B3" s="3233"/>
      <c r="C3" s="3233"/>
      <c r="D3" s="41">
        <f>'数据-基础表'!AY6</f>
        <v>0</v>
      </c>
      <c r="E3" s="41">
        <f>'数据-基础表'!AZ5</f>
        <v>2067.87</v>
      </c>
      <c r="F3" s="2439"/>
      <c r="G3" s="42"/>
      <c r="H3" s="43" t="s">
        <v>1106</v>
      </c>
      <c r="I3" s="802" t="e">
        <f>ROUND('数据-基础表'!B3/'数据-基础表'!A3,2)</f>
        <v>#DIV/0!</v>
      </c>
      <c r="J3" s="2439"/>
      <c r="K3" s="2439"/>
      <c r="L3" s="2439"/>
      <c r="M3" s="2439"/>
      <c r="N3" s="2440"/>
      <c r="O3" s="2439"/>
      <c r="P3" s="2439"/>
    </row>
    <row r="4" spans="1:16" ht="14.4">
      <c r="A4" s="3234"/>
      <c r="B4" s="3235"/>
      <c r="C4" s="32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7" t="s">
        <v>1110</v>
      </c>
      <c r="C5" s="32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7" t="s">
        <v>1111</v>
      </c>
      <c r="C6" s="3237"/>
      <c r="D6" s="43">
        <f>ROUND($D$3*E6/$E$3,2)</f>
        <v>0</v>
      </c>
      <c r="E6" s="44">
        <f>E3-E5</f>
        <v>2067.87</v>
      </c>
      <c r="F6" s="2439"/>
      <c r="G6" s="1529" t="s">
        <v>1112</v>
      </c>
      <c r="H6" s="45" t="s">
        <v>1113</v>
      </c>
      <c r="I6" s="2435" t="e">
        <f>ROUND(F31/D31,2)</f>
        <v>#DIV/0!</v>
      </c>
      <c r="J6" s="2439"/>
      <c r="K6" s="2439"/>
      <c r="L6" s="2439"/>
      <c r="M6" s="2439"/>
      <c r="N6" s="2439"/>
      <c r="O6" s="2439"/>
      <c r="P6" s="2439"/>
    </row>
    <row r="7" spans="1:16" ht="15" thickBot="1">
      <c r="A7" s="3229"/>
      <c r="B7" s="3230"/>
      <c r="C7" s="3231"/>
      <c r="D7" s="1524" t="s">
        <v>1107</v>
      </c>
      <c r="E7" s="1528" t="s">
        <v>1114</v>
      </c>
      <c r="F7" s="2439"/>
      <c r="G7" s="2436" t="s">
        <v>1115</v>
      </c>
      <c r="H7" s="95"/>
      <c r="I7" s="2437">
        <v>1.5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2067.87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2067.87</v>
      </c>
      <c r="F16" s="2439"/>
      <c r="G16" s="2439"/>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3402</v>
      </c>
      <c r="D19" s="43">
        <f>ROUND($D$3*E19/$E$3,2)</f>
        <v>0</v>
      </c>
      <c r="E19" s="51">
        <f t="shared" ref="E19:E26" si="1">SUM(F19:G19)</f>
        <v>2067.87</v>
      </c>
      <c r="F19" s="2558">
        <f>'数据-基础表'!I13</f>
        <v>2067.87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2067.87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2067.87</v>
      </c>
      <c r="F27" s="1072">
        <f>IF(SUM(F19:F26)=E8,SUM(F19:F26),"地上面积有误")</f>
        <v>2067.87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2067.87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2067.87</v>
      </c>
      <c r="F31" s="644">
        <f>F27+F30</f>
        <v>2067.87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14" sqref="AK1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35.74</v>
      </c>
      <c r="G6" s="62">
        <f>IF(ISERROR(ROUND(POWER(1+H6,D6-F6)*(POWER(1+H6,F6)-1)/(POWER(1+H6,D6)-1),3)),0,ROUND(POWER(1+H6,D6-F6)*(POWER(1+H6,F6)-1)/(POWER(1+H6,D6)-1),3))</f>
        <v>0.90400000000000003</v>
      </c>
      <c r="H6" s="691">
        <v>0.05</v>
      </c>
      <c r="I6" s="691">
        <v>0.05</v>
      </c>
      <c r="J6" s="63">
        <v>0.06</v>
      </c>
      <c r="K6" s="970">
        <f>SUMIF('数据-汇总表'!C$19:C$33,A6,'数据-汇总表'!E$19:E$33)</f>
        <v>2067.87</v>
      </c>
      <c r="L6" s="692">
        <v>3000</v>
      </c>
      <c r="M6" s="64">
        <f t="shared" ref="M6:M14" si="0">ROUND(K6*L6/10000,0)</f>
        <v>620</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'比较法-工业租金'!C42</f>
        <v>2.5</v>
      </c>
      <c r="V6" s="67">
        <v>0.02</v>
      </c>
      <c r="W6" s="67">
        <v>0.05</v>
      </c>
      <c r="X6" s="979"/>
      <c r="Y6" s="68">
        <f>N6</f>
        <v>0.85</v>
      </c>
      <c r="Z6" s="69"/>
      <c r="AA6" s="63"/>
      <c r="AB6" s="63"/>
      <c r="AC6" s="979"/>
      <c r="AD6" s="70"/>
      <c r="AE6" s="980">
        <f ca="1">IF(AN6="",0,SUMIF(INDIRECT("'"&amp;AN6&amp;"'"&amp;"!E:E"),$AE$5,INDIRECT("'"&amp;AN6&amp;"'"&amp;"!F:F")))</f>
        <v>35.74</v>
      </c>
      <c r="AF6" s="74"/>
      <c r="AG6" s="130">
        <f>IF(AF6="",0,AE6-AF6)</f>
        <v>0</v>
      </c>
      <c r="AH6" s="71"/>
      <c r="AI6" s="73">
        <v>365</v>
      </c>
      <c r="AJ6" s="74"/>
      <c r="AK6" s="75">
        <v>5.0000000000000001E-3</v>
      </c>
      <c r="AL6" s="76">
        <v>5.0000000000000001E-4</v>
      </c>
      <c r="AM6" s="77">
        <v>5.0000000000000001E-3</v>
      </c>
      <c r="AN6" s="1589" t="s">
        <v>3404</v>
      </c>
      <c r="AO6" s="50">
        <f ca="1">SUMIF(INDIRECT("'"&amp;AN6&amp;"'"&amp;"!A:A"),"总价",INDIRECT("'"&amp;AN6&amp;"'"&amp;"!B:B"))</f>
        <v>3133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0.90400000000000003</v>
      </c>
      <c r="H16" s="84">
        <f>ROUND(SUMPRODUCT(H6:H13,K6:K13)/SUMPRODUCT((H6:H13&gt;0)*(K6:K13)),3)</f>
        <v>0.05</v>
      </c>
      <c r="I16" s="85"/>
      <c r="J16" s="85"/>
      <c r="K16" s="86">
        <f>SUM(K6:K15)</f>
        <v>2067.87</v>
      </c>
      <c r="L16" s="87">
        <f>ROUND(M16*10000/SUM(K6:K14),0)</f>
        <v>2998</v>
      </c>
      <c r="M16" s="87">
        <f>SUM(M6:M14)</f>
        <v>620</v>
      </c>
      <c r="N16" s="88">
        <f>ROUND(SUMPRODUCT(M6:M14,N6:N14)/M16,3)</f>
        <v>0.85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2303</v>
      </c>
      <c r="D19" s="2452"/>
      <c r="E19" s="2439"/>
      <c r="F19" s="2439"/>
      <c r="G19" s="2439"/>
      <c r="H19" s="2439"/>
      <c r="I19" s="2439"/>
      <c r="J19" s="2439"/>
      <c r="K19" s="2450"/>
      <c r="L19" s="2450"/>
      <c r="M19" s="2449">
        <v>2012</v>
      </c>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2301</v>
      </c>
      <c r="D20" s="2452"/>
      <c r="E20" s="2439"/>
      <c r="F20" s="2439"/>
      <c r="G20" s="2439"/>
      <c r="H20" s="2439"/>
      <c r="I20" s="2439"/>
      <c r="J20" s="2439"/>
      <c r="K20" s="2450"/>
      <c r="L20" s="2450"/>
      <c r="M20" s="2449">
        <f>ROUND(1-(2024-M19)/60,1)</f>
        <v>0.8</v>
      </c>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v>0.9</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41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0.04</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3405</v>
      </c>
      <c r="B40" s="1015">
        <f ca="1">IF(A40="利息：取LPR",存贷款利率!G1,存贷款利率!G1+C40)</f>
        <v>4.3499999999999997E-2</v>
      </c>
      <c r="C40" s="2573">
        <v>1.2500000000000001E-2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2067.87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45593</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3309.0056</v>
      </c>
      <c r="C5" s="2300">
        <f ca="1">IF(B5=D14,结果表!H102,ROUND(B5*10000/$B$1,0))</f>
        <v>0</v>
      </c>
      <c r="D5" s="2300" t="e">
        <f ca="1">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3357</v>
      </c>
      <c r="D10" s="2300" t="s">
        <v>3358</v>
      </c>
      <c r="E10" s="3137"/>
      <c r="F10" s="3141" t="s">
        <v>3359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'数据-汇总表'!F19</f>
        <v>2067.87</v>
      </c>
      <c r="C14" s="2306"/>
      <c r="D14" s="2306">
        <f ca="1">ROUND(E14*B14/10000,4)</f>
        <v>3309.0056</v>
      </c>
      <c r="E14" s="2306">
        <f ca="1">结果表!G20</f>
        <v>16002</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41" sqref="F4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3.2">
      <c r="A3" s="3278" t="s">
        <v>1264</v>
      </c>
      <c r="B3" s="3279"/>
      <c r="C3" s="3279"/>
      <c r="D3" s="3279"/>
      <c r="E3" s="3279"/>
      <c r="F3" s="3279"/>
      <c r="G3" s="3279"/>
      <c r="H3" s="3279"/>
      <c r="I3" s="3279"/>
    </row>
    <row r="4" spans="1:12" ht="14.4">
      <c r="A4" s="1624" t="s">
        <v>1265</v>
      </c>
      <c r="B4" s="1625" t="s">
        <v>1266</v>
      </c>
      <c r="C4" s="1626" t="s">
        <v>3404</v>
      </c>
      <c r="D4" s="1626" t="s">
        <v>3431</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54" t="s">
        <v>1268</v>
      </c>
      <c r="B5" s="3241">
        <v>25</v>
      </c>
      <c r="C5" s="3257"/>
      <c r="D5" s="3277"/>
      <c r="E5" s="123" t="s">
        <v>1269</v>
      </c>
      <c r="F5" s="1627"/>
      <c r="G5" s="1627"/>
      <c r="H5" s="1627"/>
      <c r="I5" s="1281"/>
    </row>
    <row r="6" spans="1:12" ht="13.2">
      <c r="A6" s="3254"/>
      <c r="B6" s="3241"/>
      <c r="C6" s="3258"/>
      <c r="D6" s="3277"/>
      <c r="E6" s="123" t="s">
        <v>1270</v>
      </c>
      <c r="F6" s="1627"/>
      <c r="G6" s="1627"/>
      <c r="H6" s="1627"/>
      <c r="I6" s="1281"/>
    </row>
    <row r="7" spans="1:12" ht="13.2">
      <c r="A7" s="3254"/>
      <c r="B7" s="3241"/>
      <c r="C7" s="3259"/>
      <c r="D7" s="3277"/>
      <c r="E7" s="123" t="s">
        <v>1271</v>
      </c>
      <c r="F7" s="1627"/>
      <c r="G7" s="1627"/>
      <c r="H7" s="1627"/>
      <c r="I7" s="1281"/>
    </row>
    <row r="8" spans="1:12" ht="13.2">
      <c r="A8" s="3254" t="s">
        <v>1272</v>
      </c>
      <c r="B8" s="3241">
        <v>15</v>
      </c>
      <c r="C8" s="3257"/>
      <c r="D8" s="3277"/>
      <c r="E8" s="123" t="s">
        <v>1273</v>
      </c>
      <c r="F8" s="1627"/>
      <c r="G8" s="1627"/>
      <c r="H8" s="1627"/>
      <c r="I8" s="1281"/>
    </row>
    <row r="9" spans="1:12" ht="13.2">
      <c r="A9" s="3254"/>
      <c r="B9" s="3241"/>
      <c r="C9" s="3259"/>
      <c r="D9" s="3277"/>
      <c r="E9" s="123" t="s">
        <v>1274</v>
      </c>
      <c r="F9" s="1627"/>
      <c r="G9" s="1627"/>
      <c r="H9" s="1627"/>
      <c r="I9" s="1281"/>
    </row>
    <row r="10" spans="1:12" ht="13.2">
      <c r="A10" s="3254" t="s">
        <v>1275</v>
      </c>
      <c r="B10" s="3241">
        <v>15</v>
      </c>
      <c r="C10" s="3257"/>
      <c r="D10" s="3277"/>
      <c r="E10" s="123" t="s">
        <v>1276</v>
      </c>
      <c r="F10" s="1627"/>
      <c r="G10" s="1627"/>
      <c r="H10" s="1627"/>
      <c r="I10" s="1281"/>
    </row>
    <row r="11" spans="1:12" ht="13.2">
      <c r="A11" s="3254"/>
      <c r="B11" s="3241"/>
      <c r="C11" s="3259"/>
      <c r="D11" s="3277"/>
      <c r="E11" s="123" t="s">
        <v>1277</v>
      </c>
      <c r="F11" s="1627"/>
      <c r="G11" s="1627"/>
      <c r="H11" s="1627"/>
      <c r="I11" s="1281"/>
    </row>
    <row r="12" spans="1:12" ht="13.2">
      <c r="A12" s="3254" t="s">
        <v>1278</v>
      </c>
      <c r="B12" s="3241">
        <v>15</v>
      </c>
      <c r="C12" s="3257"/>
      <c r="D12" s="3277"/>
      <c r="E12" s="123" t="s">
        <v>1279</v>
      </c>
      <c r="F12" s="1627"/>
      <c r="G12" s="1627"/>
      <c r="H12" s="1627"/>
      <c r="I12" s="1281"/>
    </row>
    <row r="13" spans="1:12" ht="13.2">
      <c r="A13" s="3254"/>
      <c r="B13" s="3241"/>
      <c r="C13" s="3259"/>
      <c r="D13" s="3277"/>
      <c r="E13" s="123" t="s">
        <v>1280</v>
      </c>
      <c r="F13" s="1627"/>
      <c r="G13" s="1627"/>
      <c r="H13" s="1627"/>
      <c r="I13" s="1281"/>
    </row>
    <row r="14" spans="1:12" ht="13.2">
      <c r="A14" s="3254" t="s">
        <v>1281</v>
      </c>
      <c r="B14" s="3241">
        <v>30</v>
      </c>
      <c r="C14" s="3257">
        <v>3</v>
      </c>
      <c r="D14" s="3277">
        <f>10-C14</f>
        <v>7</v>
      </c>
      <c r="E14" s="123" t="s">
        <v>1282</v>
      </c>
      <c r="F14" s="1627"/>
      <c r="G14" s="1627"/>
      <c r="H14" s="1627"/>
      <c r="I14" s="1281"/>
    </row>
    <row r="15" spans="1:12" ht="13.2">
      <c r="A15" s="3254"/>
      <c r="B15" s="3241"/>
      <c r="C15" s="3258"/>
      <c r="D15" s="3277"/>
      <c r="E15" s="123" t="s">
        <v>1283</v>
      </c>
      <c r="F15" s="1627"/>
      <c r="G15" s="1627"/>
      <c r="H15" s="1627"/>
      <c r="I15" s="1281"/>
    </row>
    <row r="16" spans="1:12" ht="13.2">
      <c r="A16" s="3254"/>
      <c r="B16" s="3241"/>
      <c r="C16" s="3259"/>
      <c r="D16" s="3277"/>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64" t="s">
        <v>2131</v>
      </c>
      <c r="F18" s="3265"/>
      <c r="G18" s="3265"/>
      <c r="H18" s="3265"/>
      <c r="I18" s="3265"/>
      <c r="K18" s="294" t="s">
        <v>1289</v>
      </c>
      <c r="L18" s="294">
        <f>IF(C1="",'数据-汇总表'!E3,SUMIF(项目类型,C1,'数据-汇总表'!E17:E26)+SUMIF(项目类型,C1,'数据-汇总表'!I17:I26))</f>
        <v>2067.87</v>
      </c>
      <c r="M18" s="294">
        <f>IF(C1="",'数据-汇总表'!E3,SUMIF(项目类型,C1,'数据-汇总表'!E17:E26))</f>
        <v>2067.87</v>
      </c>
    </row>
    <row r="19" spans="1:36" ht="14.4">
      <c r="A19" s="1630" t="s">
        <v>1290</v>
      </c>
      <c r="B19" s="1631" t="s">
        <v>1291</v>
      </c>
      <c r="C19" s="126">
        <f ca="1">SUMIF(INDIRECT("'"&amp;C4&amp;"'"&amp;"!A:A"),结果表!B19,INDIRECT("'"&amp;C4&amp;"'"&amp;"!B:B"))</f>
        <v>3133</v>
      </c>
      <c r="D19" s="127">
        <f ca="1">SUMIF(INDIRECT("'"&amp;D4&amp;"'"&amp;"!A:A"),结果表!B19,INDIRECT("'"&amp;D4&amp;"'"&amp;"!B:B"))</f>
        <v>3384</v>
      </c>
      <c r="E19" s="1630" t="s">
        <v>1292</v>
      </c>
      <c r="F19" s="1631" t="s">
        <v>1291</v>
      </c>
      <c r="G19" s="128">
        <f ca="1">ROUND(C19*$C$18+D19*$D$18,0)</f>
        <v>3309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15151</v>
      </c>
      <c r="D20" s="130">
        <f ca="1">SUMIF(INDIRECT("'"&amp;D4&amp;"'"&amp;"!A:A"),结果表!B20,INDIRECT("'"&amp;D4&amp;"'"&amp;"!B:B"))</f>
        <v>16366</v>
      </c>
      <c r="E20" s="1633"/>
      <c r="F20" s="43" t="s">
        <v>1295</v>
      </c>
      <c r="G20" s="131">
        <f ca="1">ROUND(C20*$C$18+D20*$D$18,0)</f>
        <v>16002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8.0114905841046857E-2</v>
      </c>
      <c r="E22" s="121"/>
      <c r="F22" s="121"/>
      <c r="G22" s="121"/>
      <c r="H22" s="121"/>
      <c r="I22" s="121"/>
    </row>
    <row r="23" spans="1:36" ht="13.8" thickBot="1">
      <c r="A23" s="646"/>
      <c r="B23" s="646"/>
      <c r="C23" s="646"/>
      <c r="D23" s="646"/>
      <c r="E23" s="121"/>
      <c r="F23" s="121"/>
      <c r="G23" s="121"/>
      <c r="H23" s="121"/>
      <c r="I23" s="121"/>
    </row>
    <row r="24" spans="1:36" ht="14.4">
      <c r="A24" s="3248" t="s">
        <v>1299</v>
      </c>
      <c r="B24" s="1631" t="s">
        <v>1291</v>
      </c>
      <c r="C24" s="128">
        <f>IF(B30=0,0,D30)</f>
        <v>0</v>
      </c>
      <c r="D24" s="1637"/>
      <c r="E24" s="121"/>
      <c r="F24" s="121"/>
      <c r="G24" s="121"/>
      <c r="H24" s="121"/>
      <c r="I24" s="121"/>
    </row>
    <row r="25" spans="1:36" ht="14.4">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16002</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68" t="s">
        <v>1312</v>
      </c>
      <c r="B36" s="1652" t="s">
        <v>1313</v>
      </c>
      <c r="C36" s="137"/>
      <c r="D36" s="1653"/>
      <c r="E36" s="1567"/>
      <c r="F36" s="1654"/>
      <c r="G36" s="121"/>
      <c r="H36" s="121"/>
      <c r="I36" s="121"/>
    </row>
    <row r="37" spans="1:15" ht="15" thickBot="1">
      <c r="A37" s="3269"/>
      <c r="B37" s="1555" t="s">
        <v>1314</v>
      </c>
      <c r="C37" s="139"/>
      <c r="D37" s="1071"/>
      <c r="E37" s="1071"/>
      <c r="F37" s="1654"/>
      <c r="G37" s="121"/>
      <c r="H37" s="121"/>
      <c r="I37" s="121"/>
    </row>
    <row r="38" spans="1:15" ht="15" thickBot="1">
      <c r="A38" s="327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t="e">
        <f ca="1">ROUND(H101*F45,0)</f>
        <v>#REF!</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10">
        <v>1</v>
      </c>
      <c r="K46" s="3304" t="s">
        <v>1331</v>
      </c>
      <c r="L46" s="3304"/>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04" t="s">
        <v>1337</v>
      </c>
      <c r="L47" s="3304"/>
      <c r="M47" s="3325">
        <f>'数据-取费表'!B2</f>
        <v>45593</v>
      </c>
      <c r="N47" s="3325"/>
      <c r="O47" s="3325"/>
    </row>
    <row r="48" spans="1:15" ht="26.4">
      <c r="A48" s="3273" t="s">
        <v>1338</v>
      </c>
      <c r="B48" s="3256"/>
      <c r="C48" s="325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4" t="s">
        <v>1340</v>
      </c>
      <c r="L48" s="3304"/>
      <c r="M48" s="3326" t="e">
        <f ca="1">H101</f>
        <v>#REF!</v>
      </c>
      <c r="N48" s="3326"/>
      <c r="O48" s="3326"/>
    </row>
    <row r="49" spans="1:35" ht="25.5" customHeight="1">
      <c r="A49" s="2152" t="s">
        <v>1341</v>
      </c>
      <c r="B49" s="3240" t="s">
        <v>1342</v>
      </c>
      <c r="C49" s="3240"/>
      <c r="D49" s="1478">
        <v>0</v>
      </c>
      <c r="E49" s="316" t="s">
        <v>1343</v>
      </c>
      <c r="F49" s="2233" t="s">
        <v>28</v>
      </c>
      <c r="G49" s="3310"/>
      <c r="H49" s="2134" t="s">
        <v>2134</v>
      </c>
      <c r="I49" s="2135"/>
      <c r="J49" s="2310">
        <v>4</v>
      </c>
      <c r="K49" s="3304" t="str">
        <f>IF(项目基本情况!E8="房地产抵押价值","房地产抵押价值","抵押担保权已注销时的房地产抵押价值")</f>
        <v>抵押担保权已注销时的房地产抵押价值</v>
      </c>
      <c r="L49" s="3304"/>
      <c r="M49" s="3326" t="str">
        <f>IF(项目基本情况!E8="房地产抵押价值",H107,H109)</f>
        <v>——</v>
      </c>
      <c r="N49" s="3326"/>
      <c r="O49" s="3326"/>
    </row>
    <row r="50" spans="1:35" ht="25.5" customHeight="1">
      <c r="A50" s="2338"/>
      <c r="B50" s="3240" t="s">
        <v>1344</v>
      </c>
      <c r="C50" s="3240"/>
      <c r="D50" s="2189"/>
      <c r="E50" s="323"/>
      <c r="F50" s="2233"/>
      <c r="G50" s="3311"/>
      <c r="H50" s="2136" t="s">
        <v>2135</v>
      </c>
      <c r="I50" s="2135"/>
      <c r="J50" s="3323" t="s">
        <v>1345</v>
      </c>
      <c r="K50" s="3323"/>
      <c r="L50" s="3323"/>
      <c r="M50" s="3323"/>
      <c r="N50" s="3323"/>
      <c r="O50" s="3323"/>
    </row>
    <row r="51" spans="1:35" ht="20.399999999999999" customHeight="1">
      <c r="A51" s="2339"/>
      <c r="B51" s="3240" t="s">
        <v>1346</v>
      </c>
      <c r="C51" s="3240"/>
      <c r="D51" s="1024"/>
      <c r="E51" s="319"/>
      <c r="F51" s="2233"/>
      <c r="G51" s="3312"/>
      <c r="H51" s="2136" t="s">
        <v>2136</v>
      </c>
      <c r="I51" s="2135"/>
      <c r="J51" s="2311" t="s">
        <v>1347</v>
      </c>
      <c r="K51" s="3304" t="s">
        <v>1348</v>
      </c>
      <c r="L51" s="3304"/>
      <c r="M51" s="2311" t="s">
        <v>1349</v>
      </c>
      <c r="N51" s="2311" t="s">
        <v>1350</v>
      </c>
      <c r="O51" s="2311" t="s">
        <v>1351</v>
      </c>
    </row>
    <row r="52" spans="1:35" ht="24" customHeight="1">
      <c r="A52" s="2153" t="s">
        <v>1352</v>
      </c>
      <c r="B52" s="3240" t="s">
        <v>1353</v>
      </c>
      <c r="C52" s="3240"/>
      <c r="D52" s="1024" t="e">
        <f ca="1">ROUND(D45*'数据-取费表'!B41/(1+'数据-取费表'!C42),0)</f>
        <v>#REF!</v>
      </c>
      <c r="E52" s="1256" t="s">
        <v>1354</v>
      </c>
      <c r="F52" s="2340">
        <f>'数据-取费表'!B41</f>
        <v>5.5000000000000007E-2</v>
      </c>
      <c r="G52" s="2341"/>
      <c r="H52" s="2331"/>
      <c r="I52" s="1669"/>
      <c r="J52" s="2310">
        <v>1</v>
      </c>
      <c r="K52" s="3305" t="s">
        <v>1355</v>
      </c>
      <c r="L52" s="3305"/>
      <c r="M52" s="2312" t="b">
        <f>D48</f>
        <v>0</v>
      </c>
      <c r="N52" s="2310" t="str">
        <f>E48</f>
        <v>销售额×税（费）率</v>
      </c>
      <c r="O52" s="2313">
        <f>F48</f>
        <v>5.5000000000000007E-2</v>
      </c>
    </row>
    <row r="53" spans="1:35" ht="12" customHeight="1">
      <c r="A53" s="2153" t="s">
        <v>1356</v>
      </c>
      <c r="B53" s="3266" t="s">
        <v>2291</v>
      </c>
      <c r="C53" s="3267"/>
      <c r="D53" s="1024" t="e">
        <f ca="1">ROUND(D45*'数据-取费表'!B41/(1+'数据-取费表'!C42),0)</f>
        <v>#REF!</v>
      </c>
      <c r="E53" s="1256" t="s">
        <v>1354</v>
      </c>
      <c r="F53" s="2340">
        <f>'数据-取费表'!B41</f>
        <v>5.5000000000000007E-2</v>
      </c>
      <c r="G53" s="2341"/>
      <c r="H53" s="2331"/>
      <c r="I53" s="1669"/>
      <c r="J53" s="2310">
        <v>2</v>
      </c>
      <c r="K53" s="3305" t="s">
        <v>1357</v>
      </c>
      <c r="L53" s="3305"/>
      <c r="M53" s="2312" t="e">
        <f t="shared" ref="M53:O54" ca="1" si="0">D55</f>
        <v>#REF!</v>
      </c>
      <c r="N53" s="2310" t="str">
        <f t="shared" si="0"/>
        <v>销售额×税（费）率</v>
      </c>
      <c r="O53" s="2313" t="str">
        <f t="shared" si="0"/>
        <v>免征</v>
      </c>
    </row>
    <row r="54" spans="1:35" ht="12" customHeight="1">
      <c r="A54" s="2153" t="s">
        <v>1358</v>
      </c>
      <c r="B54" s="3266" t="s">
        <v>2292</v>
      </c>
      <c r="C54" s="3267"/>
      <c r="D54" s="1024" t="e">
        <f ca="1">C68</f>
        <v>#REF!</v>
      </c>
      <c r="E54" s="319" t="s">
        <v>1359</v>
      </c>
      <c r="F54" s="2340">
        <f>'数据-取费表'!B41</f>
        <v>5.5000000000000007E-2</v>
      </c>
      <c r="G54" s="2341"/>
      <c r="H54" s="2342"/>
      <c r="I54" s="1669"/>
      <c r="J54" s="2310">
        <v>3</v>
      </c>
      <c r="K54" s="3305" t="s">
        <v>1360</v>
      </c>
      <c r="L54" s="3305"/>
      <c r="M54" s="2312" t="e">
        <f t="shared" ca="1" si="0"/>
        <v>#REF!</v>
      </c>
      <c r="N54" s="2310" t="str">
        <f t="shared" si="0"/>
        <v>增值额×税（费）率</v>
      </c>
      <c r="O54" s="2314" t="str">
        <f t="shared" si="0"/>
        <v>免征</v>
      </c>
    </row>
    <row r="55" spans="1:35" ht="24" customHeight="1">
      <c r="A55" s="3255" t="s">
        <v>1361</v>
      </c>
      <c r="B55" s="3256"/>
      <c r="C55" s="3256"/>
      <c r="D55" s="12" t="e">
        <f ca="1">IF(H55="个人住宅",0,ROUND(D45*I55,0))</f>
        <v>#REF!</v>
      </c>
      <c r="E55" s="1256" t="s">
        <v>1362</v>
      </c>
      <c r="F55" s="2340" t="str">
        <f>IF(H55="正常",I55,"免征")</f>
        <v>免征</v>
      </c>
      <c r="G55" s="2341"/>
      <c r="H55" s="2337"/>
      <c r="I55" s="157">
        <f>'数据-取费表'!B49</f>
        <v>5.0000000000000001E-4</v>
      </c>
      <c r="J55" s="2310">
        <f>IF(H59="非个人房产","",4)</f>
        <v>4</v>
      </c>
      <c r="K55" s="3305" t="str">
        <f>IF(H59="非个人房产","——","个人所得税")</f>
        <v>个人所得税</v>
      </c>
      <c r="L55" s="3305"/>
      <c r="M55" s="2315" t="e">
        <f ca="1">D59</f>
        <v>#REF!</v>
      </c>
      <c r="N55" s="1883" t="str">
        <f>E59</f>
        <v>差额计税</v>
      </c>
      <c r="O55" s="2316">
        <f>F59</f>
        <v>0.01</v>
      </c>
    </row>
    <row r="56" spans="1:35" ht="25.2">
      <c r="A56" s="3255" t="s">
        <v>1363</v>
      </c>
      <c r="B56" s="3256"/>
      <c r="C56" s="3256"/>
      <c r="D56" s="12" t="e">
        <f ca="1">IF(H56="个人住宅",D57,D58)</f>
        <v>#REF!</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3.2">
      <c r="A57" s="2153" t="s">
        <v>1341</v>
      </c>
      <c r="B57" s="3266" t="s">
        <v>1366</v>
      </c>
      <c r="C57" s="3267"/>
      <c r="D57" s="1478">
        <v>0</v>
      </c>
      <c r="E57" s="316" t="s">
        <v>1343</v>
      </c>
      <c r="F57" s="294"/>
      <c r="G57" s="2341"/>
      <c r="H57" s="2345"/>
      <c r="I57" s="1670"/>
      <c r="J57" s="3305">
        <f>IF(AND(J55="",J56=""),4,IF(项目基本情况!K6="上海银行",结果表!J56+1,结果表!J55+1))</f>
        <v>5</v>
      </c>
      <c r="K57" s="3305" t="s">
        <v>1367</v>
      </c>
      <c r="L57" s="2317" t="s">
        <v>1368</v>
      </c>
      <c r="M57" s="2318"/>
      <c r="N57" s="2319">
        <f ca="1">SUMIF(M52:M56,"&lt;9e307")</f>
        <v>0</v>
      </c>
      <c r="O57" s="2320"/>
      <c r="P57" s="2465" t="e">
        <f ca="1">N57/M49</f>
        <v>#VALUE!</v>
      </c>
    </row>
    <row r="58" spans="1:35" ht="25.2">
      <c r="A58" s="2153" t="s">
        <v>1352</v>
      </c>
      <c r="B58" s="3266" t="s">
        <v>1369</v>
      </c>
      <c r="C58" s="3240"/>
      <c r="D58" s="12" t="e">
        <f ca="1">IF(H58="转让取得",C81,C97)</f>
        <v>#REF!</v>
      </c>
      <c r="E58" s="1256" t="s">
        <v>1364</v>
      </c>
      <c r="F58" s="294" t="s">
        <v>28</v>
      </c>
      <c r="G58" s="2341"/>
      <c r="H58" s="2344"/>
      <c r="I58" s="1670"/>
      <c r="J58" s="3305"/>
      <c r="K58" s="3305"/>
      <c r="L58" s="2317" t="s">
        <v>1370</v>
      </c>
      <c r="M58" s="2321"/>
      <c r="N58" s="2322" t="str">
        <f ca="1">NUMBERSTRING(INT(N57*10000),2)&amp;"元整"</f>
        <v>零元整</v>
      </c>
      <c r="O58" s="2323"/>
    </row>
    <row r="59" spans="1:35" ht="24.6" thickBot="1">
      <c r="A59" s="3308" t="s">
        <v>1371</v>
      </c>
      <c r="B59" s="3309"/>
      <c r="C59" s="330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6">
        <f>J57+1</f>
        <v>6</v>
      </c>
      <c r="K59" s="3305" t="s">
        <v>1372</v>
      </c>
      <c r="L59" s="2310" t="s">
        <v>1368</v>
      </c>
      <c r="M59" s="2324"/>
      <c r="N59" s="2325" t="e">
        <f ca="1">M49-N57</f>
        <v>#VALUE!</v>
      </c>
      <c r="O59" s="2326"/>
    </row>
    <row r="60" spans="1:35" ht="12" customHeight="1">
      <c r="A60" s="1671"/>
      <c r="B60" s="646"/>
      <c r="C60" s="646"/>
      <c r="D60" s="646"/>
      <c r="E60" s="1466"/>
      <c r="F60" s="1670"/>
      <c r="G60" s="1670"/>
      <c r="H60" s="151"/>
      <c r="I60" s="121"/>
      <c r="J60" s="3307"/>
      <c r="K60" s="3305"/>
      <c r="L60" s="2317" t="s">
        <v>1370</v>
      </c>
      <c r="M60" s="2321"/>
      <c r="N60" s="2322" t="e">
        <f ca="1">NUMBERSTRING(INT(N59*10000),2)&amp;"元整"</f>
        <v>#VALUE!</v>
      </c>
      <c r="O60" s="2323"/>
    </row>
    <row r="61" spans="1:35" ht="13.8" thickBot="1">
      <c r="A61" s="3253" t="s">
        <v>1373</v>
      </c>
      <c r="B61" s="3253"/>
      <c r="C61" s="3253"/>
      <c r="D61" s="3253"/>
      <c r="E61" s="3253"/>
      <c r="F61" s="1670"/>
      <c r="G61" s="1670"/>
      <c r="H61" s="151"/>
      <c r="I61" s="121"/>
      <c r="J61" s="2310">
        <f>J59+1</f>
        <v>7</v>
      </c>
      <c r="K61" s="3305" t="s">
        <v>1374</v>
      </c>
      <c r="L61" s="3305"/>
      <c r="M61" s="2327"/>
      <c r="N61" s="2328" t="e">
        <f ca="1">ROUND(N59*10000/'数据-汇总表'!E3,0)</f>
        <v>#VALUE!</v>
      </c>
      <c r="O61" s="2329"/>
    </row>
    <row r="62" spans="1:35" ht="13.2">
      <c r="A62" s="3271" t="s">
        <v>1375</v>
      </c>
      <c r="B62" s="327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2" t="e">
        <f>M69/M49</f>
        <v>#VALUE!</v>
      </c>
      <c r="Z69" s="1623"/>
      <c r="AI69" s="1561"/>
    </row>
    <row r="70" spans="1:35" s="642" customFormat="1" ht="14.4"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2" t="s">
        <v>2129</v>
      </c>
      <c r="H90" s="333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0" t="s">
        <v>1422</v>
      </c>
      <c r="F92" s="3251"/>
      <c r="G92" s="3251"/>
      <c r="H92" s="326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1" t="str">
        <f>C4</f>
        <v>收益法</v>
      </c>
      <c r="D101" s="2372" t="str">
        <f>D4</f>
        <v>比较法-工业售价</v>
      </c>
      <c r="E101" s="3327" t="s">
        <v>1431</v>
      </c>
      <c r="F101" s="3284"/>
      <c r="G101" s="1687" t="s">
        <v>1432</v>
      </c>
      <c r="H101" s="2381" t="e">
        <f ca="1">H118</f>
        <v>#REF!</v>
      </c>
      <c r="I101" s="121"/>
    </row>
    <row r="102" spans="1:35" ht="18.75" customHeight="1">
      <c r="A102" s="3286" t="s">
        <v>1433</v>
      </c>
      <c r="B102" s="2370" t="s">
        <v>1432</v>
      </c>
      <c r="C102" s="2371">
        <f ca="1">IF(D32="楼面单价",ROUND(C19,0),C19)</f>
        <v>3133</v>
      </c>
      <c r="D102" s="2372">
        <f ca="1">IF(D32="楼面单价",ROUND(D19,0),D19)</f>
        <v>3384</v>
      </c>
      <c r="E102" s="3327"/>
      <c r="F102" s="3284"/>
      <c r="G102" s="1687" t="s">
        <v>1434</v>
      </c>
      <c r="H102" s="2341" t="e">
        <f ca="1">I118</f>
        <v>#REF!</v>
      </c>
      <c r="I102" s="121"/>
    </row>
    <row r="103" spans="1:35" ht="42.75" customHeight="1">
      <c r="A103" s="3286"/>
      <c r="B103" s="2370" t="s">
        <v>1434</v>
      </c>
      <c r="C103" s="2373">
        <f ca="1">C20</f>
        <v>15151</v>
      </c>
      <c r="D103" s="2374">
        <f ca="1">D20</f>
        <v>16366</v>
      </c>
      <c r="E103" s="3321" t="s">
        <v>1435</v>
      </c>
      <c r="F103" s="3322"/>
      <c r="G103" s="1688" t="s">
        <v>1436</v>
      </c>
      <c r="H103" s="2381">
        <f>IF(D36="正常操作",H104+H105+H106,H105+H106)</f>
        <v>0</v>
      </c>
      <c r="I103" s="121"/>
    </row>
    <row r="104" spans="1:35" ht="18.75" customHeight="1">
      <c r="A104" s="328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84"/>
      <c r="G107" s="1687" t="s">
        <v>1432</v>
      </c>
      <c r="H107" s="2381" t="e">
        <f ca="1">IF(E107="——","——",H101-H103)</f>
        <v>#REF!</v>
      </c>
      <c r="I107" s="121"/>
    </row>
    <row r="108" spans="1:35" ht="18.75" customHeight="1">
      <c r="A108" s="121"/>
      <c r="B108" s="121"/>
      <c r="C108" s="121"/>
      <c r="D108" s="121"/>
      <c r="E108" s="3283"/>
      <c r="F108" s="3284"/>
      <c r="G108" s="1687" t="s">
        <v>1434</v>
      </c>
      <c r="H108" s="2341">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4" t="str">
        <f>IF(E109="——","——",H101-H105-H106)</f>
        <v>——</v>
      </c>
      <c r="I109" s="121"/>
    </row>
    <row r="110" spans="1:35" ht="18.75" customHeight="1">
      <c r="A110" s="121"/>
      <c r="B110" s="121"/>
      <c r="C110" s="121"/>
      <c r="D110" s="121"/>
      <c r="E110" s="3283"/>
      <c r="F110" s="3284"/>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2067.87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4" t="s">
        <v>1452</v>
      </c>
      <c r="B119" s="3254"/>
      <c r="C119" s="3254"/>
      <c r="D119" s="3294" t="e">
        <f ca="1">NUMBERSTRING(INT(D118*10000),2)&amp;"元整"</f>
        <v>#REF!</v>
      </c>
      <c r="E119" s="3296"/>
      <c r="F119" s="3294" t="e">
        <f ca="1">NUMBERSTRING(INT(F118*10000),2)&amp;"元整"</f>
        <v>#REF!</v>
      </c>
      <c r="G119" s="3296"/>
      <c r="H119" s="3294" t="e">
        <f ca="1">NUMBERSTRING(INT(H118*10000),2)&amp;"元整"</f>
        <v>#REF!</v>
      </c>
      <c r="I119" s="3296"/>
    </row>
    <row r="120" spans="1:27" ht="18.75" customHeight="1">
      <c r="A120" s="3318" t="str">
        <f>IF(项目基本情况!B9="房地产市场价值","",MID(E103,3,LEN(E103)-2))</f>
        <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
      </c>
      <c r="B122" s="3285"/>
      <c r="C122" s="3285"/>
      <c r="D122" s="3318" t="e">
        <f ca="1">H107</f>
        <v>#REF!</v>
      </c>
      <c r="E122" s="3319"/>
      <c r="F122" s="3319"/>
      <c r="G122" s="3319"/>
      <c r="H122" s="3319"/>
      <c r="I122" s="3320"/>
      <c r="AA122" s="684"/>
    </row>
    <row r="123" spans="1:27" ht="18.75" customHeight="1">
      <c r="A123" s="3254" t="s">
        <v>1452</v>
      </c>
      <c r="B123" s="3254"/>
      <c r="C123" s="3254"/>
      <c r="D123" s="3294" t="e">
        <f ca="1">NUMBERSTRING(INT(D122*10000),2)&amp;"元整"</f>
        <v>#REF!</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835.69230000000005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4041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413574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413574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413574</v>
      </c>
      <c r="D10" s="795">
        <f ca="1">IF(B1="",'数据-汇总表'!E6,IF(INDIRECT("'数据-取费表'!c"&amp;$G$1)="住宅",INDIRECT("'数据-取费表'!s"&amp;$G$1),INDIRECT("'数据-取费表'!k"&amp;$G$1)+INDIRECT("'数据-取费表'!s"&amp;$G$1)))</f>
        <v>2067.87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413574</v>
      </c>
      <c r="D19" s="204">
        <f ca="1">D9+D10</f>
        <v>2067.87</v>
      </c>
      <c r="E19" s="203">
        <f>'数据-取费表'!B31</f>
        <v>200</v>
      </c>
      <c r="F19" s="223"/>
      <c r="G19" s="1714"/>
    </row>
    <row r="20" spans="1:7" s="206" customFormat="1" ht="13.5" customHeight="1">
      <c r="A20" s="247" t="s">
        <v>1574</v>
      </c>
      <c r="B20" s="202" t="s">
        <v>1575</v>
      </c>
      <c r="C20" s="224">
        <f ca="1">ROUND((C5+C19)*F20,0)</f>
        <v>16543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36340</v>
      </c>
      <c r="D22" s="227">
        <f ca="1">C26</f>
        <v>4.0000000000000002E-4</v>
      </c>
      <c r="E22" s="228" t="s">
        <v>1579</v>
      </c>
      <c r="F22" s="229">
        <f ca="1">'数据-取费表'!B40</f>
        <v>4.3499999999999997E-2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17990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17990</v>
      </c>
      <c r="D24" s="230"/>
      <c r="E24" s="230"/>
      <c r="F24" s="231"/>
      <c r="G24" s="232" t="s">
        <v>1586</v>
      </c>
    </row>
    <row r="25" spans="1:7" s="206" customFormat="1" ht="24">
      <c r="A25" s="734" t="s">
        <v>1476</v>
      </c>
      <c r="B25" s="207" t="s">
        <v>1587</v>
      </c>
      <c r="C25" s="230">
        <f ca="1">ROUND(IF('数据-取费表'!B22&lt;=1,C20*F22*'数据-取费表'!B22/2,C20*(POWER((1+F22),'数据-取费表'!B22/2)-1)),0)</f>
        <v>360</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6.4">
      <c r="A27" s="247" t="s">
        <v>1512</v>
      </c>
      <c r="B27" s="236" t="s">
        <v>1513</v>
      </c>
      <c r="C27" s="237">
        <f ca="1">C28</f>
        <v>84369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84369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1042369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6958382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6203610</v>
      </c>
      <c r="D34" s="209"/>
      <c r="E34" s="212"/>
      <c r="F34" s="249"/>
      <c r="G34" s="211"/>
    </row>
    <row r="35" spans="1:7" ht="13.5" customHeight="1">
      <c r="A35" s="734" t="s">
        <v>351</v>
      </c>
      <c r="B35" s="207" t="s">
        <v>1527</v>
      </c>
      <c r="C35" s="212">
        <f ca="1">ROUND(C34*F35,0)</f>
        <v>248144</v>
      </c>
      <c r="D35" s="212"/>
      <c r="E35" s="212"/>
      <c r="F35" s="251">
        <f>'数据-取费表'!B33</f>
        <v>0.04</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413574</v>
      </c>
      <c r="D37" s="209">
        <f ca="1">D19</f>
        <v>2067.87</v>
      </c>
      <c r="E37" s="241">
        <f>'数据-取费表'!B35</f>
        <v>200</v>
      </c>
      <c r="F37" s="251"/>
      <c r="G37" s="253"/>
    </row>
    <row r="38" spans="1:7" ht="13.5" customHeight="1">
      <c r="A38" s="734" t="s">
        <v>354</v>
      </c>
      <c r="B38" s="207" t="s">
        <v>1533</v>
      </c>
      <c r="C38" s="212">
        <f ca="1">ROUND(C34*F38,0)</f>
        <v>93054</v>
      </c>
      <c r="D38" s="212"/>
      <c r="E38" s="212"/>
      <c r="F38" s="251">
        <f>'数据-取费表'!B36</f>
        <v>1.4999999999999999E-2</v>
      </c>
      <c r="G38" s="211" t="s">
        <v>1528</v>
      </c>
    </row>
    <row r="39" spans="1:7" s="206" customFormat="1" ht="13.5" customHeight="1">
      <c r="A39" s="247" t="s">
        <v>1534</v>
      </c>
      <c r="B39" s="202" t="s">
        <v>1535</v>
      </c>
      <c r="C39" s="224">
        <f ca="1">ROUND(C33*F20,0)</f>
        <v>139168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154372</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151345</v>
      </c>
      <c r="D42" s="230"/>
      <c r="E42" s="230"/>
      <c r="F42" s="231"/>
      <c r="G42" s="3334" t="s">
        <v>1591</v>
      </c>
    </row>
    <row r="43" spans="1:7" ht="13.5" customHeight="1">
      <c r="A43" s="734" t="s">
        <v>347</v>
      </c>
      <c r="B43" s="207" t="s">
        <v>1545</v>
      </c>
      <c r="C43" s="230">
        <f ca="1">ROUND(IF('数据-取费表'!B22&lt;=1,C39*F22*'数据-取费表'!B20/2,C39*(POWER((1+F22),'数据-取费表'!B20/2)-1)),0)</f>
        <v>3027</v>
      </c>
      <c r="D43" s="230"/>
      <c r="E43" s="230"/>
      <c r="F43" s="231"/>
      <c r="G43" s="3335"/>
    </row>
    <row r="44" spans="1:7" ht="13.5" customHeight="1">
      <c r="A44" s="734" t="s">
        <v>348</v>
      </c>
      <c r="B44" s="207" t="s">
        <v>1546</v>
      </c>
      <c r="C44" s="230">
        <f ca="1">ROUND(IF('数据-取费表'!B22&lt;=1,C40*F22*'数据-取费表'!B20/2,C40*(POWER((1+F22),'数据-取费表'!B20/2)-1)),4)</f>
        <v>4.0000000000000002E-4</v>
      </c>
      <c r="D44" s="230"/>
      <c r="E44" s="230"/>
      <c r="F44" s="231"/>
      <c r="G44" s="3336"/>
    </row>
    <row r="45" spans="1:7" s="206" customFormat="1" ht="13.5" customHeight="1">
      <c r="A45" s="247" t="s">
        <v>1547</v>
      </c>
      <c r="B45" s="236" t="s">
        <v>1513</v>
      </c>
      <c r="C45" s="237">
        <f ca="1">C46</f>
        <v>709755</v>
      </c>
      <c r="D45" s="227">
        <f ca="1">C47</f>
        <v>2E-3</v>
      </c>
      <c r="E45" s="228" t="s">
        <v>1539</v>
      </c>
      <c r="F45" s="238">
        <f ca="1">F27</f>
        <v>0.1</v>
      </c>
      <c r="G45" s="239" t="s">
        <v>1548</v>
      </c>
    </row>
    <row r="46" spans="1:7" s="206" customFormat="1" ht="13.5" customHeight="1">
      <c r="A46" s="734" t="s">
        <v>346</v>
      </c>
      <c r="B46" s="240" t="s">
        <v>1549</v>
      </c>
      <c r="C46" s="241">
        <f ca="1">ROUND((C33+C39)*F27,0)</f>
        <v>709755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8605358</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7314554</v>
      </c>
      <c r="D51" s="224"/>
      <c r="E51" s="224"/>
      <c r="F51" s="256"/>
      <c r="G51" s="226" t="s">
        <v>1560</v>
      </c>
    </row>
    <row r="52" spans="1:7" s="200" customFormat="1" ht="16.8" thickBot="1">
      <c r="A52" s="257" t="s">
        <v>1561</v>
      </c>
      <c r="B52" s="258"/>
      <c r="C52" s="259">
        <f ca="1">C31+C51</f>
        <v>8356923</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北京市房地产市场价值预评估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0.04</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2067.87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2067.87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41</v>
      </c>
      <c r="D20" s="796">
        <f ca="1">IF(C1="",'数据-汇总表'!E6,IF(INDIRECT("'数据-取费表'!c"&amp;$K$1)="住宅",INDIRECT("'数据-取费表'!s"&amp;$K$1),INDIRECT("'数据-取费表'!k"&amp;$K$1)+INDIRECT("'数据-取费表'!s"&amp;$K$1)))</f>
        <v>2067.87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4.3499999999999997E-2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0" sqref="D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3133</v>
      </c>
      <c r="C2" s="1289" t="s">
        <v>805</v>
      </c>
      <c r="D2" s="1289"/>
      <c r="E2" s="1295"/>
      <c r="F2" s="1296"/>
      <c r="G2" s="2479"/>
      <c r="H2" s="2469"/>
      <c r="I2" s="2469"/>
      <c r="J2" s="2469"/>
      <c r="K2" s="2470"/>
      <c r="L2" s="2469"/>
      <c r="M2" s="2469"/>
    </row>
    <row r="3" spans="1:37" ht="18" customHeight="1" thickBot="1">
      <c r="A3" s="1297" t="s">
        <v>806</v>
      </c>
      <c r="B3" s="1298">
        <f ca="1">IF(ISERROR(B2*10000/F43),0,ROUND(B2*10000/F43,0))</f>
        <v>15151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179</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179</v>
      </c>
      <c r="D6" s="147" t="s">
        <v>2109</v>
      </c>
      <c r="E6" s="294" t="s">
        <v>696</v>
      </c>
      <c r="F6" s="295">
        <f ca="1">INDIRECT("'数据-取费表'!u"&amp;$G$1)</f>
        <v>2.5</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2067.87</v>
      </c>
      <c r="G7" s="1292"/>
      <c r="H7" s="296"/>
      <c r="I7" s="3340"/>
      <c r="J7" s="298"/>
      <c r="K7" s="299"/>
      <c r="L7" s="294" t="s">
        <v>697</v>
      </c>
      <c r="M7" s="295">
        <f ca="1">F7</f>
        <v>2067.87</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0.05</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620</v>
      </c>
      <c r="D14" s="1257" t="s">
        <v>708</v>
      </c>
      <c r="E14" s="1255"/>
      <c r="F14" s="311"/>
      <c r="G14" s="1292"/>
      <c r="H14" s="928" t="s">
        <v>398</v>
      </c>
      <c r="I14" s="294" t="s">
        <v>709</v>
      </c>
      <c r="J14" s="21">
        <f ca="1">C29</f>
        <v>859</v>
      </c>
      <c r="K14" s="12"/>
      <c r="L14" s="759"/>
      <c r="M14" s="760"/>
    </row>
    <row r="15" spans="1:37" s="1304" customFormat="1" ht="18" customHeight="1" thickBot="1">
      <c r="A15" s="928" t="s">
        <v>399</v>
      </c>
      <c r="B15" s="294" t="s">
        <v>710</v>
      </c>
      <c r="C15" s="21">
        <f ca="1">ROUND(C14*F15,0)</f>
        <v>25</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41</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695</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4.3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5.0000000000000001E-4</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71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859</v>
      </c>
      <c r="D29" s="1029"/>
      <c r="E29" s="1027"/>
      <c r="F29" s="1030"/>
      <c r="G29" s="1303"/>
      <c r="H29" s="325" t="s">
        <v>396</v>
      </c>
      <c r="I29" s="326" t="s">
        <v>768</v>
      </c>
      <c r="J29" s="327">
        <f ca="1">ROUND(J26/(1+F40)^F41,0)</f>
        <v>0</v>
      </c>
      <c r="K29" s="328" t="s">
        <v>769</v>
      </c>
      <c r="L29" s="329"/>
      <c r="M29" s="330">
        <f ca="1">INDIRECT("'数据-取费表'!k"&amp;$G$1)</f>
        <v>2067.87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29.84</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9.3800000000000008</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20.46</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4.3</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0.37</v>
      </c>
      <c r="D37" s="1256" t="s">
        <v>743</v>
      </c>
      <c r="E37" s="294" t="s">
        <v>744</v>
      </c>
      <c r="F37" s="321">
        <f ca="1">INDIRECT("'数据-取费表'!Al"&amp;$G$1)</f>
        <v>5.0000000000000001E-4</v>
      </c>
      <c r="G37" s="1292"/>
      <c r="H37" s="2474"/>
      <c r="I37" s="1305"/>
      <c r="J37" s="1306"/>
      <c r="K37" s="2331"/>
      <c r="L37" s="2474"/>
      <c r="M37" s="2474"/>
    </row>
    <row r="38" spans="1:18" ht="18" customHeight="1" thickBot="1">
      <c r="A38" s="1026" t="s">
        <v>684</v>
      </c>
      <c r="B38" s="1027" t="s">
        <v>728</v>
      </c>
      <c r="C38" s="1028">
        <f ca="1">ROUND(C5*F38,2)</f>
        <v>0.9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144</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3097</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35.74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14977</v>
      </c>
      <c r="D43" s="328" t="s">
        <v>777</v>
      </c>
      <c r="E43" s="329" t="s">
        <v>778</v>
      </c>
      <c r="F43" s="330">
        <f ca="1">INDIRECT("'数据-取费表'!k"&amp;$G$1)</f>
        <v>2067.87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-3180</v>
      </c>
      <c r="D46" s="1313" t="str">
        <f>C2</f>
        <v>万元</v>
      </c>
      <c r="E46" s="1307"/>
      <c r="F46" s="1307"/>
      <c r="I46" s="1314" t="s">
        <v>810</v>
      </c>
      <c r="J46" s="1315"/>
      <c r="K46" s="1316"/>
      <c r="L46" s="1317">
        <f ca="1">IF(M47="住宅",0,IF(L48&gt;J51,L60,J60))</f>
        <v>36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3410</v>
      </c>
      <c r="K47" s="1323" t="s">
        <v>816</v>
      </c>
      <c r="L47" s="1324">
        <f ca="1">INDIRECT("'数据-取费表'!d"&amp;$G$1)</f>
        <v>50</v>
      </c>
      <c r="M47" s="1288" t="str">
        <f>IF(ISNUMBER(FIND("住宅",C1)),"住宅","非住宅")</f>
        <v>非住宅</v>
      </c>
      <c r="O47" s="1325" t="s">
        <v>403</v>
      </c>
      <c r="P47" s="1326" t="s">
        <v>817</v>
      </c>
      <c r="Q47" s="1327">
        <f ca="1">C40+J29</f>
        <v>3097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3411</v>
      </c>
      <c r="K48" s="1330" t="s">
        <v>820</v>
      </c>
      <c r="L48" s="1331">
        <f ca="1">INDIRECT("'数据-取费表'!f"&amp;$G$1)</f>
        <v>35.74</v>
      </c>
      <c r="O48" s="1325" t="s">
        <v>404</v>
      </c>
      <c r="P48" s="1326" t="s">
        <v>821</v>
      </c>
      <c r="Q48" s="1327">
        <f ca="1">J60</f>
        <v>36</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3147">
        <v>2012</v>
      </c>
      <c r="K49" s="1330" t="s">
        <v>824</v>
      </c>
      <c r="L49" s="1333"/>
      <c r="O49" s="1334" t="s">
        <v>405</v>
      </c>
      <c r="P49" s="1326" t="s">
        <v>825</v>
      </c>
      <c r="Q49" s="1327">
        <f ca="1">C29</f>
        <v>859</v>
      </c>
      <c r="R49" s="1327" t="s">
        <v>818</v>
      </c>
    </row>
    <row r="50" spans="1:18" s="1292" customFormat="1" ht="13.8" thickBot="1">
      <c r="A50" s="922"/>
      <c r="B50" s="925"/>
      <c r="C50" s="1055"/>
      <c r="D50" s="899"/>
      <c r="E50" s="993" t="s">
        <v>697</v>
      </c>
      <c r="F50" s="994">
        <f ca="1">F7</f>
        <v>2067.87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1811</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c r="O52" s="1334" t="s">
        <v>408</v>
      </c>
      <c r="P52" s="1326" t="s">
        <v>834</v>
      </c>
      <c r="Q52" s="1327">
        <f ca="1">J53</f>
        <v>35.74</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35.74</v>
      </c>
      <c r="K53" s="3337" t="s">
        <v>837</v>
      </c>
      <c r="L53" s="3338"/>
      <c r="O53" s="1325" t="s">
        <v>409</v>
      </c>
      <c r="P53" s="1326" t="s">
        <v>838</v>
      </c>
      <c r="Q53" s="1327">
        <f ca="1">Q47+Q48</f>
        <v>3133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730</v>
      </c>
      <c r="D56" s="1352"/>
      <c r="E56" s="1353"/>
      <c r="F56" s="1345"/>
      <c r="I56" s="1354" t="s">
        <v>842</v>
      </c>
      <c r="J56" s="1355" t="s">
        <v>3412</v>
      </c>
      <c r="K56" s="1328" t="s">
        <v>843</v>
      </c>
      <c r="L56" s="1331" t="str">
        <f ca="1">IF(L48&lt;J51,"——",L48-J53)</f>
        <v>——</v>
      </c>
      <c r="O56" s="1325" t="s">
        <v>403</v>
      </c>
      <c r="P56" s="1326" t="s">
        <v>817</v>
      </c>
      <c r="Q56" s="1327">
        <f ca="1">C40+J29</f>
        <v>3097</v>
      </c>
      <c r="R56" s="1327" t="s">
        <v>818</v>
      </c>
    </row>
    <row r="57" spans="1:18" s="1292" customFormat="1" ht="24.6" thickBot="1">
      <c r="A57" s="1356"/>
      <c r="B57" s="896" t="s">
        <v>767</v>
      </c>
      <c r="C57" s="230">
        <f ca="1">C29</f>
        <v>859</v>
      </c>
      <c r="D57" s="1357"/>
      <c r="E57" s="1358"/>
      <c r="F57" s="1359"/>
      <c r="I57" s="1360" t="s">
        <v>844</v>
      </c>
      <c r="J57" s="1361">
        <f ca="1">IF(OR(M47="住宅",J51&lt;L48,J56="是"),"——",J51-L48)</f>
        <v>12.259999999999998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3097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0.37</v>
      </c>
      <c r="D65" s="910" t="s">
        <v>743</v>
      </c>
      <c r="E65" s="896" t="s">
        <v>744</v>
      </c>
      <c r="F65" s="321">
        <f t="shared" ca="1" si="0"/>
        <v>5.0000000000000001E-4</v>
      </c>
      <c r="I65" s="1367" t="s">
        <v>867</v>
      </c>
      <c r="J65" s="610">
        <v>40</v>
      </c>
      <c r="K65" s="610">
        <v>30</v>
      </c>
      <c r="L65" s="610">
        <v>50</v>
      </c>
      <c r="M65" s="1369">
        <v>0.02</v>
      </c>
      <c r="O65" s="1325" t="s">
        <v>403</v>
      </c>
      <c r="P65" s="1326" t="s">
        <v>868</v>
      </c>
      <c r="Q65" s="1327">
        <f ca="1">C40+J29</f>
        <v>3097</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1811</v>
      </c>
      <c r="R67" s="1327" t="s">
        <v>870</v>
      </c>
    </row>
    <row r="68" spans="1:18" s="1292" customFormat="1" ht="16.2" thickBot="1">
      <c r="A68" s="893" t="s">
        <v>395</v>
      </c>
      <c r="B68" s="894" t="s">
        <v>774</v>
      </c>
      <c r="C68" s="293">
        <f ca="1">ROUND(C67*(1-((1+F70)/(1+F68))^F69)/(F68-F70),0)</f>
        <v>-83</v>
      </c>
      <c r="D68" s="911" t="s">
        <v>758</v>
      </c>
      <c r="E68" s="896" t="s">
        <v>759</v>
      </c>
      <c r="F68" s="304">
        <f ca="1">F40</f>
        <v>0.05</v>
      </c>
      <c r="O68" s="1334" t="s">
        <v>406</v>
      </c>
      <c r="P68" s="1371" t="s">
        <v>871</v>
      </c>
      <c r="Q68" s="1327">
        <f ca="1">ROUND(Q69-Q70*Q71,0)</f>
        <v>100</v>
      </c>
      <c r="R68" s="1327" t="s">
        <v>414</v>
      </c>
    </row>
    <row r="69" spans="1:18" s="1292" customFormat="1" ht="13.8" thickBot="1">
      <c r="A69" s="897"/>
      <c r="B69" s="898"/>
      <c r="C69" s="298"/>
      <c r="D69" s="916" t="s">
        <v>762</v>
      </c>
      <c r="E69" s="896" t="s">
        <v>763</v>
      </c>
      <c r="F69" s="324">
        <f ca="1">F41</f>
        <v>35.74</v>
      </c>
      <c r="O69" s="1334" t="s">
        <v>411</v>
      </c>
      <c r="P69" s="1371" t="s">
        <v>872</v>
      </c>
      <c r="Q69" s="1327">
        <f ca="1">C39</f>
        <v>144</v>
      </c>
      <c r="R69" s="1327" t="s">
        <v>818</v>
      </c>
    </row>
    <row r="70" spans="1:18" s="1292" customFormat="1" ht="13.8" thickBot="1">
      <c r="A70" s="900"/>
      <c r="B70" s="901"/>
      <c r="C70" s="302"/>
      <c r="D70" s="912"/>
      <c r="E70" s="896" t="s">
        <v>766</v>
      </c>
      <c r="F70" s="991"/>
      <c r="O70" s="1334" t="s">
        <v>412</v>
      </c>
      <c r="P70" s="1371" t="s">
        <v>873</v>
      </c>
      <c r="Q70" s="1327">
        <f ca="1">C13</f>
        <v>730</v>
      </c>
      <c r="R70" s="1327" t="s">
        <v>818</v>
      </c>
    </row>
    <row r="71" spans="1:18" s="1292" customFormat="1" ht="13.8" thickBot="1">
      <c r="A71" s="917" t="s">
        <v>396</v>
      </c>
      <c r="B71" s="918" t="s">
        <v>776</v>
      </c>
      <c r="C71" s="327">
        <f ca="1">ROUND(C68*10000/F71,0)</f>
        <v>-401</v>
      </c>
      <c r="D71" s="919" t="s">
        <v>777</v>
      </c>
      <c r="E71" s="920" t="s">
        <v>778</v>
      </c>
      <c r="F71" s="330">
        <f ca="1">F43</f>
        <v>2067.87</v>
      </c>
      <c r="O71" s="1334" t="s">
        <v>413</v>
      </c>
      <c r="P71" s="1371" t="s">
        <v>874</v>
      </c>
      <c r="Q71" s="1337">
        <f ca="1">C76</f>
        <v>0.06</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v>
      </c>
      <c r="D75" s="1292"/>
      <c r="E75" s="1292"/>
      <c r="F75" s="1292"/>
      <c r="K75" s="1309"/>
      <c r="L75" s="1292"/>
      <c r="O75" s="1325" t="s">
        <v>409</v>
      </c>
      <c r="P75" s="1326" t="s">
        <v>838</v>
      </c>
      <c r="Q75" s="1327">
        <f ca="1">Q65+Q66</f>
        <v>3097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0.69399999999999995</v>
      </c>
    </row>
    <row r="80" spans="1:18">
      <c r="B80" s="331" t="s">
        <v>800</v>
      </c>
      <c r="C80" s="266">
        <f ca="1">ROUND(C75/C39,3)</f>
        <v>0.30599999999999999</v>
      </c>
    </row>
    <row r="81" spans="2:3">
      <c r="B81" s="262" t="s">
        <v>801</v>
      </c>
      <c r="C81" s="230"/>
    </row>
    <row r="82" spans="2:3">
      <c r="B82" s="265" t="s">
        <v>802</v>
      </c>
      <c r="C82" s="267">
        <f ca="1">1-C83</f>
        <v>0.76400000000000001</v>
      </c>
    </row>
    <row r="83" spans="2:3">
      <c r="B83" s="265" t="s">
        <v>803</v>
      </c>
      <c r="C83" s="266">
        <f ca="1">ROUND(C13/C40,3)</f>
        <v>0.23599999999999999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0</v>
      </c>
      <c r="D6" s="147" t="s">
        <v>2106</v>
      </c>
      <c r="E6" s="294" t="s">
        <v>696</v>
      </c>
      <c r="F6" s="295">
        <f ca="1">INDIRECT("'数据-取费表'!u"&amp;$G$1)</f>
        <v>0</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#DIV/0!</v>
      </c>
      <c r="D45" s="3131" t="s">
        <v>3354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2" customHeight="1">
      <c r="A2" s="1293" t="s">
        <v>2316</v>
      </c>
      <c r="B2" s="2595" t="e">
        <f>IF(D2="——",C40,C40+E2)</f>
        <v>#DIV/0!</v>
      </c>
      <c r="C2" s="2596" t="s">
        <v>2317</v>
      </c>
      <c r="D2" s="3139" t="s">
        <v>3360</v>
      </c>
      <c r="E2" s="3140"/>
      <c r="F2" s="2598"/>
      <c r="G2" s="2599"/>
      <c r="H2" s="2600"/>
      <c r="I2" s="2601"/>
      <c r="J2" s="3348" t="s">
        <v>2318</v>
      </c>
      <c r="K2" s="3349"/>
      <c r="L2" s="2602" t="s">
        <v>2319</v>
      </c>
      <c r="M2" s="2602" t="s">
        <v>2320</v>
      </c>
      <c r="N2" s="2602" t="s">
        <v>2321</v>
      </c>
      <c r="O2" s="2602" t="s">
        <v>2322</v>
      </c>
      <c r="P2" s="2602" t="s">
        <v>2323</v>
      </c>
      <c r="Q2" s="2603" t="s">
        <v>2324</v>
      </c>
      <c r="R2" s="2604" t="s">
        <v>2325</v>
      </c>
      <c r="S2" s="2593"/>
      <c r="T2" s="2593"/>
      <c r="U2" s="2593"/>
      <c r="V2" s="2601"/>
    </row>
    <row r="3" spans="1:22" s="2605" customFormat="1" ht="13.2" customHeight="1">
      <c r="A3" s="2606" t="s">
        <v>2326</v>
      </c>
      <c r="B3" s="2607" t="e">
        <f>ROUND(B2*10000/B4,0)</f>
        <v>#DIV/0!</v>
      </c>
      <c r="C3" s="2596" t="s">
        <v>2327</v>
      </c>
      <c r="D3" s="2596"/>
      <c r="E3" s="2597"/>
      <c r="F3" s="2598"/>
      <c r="G3" s="2599"/>
      <c r="H3" s="2600"/>
      <c r="I3" s="2601"/>
      <c r="J3" s="3350" t="s">
        <v>2328</v>
      </c>
      <c r="K3" s="3351"/>
      <c r="L3" s="2608"/>
      <c r="M3" s="2608"/>
      <c r="N3" s="2608"/>
      <c r="O3" s="2608"/>
      <c r="P3" s="2608"/>
      <c r="Q3" s="2609"/>
      <c r="R3" s="2610">
        <f>SUM(L3:Q3)</f>
        <v>0</v>
      </c>
      <c r="S3" s="2593"/>
      <c r="T3" s="2593"/>
      <c r="U3" s="2593"/>
      <c r="V3" s="2601"/>
    </row>
    <row r="4" spans="1:22" s="2605" customFormat="1" ht="13.2" customHeight="1">
      <c r="A4" s="2611" t="s">
        <v>2329</v>
      </c>
      <c r="B4" s="2612"/>
      <c r="C4" s="2596"/>
      <c r="D4" s="2596"/>
      <c r="E4" s="2597"/>
      <c r="F4" s="2598"/>
      <c r="G4" s="2599"/>
      <c r="H4" s="2600"/>
      <c r="I4" s="2601"/>
      <c r="J4" s="3350" t="s">
        <v>2330</v>
      </c>
      <c r="K4" s="3351"/>
      <c r="L4" s="2613"/>
      <c r="M4" s="2613"/>
      <c r="N4" s="2613"/>
      <c r="O4" s="2613"/>
      <c r="P4" s="2613"/>
      <c r="Q4" s="2614"/>
      <c r="R4" s="2615">
        <f>SUM(L4:Q4)</f>
        <v>0</v>
      </c>
      <c r="S4" s="2593"/>
      <c r="T4" s="2593"/>
      <c r="U4" s="2593"/>
      <c r="V4" s="2601"/>
    </row>
    <row r="5" spans="1:22" s="2605" customFormat="1" ht="13.2"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2" customHeight="1" thickBot="1">
      <c r="A6" s="3356" t="s">
        <v>2334</v>
      </c>
      <c r="B6" s="3357"/>
      <c r="C6" s="3358"/>
      <c r="D6" s="2622"/>
      <c r="E6" s="2623"/>
      <c r="F6" s="2624"/>
      <c r="G6" s="2625"/>
      <c r="H6" s="2600"/>
      <c r="I6" s="2601"/>
      <c r="J6" s="3342">
        <v>1</v>
      </c>
      <c r="K6" s="3343"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2" customHeight="1">
      <c r="A7" s="2628" t="s">
        <v>2344</v>
      </c>
      <c r="B7" s="2629"/>
      <c r="C7" s="2630"/>
      <c r="D7" s="2631">
        <f>SUM(D9,D10,D11,D17,0)</f>
        <v>0</v>
      </c>
      <c r="E7" s="2632" t="e">
        <f>E9+E10+E11+E17</f>
        <v>#DIV/0!</v>
      </c>
      <c r="F7" s="2633"/>
      <c r="G7" s="2634"/>
      <c r="H7" s="2600"/>
      <c r="I7" s="2601"/>
      <c r="J7" s="3342"/>
      <c r="K7" s="3344"/>
      <c r="L7" s="2635" t="s">
        <v>2345</v>
      </c>
      <c r="M7" s="2636"/>
      <c r="N7" s="2612"/>
      <c r="O7" s="2637"/>
      <c r="P7" s="2637"/>
      <c r="Q7" s="2638">
        <v>365</v>
      </c>
      <c r="R7" s="2639">
        <f>ROUND(M7*N7*O7*P7*Q7/10000,0)</f>
        <v>0</v>
      </c>
      <c r="S7" s="2593"/>
      <c r="T7" s="2593" t="s">
        <v>2346</v>
      </c>
      <c r="U7" s="2593"/>
      <c r="V7" s="2601"/>
    </row>
    <row r="8" spans="1:22" s="2605" customFormat="1" ht="13.2" customHeight="1">
      <c r="A8" s="2640" t="s">
        <v>2347</v>
      </c>
      <c r="B8" s="3359" t="s">
        <v>2348</v>
      </c>
      <c r="C8" s="3360"/>
      <c r="D8" s="2641" t="s">
        <v>2349</v>
      </c>
      <c r="E8" s="2642" t="s">
        <v>2350</v>
      </c>
      <c r="F8" s="2643" t="s">
        <v>2351</v>
      </c>
      <c r="G8" s="2644"/>
      <c r="H8" s="2600"/>
      <c r="I8" s="2601"/>
      <c r="J8" s="3342"/>
      <c r="K8" s="3344"/>
      <c r="L8" s="2635" t="s">
        <v>2352</v>
      </c>
      <c r="M8" s="2636"/>
      <c r="N8" s="2612"/>
      <c r="O8" s="2637"/>
      <c r="P8" s="2637"/>
      <c r="Q8" s="2638">
        <v>365</v>
      </c>
      <c r="R8" s="2639">
        <f t="shared" ref="R8:R13" si="0">ROUND(M8*N8*O8*P8*Q8/10000,0)</f>
        <v>0</v>
      </c>
      <c r="S8" s="2593"/>
      <c r="T8" s="2593" t="s">
        <v>2353</v>
      </c>
      <c r="U8" s="2593"/>
      <c r="V8" s="2601"/>
    </row>
    <row r="9" spans="1:22" s="2605" customFormat="1" ht="13.2" customHeight="1">
      <c r="A9" s="2640">
        <v>1</v>
      </c>
      <c r="B9" s="3359" t="s">
        <v>2354</v>
      </c>
      <c r="C9" s="3360"/>
      <c r="D9" s="2641">
        <f>ROUND(D6*E9,0)</f>
        <v>0</v>
      </c>
      <c r="E9" s="2645"/>
      <c r="F9" s="2646" t="s">
        <v>2355</v>
      </c>
      <c r="G9" s="2625"/>
      <c r="H9" s="2600"/>
      <c r="I9" s="2601"/>
      <c r="J9" s="3342"/>
      <c r="K9" s="3344"/>
      <c r="L9" s="2635" t="s">
        <v>2356</v>
      </c>
      <c r="M9" s="2636"/>
      <c r="N9" s="2612"/>
      <c r="O9" s="2637"/>
      <c r="P9" s="2637"/>
      <c r="Q9" s="2638">
        <v>365</v>
      </c>
      <c r="R9" s="2639">
        <f t="shared" si="0"/>
        <v>0</v>
      </c>
      <c r="S9" s="2593"/>
      <c r="T9" s="2593"/>
      <c r="U9" s="2593"/>
      <c r="V9" s="2601"/>
    </row>
    <row r="10" spans="1:22" s="2605" customFormat="1" ht="13.2" customHeight="1">
      <c r="A10" s="2640">
        <v>2</v>
      </c>
      <c r="B10" s="3359" t="s">
        <v>2357</v>
      </c>
      <c r="C10" s="3360"/>
      <c r="D10" s="2641">
        <f>ROUND(D6*E10,0)</f>
        <v>0</v>
      </c>
      <c r="E10" s="2645"/>
      <c r="F10" s="2646" t="s">
        <v>2358</v>
      </c>
      <c r="G10" s="2625"/>
      <c r="H10" s="2600"/>
      <c r="I10" s="2601"/>
      <c r="J10" s="3342"/>
      <c r="K10" s="3344"/>
      <c r="L10" s="2635" t="s">
        <v>2359</v>
      </c>
      <c r="M10" s="2636"/>
      <c r="N10" s="2612"/>
      <c r="O10" s="2637"/>
      <c r="P10" s="2637"/>
      <c r="Q10" s="2638">
        <v>365</v>
      </c>
      <c r="R10" s="2639">
        <f t="shared" si="0"/>
        <v>0</v>
      </c>
      <c r="S10" s="2593"/>
      <c r="T10" s="2593"/>
      <c r="U10" s="2593"/>
      <c r="V10" s="2601"/>
    </row>
    <row r="11" spans="1:22" s="2605" customFormat="1" ht="13.2" customHeight="1">
      <c r="A11" s="2640">
        <v>3</v>
      </c>
      <c r="B11" s="3359" t="s">
        <v>2360</v>
      </c>
      <c r="C11" s="3360"/>
      <c r="D11" s="2641">
        <f>D12+D14+D15+D16</f>
        <v>0</v>
      </c>
      <c r="E11" s="2647" t="e">
        <f>D11/D6</f>
        <v>#DIV/0!</v>
      </c>
      <c r="F11" s="2643"/>
      <c r="G11" s="2644"/>
      <c r="H11" s="2600"/>
      <c r="I11" s="2601"/>
      <c r="J11" s="3342"/>
      <c r="K11" s="3344"/>
      <c r="L11" s="2635" t="s">
        <v>2361</v>
      </c>
      <c r="M11" s="2636"/>
      <c r="N11" s="2612"/>
      <c r="O11" s="2637"/>
      <c r="P11" s="2637"/>
      <c r="Q11" s="2638">
        <v>365</v>
      </c>
      <c r="R11" s="2639">
        <f t="shared" si="0"/>
        <v>0</v>
      </c>
      <c r="S11" s="2593"/>
      <c r="T11" s="2593"/>
      <c r="U11" s="2593"/>
      <c r="V11" s="2601"/>
    </row>
    <row r="12" spans="1:22" s="2605" customFormat="1" ht="13.2" customHeight="1">
      <c r="A12" s="2648" t="s">
        <v>2362</v>
      </c>
      <c r="B12" s="3352" t="s">
        <v>2363</v>
      </c>
      <c r="C12" s="3353"/>
      <c r="D12" s="2649">
        <f>ROUND(D13*1.2%*(1-30%),0)</f>
        <v>0</v>
      </c>
      <c r="E12" s="2650">
        <v>1.2E-2</v>
      </c>
      <c r="F12" s="2643" t="s">
        <v>2364</v>
      </c>
      <c r="G12" s="2644"/>
      <c r="H12" s="2600"/>
      <c r="I12" s="2601"/>
      <c r="J12" s="3342"/>
      <c r="K12" s="3344"/>
      <c r="L12" s="2635" t="s">
        <v>2365</v>
      </c>
      <c r="M12" s="2636"/>
      <c r="N12" s="2612"/>
      <c r="O12" s="2637"/>
      <c r="P12" s="2637"/>
      <c r="Q12" s="2638">
        <v>365</v>
      </c>
      <c r="R12" s="2639">
        <f t="shared" si="0"/>
        <v>0</v>
      </c>
      <c r="S12" s="2593"/>
      <c r="T12" s="2593"/>
      <c r="U12" s="2593"/>
      <c r="V12" s="2601"/>
    </row>
    <row r="13" spans="1:22" s="2605" customFormat="1" ht="13.2" customHeight="1">
      <c r="A13" s="2648"/>
      <c r="B13" s="2651"/>
      <c r="C13" s="2652" t="s">
        <v>2366</v>
      </c>
      <c r="D13" s="2653"/>
      <c r="E13" s="2654"/>
      <c r="F13" s="2643"/>
      <c r="G13" s="2644"/>
      <c r="H13" s="2600"/>
      <c r="I13" s="2601"/>
      <c r="J13" s="3342"/>
      <c r="K13" s="3344"/>
      <c r="L13" s="2635" t="s">
        <v>2367</v>
      </c>
      <c r="M13" s="2636"/>
      <c r="N13" s="2612"/>
      <c r="O13" s="2637"/>
      <c r="P13" s="2637"/>
      <c r="Q13" s="2638">
        <v>365</v>
      </c>
      <c r="R13" s="2639">
        <f t="shared" si="0"/>
        <v>0</v>
      </c>
      <c r="S13" s="2593"/>
      <c r="T13" s="2593"/>
      <c r="U13" s="2593"/>
      <c r="V13" s="2601"/>
    </row>
    <row r="14" spans="1:22" s="2605" customFormat="1" ht="13.2" customHeight="1">
      <c r="A14" s="2648" t="s">
        <v>2368</v>
      </c>
      <c r="B14" s="3352" t="s">
        <v>2369</v>
      </c>
      <c r="C14" s="3353"/>
      <c r="D14" s="2649">
        <f>ROUND(E14*B5/10000,0)</f>
        <v>0</v>
      </c>
      <c r="E14" s="2638"/>
      <c r="F14" s="2643" t="s">
        <v>2370</v>
      </c>
      <c r="G14" s="2644"/>
      <c r="H14" s="2600"/>
      <c r="I14" s="2601"/>
      <c r="J14" s="3342"/>
      <c r="K14" s="3345"/>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2372</v>
      </c>
      <c r="B15" s="3352" t="s">
        <v>2373</v>
      </c>
      <c r="C15" s="3353"/>
      <c r="D15" s="2649">
        <f>ROUND(D6*E15,0)</f>
        <v>0</v>
      </c>
      <c r="E15" s="2650">
        <v>5.5E-2</v>
      </c>
      <c r="F15" s="2643" t="s">
        <v>2374</v>
      </c>
      <c r="G15" s="2625"/>
      <c r="H15" s="2600"/>
      <c r="I15" s="2601"/>
      <c r="J15" s="3342">
        <v>2</v>
      </c>
      <c r="K15" s="3343"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2" customHeight="1">
      <c r="A16" s="2648" t="s">
        <v>2381</v>
      </c>
      <c r="B16" s="3352" t="s">
        <v>2382</v>
      </c>
      <c r="C16" s="3353"/>
      <c r="D16" s="2660">
        <f>D6*E16</f>
        <v>0</v>
      </c>
      <c r="E16" s="2661"/>
      <c r="F16" s="2646" t="s">
        <v>2383</v>
      </c>
      <c r="G16" s="2625"/>
      <c r="H16" s="2600"/>
      <c r="I16" s="2601"/>
      <c r="J16" s="3342"/>
      <c r="K16" s="3344"/>
      <c r="L16" s="2635" t="s">
        <v>2384</v>
      </c>
      <c r="M16" s="2636"/>
      <c r="N16" s="2636"/>
      <c r="O16" s="2637"/>
      <c r="P16" s="2638">
        <v>365</v>
      </c>
      <c r="Q16" s="2612"/>
      <c r="R16" s="2659">
        <f>ROUND(M16*N16*O16*P16/10000,0)</f>
        <v>0</v>
      </c>
      <c r="S16" s="2593"/>
      <c r="T16" s="2593"/>
      <c r="U16" s="2593"/>
      <c r="V16" s="2601"/>
    </row>
    <row r="17" spans="1:22" s="2605" customFormat="1" ht="13.2" customHeight="1" thickBot="1">
      <c r="A17" s="2662">
        <v>4</v>
      </c>
      <c r="B17" s="3354" t="s">
        <v>2385</v>
      </c>
      <c r="C17" s="3355"/>
      <c r="D17" s="2663">
        <f>ROUND(D6*E17,0)</f>
        <v>0</v>
      </c>
      <c r="E17" s="2664"/>
      <c r="F17" s="2665" t="s">
        <v>2386</v>
      </c>
      <c r="G17" s="2625"/>
      <c r="H17" s="2600"/>
      <c r="I17" s="2601"/>
      <c r="J17" s="3342"/>
      <c r="K17" s="3344"/>
      <c r="L17" s="2635" t="s">
        <v>2387</v>
      </c>
      <c r="M17" s="2636"/>
      <c r="N17" s="2636"/>
      <c r="O17" s="2637"/>
      <c r="P17" s="2638">
        <v>365</v>
      </c>
      <c r="Q17" s="2612"/>
      <c r="R17" s="2659">
        <f>ROUND(M17*N17*O17*P17/10000,0)</f>
        <v>0</v>
      </c>
      <c r="S17" s="2593"/>
      <c r="T17" s="2593"/>
      <c r="U17" s="2593"/>
      <c r="V17" s="2601"/>
    </row>
    <row r="18" spans="1:22" s="2605" customFormat="1" ht="13.2" customHeight="1" thickBot="1">
      <c r="A18" s="2628" t="s">
        <v>2388</v>
      </c>
      <c r="B18" s="2629"/>
      <c r="C18" s="2629"/>
      <c r="D18" s="2666">
        <f>ROUND(D6*E18,0)</f>
        <v>0</v>
      </c>
      <c r="E18" s="2667"/>
      <c r="F18" s="2668" t="s">
        <v>2389</v>
      </c>
      <c r="G18" s="2625"/>
      <c r="H18" s="2600"/>
      <c r="I18" s="2601"/>
      <c r="J18" s="3342"/>
      <c r="K18" s="3344"/>
      <c r="L18" s="2635" t="s">
        <v>2390</v>
      </c>
      <c r="M18" s="2636"/>
      <c r="N18" s="2636"/>
      <c r="O18" s="2637"/>
      <c r="P18" s="2638">
        <v>365</v>
      </c>
      <c r="Q18" s="2612"/>
      <c r="R18" s="2659">
        <f>ROUND(M18*N18*O18*P18/10000,0)</f>
        <v>0</v>
      </c>
      <c r="S18" s="2593"/>
      <c r="T18" s="2593"/>
      <c r="U18" s="2593"/>
      <c r="V18" s="2601"/>
    </row>
    <row r="19" spans="1:22" s="2605" customFormat="1" ht="13.2" customHeight="1" thickBot="1">
      <c r="A19" s="2669" t="s">
        <v>2391</v>
      </c>
      <c r="B19" s="2623"/>
      <c r="C19" s="2623"/>
      <c r="D19" s="2623"/>
      <c r="E19" s="2623"/>
      <c r="F19" s="2624"/>
      <c r="G19" s="2644"/>
      <c r="H19" s="2600"/>
      <c r="I19" s="2601"/>
      <c r="J19" s="3342"/>
      <c r="K19" s="3345"/>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2">
        <v>3</v>
      </c>
      <c r="K20" s="3343"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2" customHeight="1">
      <c r="A21" s="2628"/>
      <c r="B21" s="2629"/>
      <c r="C21" s="2674" t="s">
        <v>2400</v>
      </c>
      <c r="D21" s="2675" t="s">
        <v>2401</v>
      </c>
      <c r="E21" s="2676" t="s">
        <v>2402</v>
      </c>
      <c r="F21" s="2672"/>
      <c r="G21" s="2644"/>
      <c r="H21" s="2600"/>
      <c r="I21" s="2601"/>
      <c r="J21" s="3342"/>
      <c r="K21" s="3344"/>
      <c r="L21" s="2635" t="s">
        <v>2403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2404</v>
      </c>
      <c r="D22" s="2679" t="s">
        <v>2405</v>
      </c>
      <c r="E22" s="2680" t="s">
        <v>2406</v>
      </c>
      <c r="F22" s="2672"/>
      <c r="G22" s="2593"/>
      <c r="H22" s="2600"/>
      <c r="I22" s="2601"/>
      <c r="J22" s="3342"/>
      <c r="K22" s="3344"/>
      <c r="L22" s="2635" t="s">
        <v>2407</v>
      </c>
      <c r="M22" s="2636"/>
      <c r="N22" s="2636"/>
      <c r="O22" s="2637"/>
      <c r="P22" s="2638">
        <v>365</v>
      </c>
      <c r="Q22" s="2612"/>
      <c r="R22" s="2677">
        <f>ROUND(M22*N22*O22*P22/10000,0)</f>
        <v>0</v>
      </c>
      <c r="S22" s="2593"/>
      <c r="T22" s="2593"/>
      <c r="U22" s="2593"/>
      <c r="V22" s="2601"/>
    </row>
    <row r="23" spans="1:22" s="2605" customFormat="1" ht="13.2" customHeight="1">
      <c r="A23" s="2681">
        <v>1</v>
      </c>
      <c r="B23" s="2682" t="s">
        <v>2408</v>
      </c>
      <c r="C23" s="2683">
        <f>D6</f>
        <v>0</v>
      </c>
      <c r="D23" s="2684">
        <f>C23*(1+D24)</f>
        <v>0</v>
      </c>
      <c r="E23" s="2685">
        <f>D23*(1+E24)</f>
        <v>0</v>
      </c>
      <c r="F23" s="2686"/>
      <c r="G23" s="2687"/>
      <c r="H23" s="2600"/>
      <c r="I23" s="2601"/>
      <c r="J23" s="3342"/>
      <c r="K23" s="3344"/>
      <c r="L23" s="2635" t="s">
        <v>2409</v>
      </c>
      <c r="M23" s="2636"/>
      <c r="N23" s="2636"/>
      <c r="O23" s="2637"/>
      <c r="P23" s="2638">
        <v>365</v>
      </c>
      <c r="Q23" s="2612"/>
      <c r="R23" s="2677">
        <f>ROUND(M23*N23*O23*P23/10000,0)</f>
        <v>0</v>
      </c>
      <c r="S23" s="2593"/>
      <c r="T23" s="2593"/>
      <c r="U23" s="2593"/>
      <c r="V23" s="2601"/>
    </row>
    <row r="24" spans="1:22" s="2605" customFormat="1" ht="13.2" customHeight="1">
      <c r="A24" s="2688"/>
      <c r="B24" s="2689" t="s">
        <v>2410</v>
      </c>
      <c r="C24" s="2690"/>
      <c r="D24" s="2691"/>
      <c r="E24" s="2692"/>
      <c r="F24" s="2693"/>
      <c r="G24" s="2687"/>
      <c r="H24" s="2600"/>
      <c r="I24" s="2601"/>
      <c r="J24" s="3342"/>
      <c r="K24" s="3345"/>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2" customHeight="1">
      <c r="A26" s="2681">
        <v>2</v>
      </c>
      <c r="B26" s="2682" t="s">
        <v>2412</v>
      </c>
      <c r="C26" s="2683">
        <f>D7</f>
        <v>0</v>
      </c>
      <c r="D26" s="2684">
        <f>D23*D27</f>
        <v>0</v>
      </c>
      <c r="E26" s="2685">
        <f>E23*E27</f>
        <v>0</v>
      </c>
      <c r="F26" s="2686"/>
      <c r="G26" s="2687"/>
      <c r="H26" s="2600"/>
      <c r="I26" s="2601"/>
      <c r="J26" s="3346">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2" customHeight="1">
      <c r="A27" s="2688"/>
      <c r="B27" s="2689" t="s">
        <v>2418</v>
      </c>
      <c r="C27" s="2706" t="e">
        <f>E7</f>
        <v>#DIV/0!</v>
      </c>
      <c r="D27" s="2691"/>
      <c r="E27" s="2692"/>
      <c r="F27" s="2693"/>
      <c r="G27" s="2687"/>
      <c r="H27" s="2707"/>
      <c r="I27" s="2699"/>
      <c r="J27" s="334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2"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2" customHeight="1">
      <c r="A32" s="2681">
        <v>4</v>
      </c>
      <c r="B32" s="2682" t="s">
        <v>2426</v>
      </c>
      <c r="C32" s="2683">
        <f>C23-C26-C29</f>
        <v>0</v>
      </c>
      <c r="D32" s="2684">
        <f>D23-D26-D29</f>
        <v>0</v>
      </c>
      <c r="E32" s="2685">
        <f>E23-E26-E29</f>
        <v>0</v>
      </c>
      <c r="F32" s="2686"/>
      <c r="G32" s="2593"/>
      <c r="H32" s="2600"/>
      <c r="I32" s="2601"/>
      <c r="J32" s="3348" t="s">
        <v>2318</v>
      </c>
      <c r="K32" s="3349"/>
      <c r="L32" s="2602" t="s">
        <v>2319</v>
      </c>
      <c r="M32" s="2602" t="s">
        <v>2320</v>
      </c>
      <c r="N32" s="2602" t="s">
        <v>2321</v>
      </c>
      <c r="O32" s="2602" t="s">
        <v>2322</v>
      </c>
      <c r="P32" s="2602" t="s">
        <v>2323</v>
      </c>
      <c r="Q32" s="2603" t="s">
        <v>2324</v>
      </c>
      <c r="R32" s="2722" t="s">
        <v>2325</v>
      </c>
      <c r="S32" s="2593"/>
      <c r="T32" s="2593"/>
      <c r="U32" s="2593"/>
      <c r="V32" s="2699"/>
    </row>
    <row r="33" spans="1:23" s="2605" customFormat="1" ht="13.2" customHeight="1">
      <c r="A33" s="2681"/>
      <c r="B33" s="2682"/>
      <c r="C33" s="2683"/>
      <c r="D33" s="2723"/>
      <c r="E33" s="2724"/>
      <c r="F33" s="2686"/>
      <c r="G33" s="2593"/>
      <c r="H33" s="2707"/>
      <c r="I33" s="2699"/>
      <c r="J33" s="3350" t="s">
        <v>2328</v>
      </c>
      <c r="K33" s="3351"/>
      <c r="L33" s="2608"/>
      <c r="M33" s="2608"/>
      <c r="N33" s="2608"/>
      <c r="O33" s="2608"/>
      <c r="P33" s="2608"/>
      <c r="Q33" s="2609"/>
      <c r="R33" s="2725">
        <f>SUM(L33:Q33)</f>
        <v>0</v>
      </c>
      <c r="S33" s="2593"/>
      <c r="T33" s="2593"/>
      <c r="U33" s="2593"/>
      <c r="V33" s="2601"/>
    </row>
    <row r="34" spans="1:23" s="2605" customFormat="1" ht="13.2" customHeight="1">
      <c r="A34" s="2681">
        <v>5</v>
      </c>
      <c r="B34" s="2682" t="s">
        <v>2427</v>
      </c>
      <c r="C34" s="2726"/>
      <c r="D34" s="2727"/>
      <c r="E34" s="2728"/>
      <c r="F34" s="2686"/>
      <c r="G34" s="2593"/>
      <c r="H34" s="2707"/>
      <c r="I34" s="2699"/>
      <c r="J34" s="3350" t="s">
        <v>2330</v>
      </c>
      <c r="K34" s="335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2" customHeight="1" thickBot="1">
      <c r="A36" s="2681">
        <v>7</v>
      </c>
      <c r="B36" s="2735" t="s">
        <v>2429</v>
      </c>
      <c r="C36" s="2736"/>
      <c r="D36" s="2737"/>
      <c r="E36" s="2738"/>
      <c r="F36" s="2739">
        <f>C36+D36+E36</f>
        <v>0</v>
      </c>
      <c r="G36" s="2593"/>
      <c r="H36" s="2600"/>
      <c r="I36" s="2601"/>
      <c r="J36" s="3342">
        <v>1</v>
      </c>
      <c r="K36" s="3343" t="s">
        <v>2430</v>
      </c>
      <c r="L36" s="2626"/>
      <c r="M36" s="2627"/>
      <c r="N36" s="2627"/>
      <c r="O36" s="2627"/>
      <c r="P36" s="2627"/>
      <c r="Q36" s="2627"/>
      <c r="R36" s="2610" t="s">
        <v>2342</v>
      </c>
      <c r="S36" s="2593"/>
      <c r="T36" s="2593" t="s">
        <v>2343</v>
      </c>
      <c r="U36" s="2593"/>
      <c r="V36" s="2601"/>
    </row>
    <row r="37" spans="1:23" s="2605" customFormat="1" ht="13.2"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2353</v>
      </c>
      <c r="U38" s="2593"/>
      <c r="V38" s="2601"/>
    </row>
    <row r="39" spans="1:23" s="2605" customFormat="1" ht="13.2" customHeight="1">
      <c r="A39" s="2681">
        <v>9</v>
      </c>
      <c r="B39" s="2682" t="s">
        <v>2431</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2" customHeight="1">
      <c r="A40" s="2740">
        <v>10</v>
      </c>
      <c r="B40" s="2682" t="s">
        <v>2432</v>
      </c>
      <c r="C40" s="2741" t="e">
        <f>C39+D39+E39</f>
        <v>#DIV/0!</v>
      </c>
      <c r="D40" s="2742"/>
      <c r="E40" s="2742"/>
      <c r="F40" s="2743"/>
      <c r="G40" s="2593"/>
      <c r="H40" s="2600"/>
      <c r="I40" s="2601"/>
      <c r="J40" s="3342"/>
      <c r="K40" s="3345"/>
      <c r="L40" s="2655" t="s">
        <v>2371</v>
      </c>
      <c r="M40" s="2656"/>
      <c r="N40" s="2656"/>
      <c r="O40" s="2657"/>
      <c r="P40" s="2657"/>
      <c r="Q40" s="2658"/>
      <c r="R40" s="2604">
        <f>SUM(R37:R39)</f>
        <v>0</v>
      </c>
      <c r="S40" s="2593"/>
      <c r="T40" s="2593"/>
      <c r="U40" s="2593"/>
      <c r="V40" s="2601"/>
    </row>
    <row r="41" spans="1:23" s="2605" customFormat="1" ht="13.2"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2" customHeight="1">
      <c r="G42" s="2600"/>
      <c r="H42" s="2600"/>
      <c r="I42" s="2601"/>
      <c r="J42" s="3346">
        <v>3</v>
      </c>
      <c r="K42" s="2701" t="s">
        <v>2413</v>
      </c>
      <c r="L42" s="2702"/>
      <c r="M42" s="2703"/>
      <c r="N42" s="2704" t="s">
        <v>2414</v>
      </c>
      <c r="O42" s="2704" t="s">
        <v>2415</v>
      </c>
      <c r="P42" s="2705" t="s">
        <v>2416</v>
      </c>
      <c r="Q42" s="2705" t="s">
        <v>2417</v>
      </c>
      <c r="R42" s="2610" t="s">
        <v>2342</v>
      </c>
      <c r="S42" s="2644"/>
      <c r="T42" s="2644"/>
      <c r="U42" s="2593"/>
      <c r="V42" s="2601"/>
    </row>
    <row r="43" spans="1:23" ht="13.2" customHeight="1">
      <c r="A43" s="2605"/>
      <c r="B43" s="2605"/>
      <c r="C43" s="2605"/>
      <c r="D43" s="2605"/>
      <c r="E43" s="2605"/>
      <c r="F43" s="2605"/>
      <c r="I43" s="2588"/>
      <c r="J43" s="334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3133</v>
      </c>
      <c r="C2" s="1729" t="s">
        <v>1651</v>
      </c>
      <c r="D2" s="1730" t="s">
        <v>1652</v>
      </c>
      <c r="E2" s="2393">
        <f>SUM(E6:E13)</f>
        <v>2067.87</v>
      </c>
      <c r="F2" s="2480"/>
      <c r="G2" s="459"/>
      <c r="H2" s="459"/>
      <c r="I2" s="459"/>
      <c r="J2" s="459"/>
      <c r="K2" s="459"/>
      <c r="L2" s="459"/>
      <c r="M2" s="459"/>
      <c r="N2" s="459"/>
      <c r="O2" s="459"/>
      <c r="P2" s="459"/>
      <c r="Q2" s="459"/>
      <c r="R2" s="459"/>
      <c r="S2" s="459"/>
    </row>
    <row r="3" spans="1:22" ht="15.6">
      <c r="A3" s="1728" t="s">
        <v>686</v>
      </c>
      <c r="B3" s="2387">
        <f ca="1">ROUND(B2*10000/E2,0)</f>
        <v>15151</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61" t="s">
        <v>1654</v>
      </c>
      <c r="C5" s="3362"/>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3133</v>
      </c>
      <c r="C6" s="1729" t="s">
        <v>1651</v>
      </c>
      <c r="D6" s="2480"/>
      <c r="E6" s="2392">
        <f>IF(OR(A6=0,F6="否"),0,'数据-取费表'!K6+'数据-取费表'!S6)</f>
        <v>2067.87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2067.87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c r="A5" s="348"/>
      <c r="B5" s="349"/>
      <c r="C5" s="3399" t="s">
        <v>1673</v>
      </c>
      <c r="D5" s="3400"/>
      <c r="E5" s="3406" t="s">
        <v>1674</v>
      </c>
      <c r="F5" s="3407"/>
      <c r="G5" s="3399" t="s">
        <v>1675</v>
      </c>
      <c r="H5" s="3400"/>
      <c r="I5" s="3399" t="s">
        <v>1676</v>
      </c>
      <c r="J5" s="3400"/>
      <c r="K5" s="1745"/>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1745"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6"/>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6"/>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6"/>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2067.87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45593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2067.87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414" t="s">
        <v>1775</v>
      </c>
      <c r="Q4" s="3415"/>
      <c r="R4" s="3418" t="s">
        <v>1771</v>
      </c>
      <c r="S4" s="3419"/>
      <c r="T4" s="3418" t="s">
        <v>1772</v>
      </c>
      <c r="U4" s="3419"/>
      <c r="V4" s="3420" t="s">
        <v>1773</v>
      </c>
      <c r="W4" s="3420"/>
      <c r="X4" s="1809"/>
      <c r="Y4" s="3418" t="s">
        <v>1775</v>
      </c>
      <c r="Z4" s="3419"/>
      <c r="AA4" s="3422" t="s">
        <v>1771</v>
      </c>
      <c r="AB4" s="3422" t="s">
        <v>1772</v>
      </c>
      <c r="AC4" s="3411" t="s">
        <v>1773</v>
      </c>
    </row>
    <row r="5" spans="1:29">
      <c r="A5" s="348"/>
      <c r="B5" s="349"/>
      <c r="C5" s="3399" t="s">
        <v>1673</v>
      </c>
      <c r="D5" s="3400"/>
      <c r="E5" s="3406" t="s">
        <v>1674</v>
      </c>
      <c r="F5" s="3407"/>
      <c r="G5" s="3399" t="s">
        <v>1675</v>
      </c>
      <c r="H5" s="3400"/>
      <c r="I5" s="3399" t="s">
        <v>1676</v>
      </c>
      <c r="J5" s="3400"/>
      <c r="K5" s="537"/>
      <c r="L5" s="2487"/>
      <c r="M5" s="2488"/>
      <c r="N5" s="2488"/>
      <c r="O5" s="2488"/>
      <c r="P5" s="3416"/>
      <c r="Q5" s="3388"/>
      <c r="R5" s="3393"/>
      <c r="S5" s="3394"/>
      <c r="T5" s="3393"/>
      <c r="U5" s="3394"/>
      <c r="V5" s="3367"/>
      <c r="W5" s="3367"/>
      <c r="X5" s="1265"/>
      <c r="Y5" s="3393"/>
      <c r="Z5" s="3394"/>
      <c r="AA5" s="3379"/>
      <c r="AB5" s="3379"/>
      <c r="AC5" s="3412"/>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417"/>
      <c r="Q6" s="3390"/>
      <c r="R6" s="3393"/>
      <c r="S6" s="3394"/>
      <c r="T6" s="3395"/>
      <c r="U6" s="3396"/>
      <c r="V6" s="3367"/>
      <c r="W6" s="3367"/>
      <c r="X6" s="1265"/>
      <c r="Y6" s="3395"/>
      <c r="Z6" s="3396"/>
      <c r="AA6" s="3380"/>
      <c r="AB6" s="3380"/>
      <c r="AC6" s="3413"/>
    </row>
    <row r="7" spans="1:29" s="102" customFormat="1" ht="15" thickBot="1">
      <c r="A7" s="352" t="s">
        <v>1679</v>
      </c>
      <c r="B7" s="353"/>
      <c r="C7" s="354">
        <f>'数据-取费表'!B2</f>
        <v>45593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1"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6"/>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6"/>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7" t="str">
        <f>A48</f>
        <v>成交单价（元/平方米）</v>
      </c>
      <c r="Q48" s="3366"/>
      <c r="R48" s="3367">
        <f>E48</f>
        <v>0</v>
      </c>
      <c r="S48" s="3367"/>
      <c r="T48" s="3367">
        <f>G48</f>
        <v>0</v>
      </c>
      <c r="U48" s="3367"/>
      <c r="V48" s="3367">
        <f>I48</f>
        <v>0</v>
      </c>
      <c r="W48" s="336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7"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Normal="60" zoomScaleSheetLayoutView="100" workbookViewId="0">
      <selection activeCell="H23" sqref="H23"/>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8.88671875" style="347" customWidth="1"/>
    <col min="6" max="6" width="12.21875" style="347" customWidth="1"/>
    <col min="7" max="7" width="18.4414062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3414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2.5</v>
      </c>
      <c r="C3" s="344" t="s">
        <v>1768</v>
      </c>
      <c r="D3" s="343">
        <f>IF(D1="",'数据-汇总表'!E3,SUMIF('数据-汇总表'!$C19:$C33,D1,'数据-汇总表'!$E19:$E33))</f>
        <v>2067.87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488" t="s">
        <v>3445</v>
      </c>
      <c r="D5" s="3400"/>
      <c r="E5" s="3406" t="str">
        <f>C5</f>
        <v>企业墅</v>
      </c>
      <c r="F5" s="3407"/>
      <c r="G5" s="3399" t="str">
        <f>C5</f>
        <v>企业墅</v>
      </c>
      <c r="H5" s="3400"/>
      <c r="I5" s="3399" t="str">
        <f>C5</f>
        <v>企业墅</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v>45566</v>
      </c>
      <c r="F7" s="357">
        <f>SUMIF(52:52,YEAR(E7)&amp;"-"&amp;MONTH(E7),53:53)</f>
        <v>100</v>
      </c>
      <c r="G7" s="356">
        <v>45566</v>
      </c>
      <c r="H7" s="355">
        <f>SUMIF(52:52,YEAR(G7)&amp;"-"&amp;MONTH(G7),53:53)</f>
        <v>100</v>
      </c>
      <c r="I7" s="356">
        <v>45566</v>
      </c>
      <c r="J7" s="355">
        <f>SUMIF(52:52,YEAR(I7)&amp;"-"&amp;MONTH(I7),53:53)</f>
        <v>100</v>
      </c>
      <c r="K7" s="38"/>
      <c r="L7" s="862"/>
      <c r="M7" s="863"/>
      <c r="N7" s="863"/>
      <c r="O7" s="863"/>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3437</v>
      </c>
      <c r="D8" s="355">
        <v>100</v>
      </c>
      <c r="E8" s="358" t="s">
        <v>3427</v>
      </c>
      <c r="F8" s="357">
        <f>SUMIF(55:55,E8,56:56)-SUMIF(55:55,C8,56:56)+100</f>
        <v>102</v>
      </c>
      <c r="G8" s="358" t="s">
        <v>3427</v>
      </c>
      <c r="H8" s="355">
        <f>SUMIF(55:55,G8,56:56)-SUMIF(55:55,C8,56:56)+100</f>
        <v>102</v>
      </c>
      <c r="I8" s="358" t="s">
        <v>3427</v>
      </c>
      <c r="J8" s="355">
        <f>SUMIF(55:55,I8,56:56)-SUMIF(55:55,C8,56:56)+100</f>
        <v>102</v>
      </c>
      <c r="K8" s="38"/>
      <c r="L8" s="862"/>
      <c r="M8" s="863"/>
      <c r="N8" s="863"/>
      <c r="O8" s="863"/>
      <c r="P8" s="3401" t="s">
        <v>1683</v>
      </c>
      <c r="Q8" s="3402"/>
      <c r="R8" s="664" t="s">
        <v>14</v>
      </c>
      <c r="S8" s="665">
        <f t="shared" si="0"/>
        <v>102</v>
      </c>
      <c r="T8" s="664" t="s">
        <v>14</v>
      </c>
      <c r="U8" s="665">
        <f t="shared" si="1"/>
        <v>102</v>
      </c>
      <c r="V8" s="664" t="s">
        <v>14</v>
      </c>
      <c r="W8" s="665">
        <f t="shared" si="2"/>
        <v>102</v>
      </c>
      <c r="X8" s="666"/>
      <c r="Y8" s="3401" t="s">
        <v>1683</v>
      </c>
      <c r="Z8" s="3402"/>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t="s">
        <v>3418</v>
      </c>
      <c r="D29" s="405">
        <v>100</v>
      </c>
      <c r="E29" s="1764" t="s">
        <v>3418</v>
      </c>
      <c r="F29" s="400">
        <f>SUMIF(88:88,E29,89:89)-SUMIF(88:88,C29,89:89)+100</f>
        <v>100</v>
      </c>
      <c r="G29" s="1764" t="s">
        <v>3418</v>
      </c>
      <c r="H29" s="374">
        <f>SUMIF(88:88,G29,89:89)-SUMIF(88:88,C29,89:89)+100</f>
        <v>100</v>
      </c>
      <c r="I29" s="1764" t="s">
        <v>3418</v>
      </c>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f>'数据-汇总表'!F19</f>
        <v>2067.87</v>
      </c>
      <c r="D30" s="119">
        <v>100</v>
      </c>
      <c r="E30" s="369">
        <f>租金案例!Q6</f>
        <v>2500</v>
      </c>
      <c r="F30" s="364">
        <f>LOOKUP(E30,91:91,92:92)-LOOKUP(C30,91:91,92:92)+100</f>
        <v>100</v>
      </c>
      <c r="G30" s="368">
        <f>租金案例!Q7</f>
        <v>2850</v>
      </c>
      <c r="H30" s="119">
        <f>LOOKUP(G30,91:91,92:92)-LOOKUP(C30,91:91,92:92)+100</f>
        <v>100</v>
      </c>
      <c r="I30" s="368">
        <f>租金案例!Q8</f>
        <v>1000</v>
      </c>
      <c r="J30" s="119">
        <f>LOOKUP(I30,91:91,92:92)-LOOKUP(C30,91:91,92:92)+100</f>
        <v>101</v>
      </c>
      <c r="K30" s="539"/>
      <c r="L30" s="868"/>
      <c r="M30" s="871"/>
      <c r="N30" s="871"/>
      <c r="O30" s="872"/>
      <c r="P30" s="3373"/>
      <c r="Q30" s="531" t="str">
        <f t="shared" si="11"/>
        <v>项目建筑规模</v>
      </c>
      <c r="R30" s="669" t="s">
        <v>14</v>
      </c>
      <c r="S30" s="670">
        <f t="shared" si="12"/>
        <v>100</v>
      </c>
      <c r="T30" s="669" t="s">
        <v>14</v>
      </c>
      <c r="U30" s="670">
        <f t="shared" si="13"/>
        <v>100</v>
      </c>
      <c r="V30" s="669" t="s">
        <v>14</v>
      </c>
      <c r="W30" s="670">
        <f t="shared" si="14"/>
        <v>101</v>
      </c>
      <c r="X30" s="671"/>
      <c r="Y30" s="3373"/>
      <c r="Z30" s="672" t="str">
        <f t="shared" si="15"/>
        <v>项目建筑规模</v>
      </c>
      <c r="AA30" s="1264">
        <f t="shared" si="3"/>
        <v>1</v>
      </c>
      <c r="AB30" s="1264">
        <f t="shared" si="4"/>
        <v>1</v>
      </c>
      <c r="AC30" s="1264">
        <f t="shared" si="5"/>
        <v>0.99009900990099009</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v>85</v>
      </c>
      <c r="D33" s="374">
        <v>100</v>
      </c>
      <c r="E33" s="411">
        <v>0.85</v>
      </c>
      <c r="F33" s="400">
        <f>LOOKUP(E33,98:98,99:99)-LOOKUP(C33,98:98,99:99)+100</f>
        <v>100</v>
      </c>
      <c r="G33" s="411">
        <v>0.85</v>
      </c>
      <c r="H33" s="400">
        <f>LOOKUP(G33,98:98,99:99)-LOOKUP(C33,98:98,99:99)+100</f>
        <v>100</v>
      </c>
      <c r="I33" s="411">
        <v>0.85</v>
      </c>
      <c r="J33" s="374">
        <f>LOOKUP(I33,98:98,99:99)-LOOKUP(C33,98:98,99:99)+100</f>
        <v>100</v>
      </c>
      <c r="K33" s="538"/>
      <c r="L33" s="870"/>
      <c r="M33" s="861"/>
      <c r="N33" s="861"/>
      <c r="O33" s="869"/>
      <c r="P33" s="3373"/>
      <c r="Q33" s="1263" t="str">
        <f t="shared" si="11"/>
        <v>成新度</v>
      </c>
      <c r="R33" s="667" t="s">
        <v>14</v>
      </c>
      <c r="S33" s="668">
        <f t="shared" si="12"/>
        <v>100</v>
      </c>
      <c r="T33" s="667" t="s">
        <v>14</v>
      </c>
      <c r="U33" s="668">
        <f t="shared" si="13"/>
        <v>100</v>
      </c>
      <c r="V33" s="667" t="s">
        <v>14</v>
      </c>
      <c r="W33" s="668">
        <f t="shared" si="14"/>
        <v>100</v>
      </c>
      <c r="X33" s="1265"/>
      <c r="Y33" s="337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t="s">
        <v>3421</v>
      </c>
      <c r="D36" s="374">
        <v>100</v>
      </c>
      <c r="E36" s="399" t="s">
        <v>3421</v>
      </c>
      <c r="F36" s="400">
        <f>SUMIF(104:104,E36,105:105)-SUMIF(104:104,C36,105:105)+100</f>
        <v>100</v>
      </c>
      <c r="G36" s="399" t="s">
        <v>3421</v>
      </c>
      <c r="H36" s="374">
        <f>SUMIF(104:104,G36,105:105)-SUMIF(104:104,C36,105:105)+100</f>
        <v>100</v>
      </c>
      <c r="I36" s="399" t="s">
        <v>3421</v>
      </c>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t="s">
        <v>3429</v>
      </c>
      <c r="D37" s="374">
        <v>100</v>
      </c>
      <c r="E37" s="542" t="s">
        <v>3429</v>
      </c>
      <c r="F37" s="400">
        <f>SUMIF(106:106,E37,107:107)-SUMIF(106:106,C37,107:107)+100</f>
        <v>100</v>
      </c>
      <c r="G37" s="542" t="s">
        <v>3429</v>
      </c>
      <c r="H37" s="374">
        <f>SUMIF(106:106,G37,107:107)-SUMIF(106:106,C37,107:107)+100</f>
        <v>100</v>
      </c>
      <c r="I37" s="542" t="s">
        <v>3429</v>
      </c>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f>租金案例!R6</f>
        <v>2.4</v>
      </c>
      <c r="F41" s="420"/>
      <c r="G41" s="421">
        <f>租金案例!R7</f>
        <v>2.5</v>
      </c>
      <c r="H41" s="422"/>
      <c r="I41" s="419">
        <f>租金案例!R8</f>
        <v>2.6</v>
      </c>
      <c r="J41" s="422"/>
      <c r="K41" s="674"/>
      <c r="L41" s="873"/>
      <c r="M41" s="861"/>
      <c r="N41" s="861"/>
      <c r="O41" s="861"/>
      <c r="P41" s="3366" t="str">
        <f>A41</f>
        <v>成交单价（元/平方米）</v>
      </c>
      <c r="Q41" s="3366"/>
      <c r="R41" s="3367">
        <f>E41</f>
        <v>2.4</v>
      </c>
      <c r="S41" s="3367"/>
      <c r="T41" s="3367">
        <f>G41</f>
        <v>2.5</v>
      </c>
      <c r="U41" s="3367"/>
      <c r="V41" s="3367">
        <f>I41</f>
        <v>2.6</v>
      </c>
      <c r="W41" s="3367"/>
      <c r="X41" s="385"/>
      <c r="Y41" s="673"/>
      <c r="Z41" s="385"/>
      <c r="AA41" s="385"/>
      <c r="AB41" s="385"/>
      <c r="AC41" s="385"/>
    </row>
    <row r="42" spans="1:29" ht="15" thickBot="1">
      <c r="A42" s="423" t="s">
        <v>1793</v>
      </c>
      <c r="B42" s="424"/>
      <c r="C42" s="1082">
        <f>R43</f>
        <v>2.5</v>
      </c>
      <c r="D42" s="2141" t="s">
        <v>2138</v>
      </c>
      <c r="E42" s="1083">
        <f>R42</f>
        <v>2.4</v>
      </c>
      <c r="F42" s="2142"/>
      <c r="G42" s="1082">
        <f>T42</f>
        <v>2.5</v>
      </c>
      <c r="H42" s="2142"/>
      <c r="I42" s="1083">
        <f>V42</f>
        <v>2.5</v>
      </c>
      <c r="J42" s="2142"/>
      <c r="K42" s="2144">
        <f>F42+H42+J42</f>
        <v>0</v>
      </c>
      <c r="L42" s="873"/>
      <c r="M42" s="861"/>
      <c r="N42" s="861"/>
      <c r="O42" s="861"/>
      <c r="P42" s="3366" t="str">
        <f>A42</f>
        <v>比较价值（元/平方米）</v>
      </c>
      <c r="Q42" s="3366"/>
      <c r="R42" s="3367">
        <f>IF(F1="售价",ROUND(PRODUCT(R41,AA7:AA40),0),ROUND(PRODUCT(R41,AA7:AA40),1))</f>
        <v>2.4</v>
      </c>
      <c r="S42" s="3367"/>
      <c r="T42" s="3367">
        <f>IF(F1="售价",ROUND(PRODUCT(T41,AB7:AB40),0),ROUND(PRODUCT(T41,AB7:AB40),1))</f>
        <v>2.5</v>
      </c>
      <c r="U42" s="3367"/>
      <c r="V42" s="3367">
        <f>IF(F1="售价",ROUND(PRODUCT(V41,AC7:AC40),0),ROUND(PRODUCT(V41,AC7:AC40),1))</f>
        <v>2.5</v>
      </c>
      <c r="W42" s="3367"/>
      <c r="X42" s="385"/>
      <c r="Y42" s="385"/>
      <c r="Z42" s="385"/>
      <c r="AA42" s="385"/>
      <c r="AB42" s="385"/>
      <c r="AC42" s="385"/>
    </row>
    <row r="43" spans="1:29" ht="15" thickBot="1">
      <c r="A43" s="427" t="s">
        <v>1794</v>
      </c>
      <c r="B43" s="428"/>
      <c r="C43" s="351">
        <f>R43</f>
        <v>2.5</v>
      </c>
      <c r="D43" s="351"/>
      <c r="E43" s="351"/>
      <c r="F43" s="351"/>
      <c r="G43" s="351"/>
      <c r="H43" s="351"/>
      <c r="I43" s="351"/>
      <c r="J43" s="351"/>
      <c r="K43" s="675"/>
      <c r="L43" s="873"/>
      <c r="M43" s="861"/>
      <c r="N43" s="861"/>
      <c r="O43" s="861"/>
      <c r="P43" s="3363" t="str">
        <f>A43</f>
        <v>估价对象XX用房的比较价值（楼面单价，元/平方米）</v>
      </c>
      <c r="Q43" s="3364"/>
      <c r="R43" s="3365">
        <f>IF(F1="售价",ROUND(IF(D42="简单平均",AVERAGE(R42:V42),R42*F42+T42*H42+V42*J42),0),ROUND(IF(D42="简单平均",AVERAGE(R42:V42),R42*F42+T42*H42+V42*J42),1))</f>
        <v>2.5</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v>
      </c>
      <c r="F46" s="435" t="str">
        <f>IF(OR(E46&gt;=0.3,E46&lt;=-0.3),"超过30%","")</f>
        <v/>
      </c>
      <c r="G46" s="434">
        <f>IF(G41&lt;G42,G42/G41-1,G41/G42-1)</f>
        <v>0</v>
      </c>
      <c r="H46" s="435" t="str">
        <f>IF(OR(G46&gt;=0.3,G46&lt;=-0.3),"超过30%","")</f>
        <v/>
      </c>
      <c r="I46" s="434">
        <f>IF(I41&lt;I42,I42/I41-1,I41/I42-1)</f>
        <v>4.0000000000000036E-2</v>
      </c>
      <c r="J46" s="435" t="str">
        <f>IF(OR(I46&gt;=0.3,I46&lt;=-0.3),"超过30%","")</f>
        <v/>
      </c>
      <c r="K46" s="2500"/>
      <c r="L46" s="836"/>
      <c r="M46" s="861"/>
      <c r="N46" s="861"/>
      <c r="O46" s="861"/>
    </row>
    <row r="47" spans="1:29" ht="13.5" customHeight="1">
      <c r="A47" s="2488"/>
      <c r="B47" s="2488"/>
      <c r="C47" s="432" t="s">
        <v>1796</v>
      </c>
      <c r="D47" s="436"/>
      <c r="E47" s="434">
        <f>IF(E42&lt;G42,G42/E42-1,E42/G42-1)</f>
        <v>4.1666666666666741E-2</v>
      </c>
      <c r="F47" s="435" t="str">
        <f>IF(OR(E47&gt;=0.2,E47&lt;=-0.2),"超过20%","")</f>
        <v/>
      </c>
      <c r="G47" s="434">
        <f>IF(G42&lt;I42,I42/G42-1,G42/I42-1)</f>
        <v>0</v>
      </c>
      <c r="H47" s="435" t="str">
        <f>IF(OR(G47&gt;=0.2,G47&lt;=-0.2),"超过20%","")</f>
        <v/>
      </c>
      <c r="I47" s="434">
        <f>IF(I42&lt;E42,E42/I42-1,I42/E42-1)</f>
        <v>4.1666666666666741E-2</v>
      </c>
      <c r="J47" s="435" t="str">
        <f>IF(OR(I47&gt;=0.2,I47&lt;=-0.2),"超过20%","")</f>
        <v/>
      </c>
      <c r="K47" s="2500"/>
      <c r="L47" s="836"/>
      <c r="M47" s="861"/>
      <c r="N47" s="861"/>
      <c r="O47" s="861"/>
    </row>
    <row r="48" spans="1:29" s="437" customFormat="1" ht="13.5" customHeight="1">
      <c r="A48" s="2498"/>
      <c r="B48" s="2498"/>
      <c r="C48" s="432" t="s">
        <v>1797</v>
      </c>
      <c r="D48" s="436"/>
      <c r="E48" s="434">
        <f>IF(E41&lt;G41,G41/E41-1,E41/G41-1)</f>
        <v>4.1666666666666741E-2</v>
      </c>
      <c r="F48" s="435" t="str">
        <f>IF(OR(E48&gt;=0.3,E48&lt;=-0.3),"超过30%","")</f>
        <v/>
      </c>
      <c r="G48" s="434">
        <f>IF(G41&lt;I41,I41/G41-1,G41/I41-1)</f>
        <v>4.0000000000000036E-2</v>
      </c>
      <c r="H48" s="435" t="str">
        <f>IF(OR(G48&gt;=0.3,G48&lt;=-0.3),"超过30%","")</f>
        <v/>
      </c>
      <c r="I48" s="434">
        <f>IF(I41&lt;E41,E41/I41-1,I41/E41-1)</f>
        <v>8.3333333333333481E-2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50" t="s">
        <v>3436</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8" t="s">
        <v>3441</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8.2" thickTop="1">
      <c r="A90" s="367"/>
      <c r="B90" s="469" t="s">
        <v>1737</v>
      </c>
      <c r="C90" s="509" t="str">
        <f>C91&amp;"(含)"&amp;"-"&amp;D91</f>
        <v>0(含)-500</v>
      </c>
      <c r="D90" s="509" t="str">
        <f t="shared" ref="D90:L90" si="20">D91&amp;"(含)"&amp;"-"&amp;E91</f>
        <v>500(含)-1000</v>
      </c>
      <c r="E90" s="509" t="str">
        <f t="shared" si="20"/>
        <v>1000(含)-2000</v>
      </c>
      <c r="F90" s="509" t="str">
        <f t="shared" si="20"/>
        <v>2000(含)-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500</v>
      </c>
      <c r="E91" s="6">
        <v>1000</v>
      </c>
      <c r="F91" s="6">
        <v>2000</v>
      </c>
      <c r="G91" s="6"/>
      <c r="H91" s="6"/>
      <c r="I91" s="6"/>
      <c r="J91" s="524"/>
      <c r="K91" s="524"/>
      <c r="L91" s="525"/>
      <c r="M91" s="526"/>
      <c r="N91" s="881"/>
      <c r="O91" s="881"/>
      <c r="P91" s="489"/>
      <c r="Q91" s="490"/>
    </row>
    <row r="92" spans="1:17" s="408" customFormat="1" ht="14.4"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49" t="s">
        <v>3442</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149" t="s">
        <v>3443</v>
      </c>
      <c r="D104" s="3149" t="s">
        <v>3444</v>
      </c>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5"/>
      <c r="M37" s="2488"/>
      <c r="N37" s="2488"/>
      <c r="O37" s="2488"/>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63" t="str">
        <f>A39</f>
        <v>估价对象XX用房的比较价值（楼面单价，元/平方米）</v>
      </c>
      <c r="Q39" s="336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估价对象为北京市房地产，为所有。根据《国有土地使用证》[]，估价对象（分摊）出让国有建设用地使用权面积为0平方米，建筑面积为2067.87平方米。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估价对象为北京市房地产,属开发建设的，该项目尚在开发建设中。根据《国有土地使用证》[]，估价对象（分摊）出让国有建设用地使用权面积为0平方米，规划建筑面积为2067.87平方米。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2024年10月28日（评估专业人员实地查勘之日）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63" t="str">
        <f>A37</f>
        <v>估价对象XX用房的比较价值（楼面单价，元/平方米）</v>
      </c>
      <c r="Q37" s="336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366"/>
      <c r="Q10" s="530" t="str">
        <f t="shared" si="6"/>
        <v>土地使用年限（年）</v>
      </c>
      <c r="R10" s="664" t="s">
        <v>14</v>
      </c>
      <c r="S10" s="665">
        <f t="shared" si="0"/>
        <v>111</v>
      </c>
      <c r="T10" s="664" t="s">
        <v>14</v>
      </c>
      <c r="U10" s="665">
        <f t="shared" si="1"/>
        <v>111</v>
      </c>
      <c r="V10" s="664" t="s">
        <v>14</v>
      </c>
      <c r="W10" s="665">
        <f t="shared" si="2"/>
        <v>111</v>
      </c>
      <c r="X10" s="666"/>
      <c r="Y10" s="324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3"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6" t="str">
        <f>A47</f>
        <v>比较价值（元/平方米）</v>
      </c>
      <c r="Q47" s="3366"/>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63" t="str">
        <f>A48</f>
        <v>估价对象XX用房的比较价值（楼面单价，元/平方米）</v>
      </c>
      <c r="Q48" s="3364"/>
      <c r="R48" s="3426" t="e">
        <f>ROUND(IF(D47="简单平均",AVERAGE(R47:W47),R47*F47+T47*H47+V47*J47),0)</f>
        <v>#DIV/0!</v>
      </c>
      <c r="S48" s="3426"/>
      <c r="T48" s="3426"/>
      <c r="U48" s="3426"/>
      <c r="V48" s="3426"/>
      <c r="W48" s="342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2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2067.87</v>
      </c>
      <c r="F56" s="833" t="e">
        <f t="shared" ref="F56:F64" si="15">ROUND(B56*E56/10000,0)</f>
        <v>#DIV/0!</v>
      </c>
      <c r="G56" s="3377"/>
      <c r="H56" s="336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2067.87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428" t="s">
        <v>1919</v>
      </c>
      <c r="D6" s="3429"/>
      <c r="E6" s="3430" t="s">
        <v>1919</v>
      </c>
      <c r="F6" s="3431"/>
      <c r="G6" s="3428" t="s">
        <v>1919</v>
      </c>
      <c r="H6" s="3429"/>
      <c r="I6" s="3428" t="s">
        <v>1919</v>
      </c>
      <c r="J6" s="3429"/>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366"/>
      <c r="Q10" s="530" t="str">
        <f t="shared" si="6"/>
        <v>土地使用年限（年）</v>
      </c>
      <c r="R10" s="664" t="s">
        <v>14</v>
      </c>
      <c r="S10" s="665">
        <f t="shared" si="0"/>
        <v>111</v>
      </c>
      <c r="T10" s="664" t="s">
        <v>14</v>
      </c>
      <c r="U10" s="665">
        <f t="shared" si="1"/>
        <v>111</v>
      </c>
      <c r="V10" s="664" t="s">
        <v>14</v>
      </c>
      <c r="W10" s="665">
        <f t="shared" si="2"/>
        <v>111</v>
      </c>
      <c r="X10" s="666"/>
      <c r="Y10" s="324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3"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6" t="str">
        <f>A42</f>
        <v>比较价值（元/平方米）</v>
      </c>
      <c r="Q42" s="3366"/>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63" t="str">
        <f>A43</f>
        <v>估价对象XX用房的比较价值（楼面单价，元/平方米）</v>
      </c>
      <c r="Q43" s="3364"/>
      <c r="R43" s="3426" t="e">
        <f>ROUND(IF(D42="简单平均",AVERAGE(R42:W42),R42*F42+T42*H42+V42*J42),0)</f>
        <v>#DIV/0!</v>
      </c>
      <c r="S43" s="3426"/>
      <c r="T43" s="3426"/>
      <c r="U43" s="3426"/>
      <c r="V43" s="3426"/>
      <c r="W43" s="342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81" t="s">
        <v>1887</v>
      </c>
      <c r="H50" s="342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2067.87</v>
      </c>
      <c r="F51" s="611" t="e">
        <f t="shared" ref="F51:F60" si="15">ROUND(B51*E51/10000,0)</f>
        <v>#DIV/0!</v>
      </c>
      <c r="G51" s="3377"/>
      <c r="H51" s="336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254</v>
      </c>
      <c r="C2" s="1984" t="s">
        <v>2074</v>
      </c>
      <c r="D2" s="1984" t="s">
        <v>2075</v>
      </c>
      <c r="E2" s="2398">
        <f ca="1">SUMIF(E6:E13,"&lt;&gt;#ref!",E6:E13)</f>
        <v>2067.87</v>
      </c>
      <c r="F2" s="2545"/>
      <c r="G2" s="2545"/>
      <c r="H2" s="2545"/>
      <c r="I2" s="2545"/>
      <c r="J2" s="2545"/>
      <c r="K2" s="2545"/>
      <c r="L2" s="2545"/>
      <c r="M2" s="2545"/>
      <c r="N2" s="2545"/>
      <c r="O2" s="2545"/>
      <c r="P2" s="2545"/>
    </row>
    <row r="3" spans="1:16" ht="15.6">
      <c r="A3" s="1984" t="s">
        <v>2076</v>
      </c>
      <c r="B3" s="2388">
        <f ca="1">ROUND(B2*10000/E2,0)</f>
        <v>1228</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254</v>
      </c>
      <c r="C6" s="1984" t="s">
        <v>2074</v>
      </c>
      <c r="D6" s="2545"/>
      <c r="E6" s="2398">
        <f ca="1">SUMIF(INDIRECT("'"&amp;A6&amp;"'"&amp;"!C:C"),"建筑面积",INDIRECT("'"&amp;A6&amp;"'"&amp;"!D:D"))</f>
        <v>2067.87</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R28"/>
  <sheetViews>
    <sheetView topLeftCell="A7" workbookViewId="0">
      <selection activeCell="P22" sqref="P22"/>
    </sheetView>
  </sheetViews>
  <sheetFormatPr defaultRowHeight="14.4"/>
  <sheetData>
    <row r="1" spans="5:18">
      <c r="E1" s="3145" t="s">
        <v>3434</v>
      </c>
    </row>
    <row r="6" spans="5:18">
      <c r="Q6">
        <v>2500</v>
      </c>
      <c r="R6">
        <v>2.4</v>
      </c>
    </row>
    <row r="7" spans="5:18">
      <c r="Q7">
        <v>2850</v>
      </c>
      <c r="R7">
        <v>2.5</v>
      </c>
    </row>
    <row r="8" spans="5:18">
      <c r="Q8">
        <v>1000</v>
      </c>
      <c r="R8">
        <v>2.6</v>
      </c>
    </row>
    <row r="28" spans="4:4">
      <c r="D28" s="3145" t="s">
        <v>3439</v>
      </c>
    </row>
  </sheetData>
  <phoneticPr fontId="134" type="noConversion"/>
  <hyperlinks>
    <hyperlink ref="E1" r:id="rId1" display="http://www.chaolindasha.cn/goods.php?id=2557"/>
    <hyperlink ref="D28" r:id="rId2" display="https://shangban.58.com/bj/xiezilou/loupan-l1727593740435713.shtml?PGTID=0d00000d-0000-11f5-1f48-88c9d1799c19&amp;ClickID=1"/>
  </hyperlinks>
  <pageMargins left="0.7" right="0.7" top="0.75" bottom="0.75" header="0.3" footer="0.3"/>
  <pageSetup paperSize="9" orientation="portrait" verticalDpi="0" copies="3" r:id="rId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abSelected="1" view="pageBreakPreview" topLeftCell="B22" zoomScaleNormal="60" zoomScaleSheetLayoutView="100" workbookViewId="0">
      <selection activeCell="K47" sqref="K47"/>
    </sheetView>
  </sheetViews>
  <sheetFormatPr defaultColWidth="9" defaultRowHeight="13.8"/>
  <cols>
    <col min="1" max="1" width="10.44140625" style="347" customWidth="1"/>
    <col min="2" max="2" width="15.77734375" style="347" customWidth="1"/>
    <col min="3" max="3" width="17.77734375" style="347" customWidth="1"/>
    <col min="4" max="4" width="12.21875" style="347" customWidth="1"/>
    <col min="5" max="5" width="17" style="347" customWidth="1"/>
    <col min="6" max="6" width="12.21875" style="347" customWidth="1"/>
    <col min="7" max="7" width="17.88671875" style="347" customWidth="1"/>
    <col min="8" max="8" width="12.21875" style="347" customWidth="1"/>
    <col min="9" max="9" width="17.332031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3414</v>
      </c>
      <c r="F1" s="1735" t="s">
        <v>3413</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IF(E1="项目模式",IF(C2="——",ROUND(C43*D3/10000,0),ROUND(C43*D3/10000,0)-D2),IF(E1="单套模式",IF(C2="——",ROUND(C43*D3/10000,4),ROUND(C43*D3/10000,4)-D2)))</f>
        <v>3384</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16366</v>
      </c>
      <c r="C3" s="344" t="s">
        <v>1665</v>
      </c>
      <c r="D3" s="343">
        <f>IF(D1="",'数据-汇总表'!E3,SUMIF('数据-汇总表'!$C19:$C33,D1,'数据-汇总表'!$E19:$E33))</f>
        <v>2067.87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1666</v>
      </c>
      <c r="B4" s="346"/>
      <c r="C4" s="3381" t="s">
        <v>1667</v>
      </c>
      <c r="D4" s="3382"/>
      <c r="E4" s="3383" t="s">
        <v>1668</v>
      </c>
      <c r="F4" s="3384"/>
      <c r="G4" s="3381" t="s">
        <v>1669</v>
      </c>
      <c r="H4" s="3382"/>
      <c r="I4" s="3381" t="s">
        <v>1670</v>
      </c>
      <c r="J4" s="3382"/>
      <c r="K4" s="537" t="s">
        <v>1671</v>
      </c>
      <c r="L4" s="860"/>
      <c r="M4" s="861"/>
      <c r="N4" s="861"/>
      <c r="O4" s="861"/>
      <c r="P4" s="3385" t="s">
        <v>1672</v>
      </c>
      <c r="Q4" s="3386"/>
      <c r="R4" s="3391" t="s">
        <v>1668</v>
      </c>
      <c r="S4" s="3392"/>
      <c r="T4" s="3391" t="s">
        <v>1669</v>
      </c>
      <c r="U4" s="3392"/>
      <c r="V4" s="3367" t="s">
        <v>1670</v>
      </c>
      <c r="W4" s="3367"/>
      <c r="X4" s="1265"/>
      <c r="Y4" s="3391" t="s">
        <v>1672</v>
      </c>
      <c r="Z4" s="3392"/>
      <c r="AA4" s="3378" t="s">
        <v>1668</v>
      </c>
      <c r="AB4" s="3379" t="s">
        <v>1669</v>
      </c>
      <c r="AC4" s="3378" t="s">
        <v>1670</v>
      </c>
    </row>
    <row r="5" spans="1:29">
      <c r="A5" s="348"/>
      <c r="B5" s="349"/>
      <c r="C5" s="3399" t="str">
        <f>'比较法-工业租金'!C5:D5</f>
        <v>企业墅</v>
      </c>
      <c r="D5" s="3400"/>
      <c r="E5" s="3406" t="str">
        <f>C5</f>
        <v>企业墅</v>
      </c>
      <c r="F5" s="3407"/>
      <c r="G5" s="3399" t="str">
        <f>C5</f>
        <v>企业墅</v>
      </c>
      <c r="H5" s="3400"/>
      <c r="I5" s="3399" t="str">
        <f>C5</f>
        <v>企业墅</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v>45566</v>
      </c>
      <c r="F7" s="357">
        <f>SUMIF(52:52,YEAR(E7)&amp;"-"&amp;MONTH(E7),53:53)</f>
        <v>100</v>
      </c>
      <c r="G7" s="356">
        <v>45566</v>
      </c>
      <c r="H7" s="355">
        <f>SUMIF(52:52,YEAR(G7)&amp;"-"&amp;MONTH(G7),53:53)</f>
        <v>100</v>
      </c>
      <c r="I7" s="356">
        <v>45566</v>
      </c>
      <c r="J7" s="355">
        <f>SUMIF(52:52,YEAR(I7)&amp;"-"&amp;MONTH(I7),53:53)</f>
        <v>100</v>
      </c>
      <c r="K7" s="38"/>
      <c r="L7" s="862"/>
      <c r="M7" s="863"/>
      <c r="N7" s="863"/>
      <c r="O7" s="863"/>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3425</v>
      </c>
      <c r="D8" s="355">
        <v>100</v>
      </c>
      <c r="E8" s="358" t="s">
        <v>3427</v>
      </c>
      <c r="F8" s="357">
        <f>SUMIF(55:55,E8,56:56)-SUMIF(55:55,C8,56:56)+100</f>
        <v>102</v>
      </c>
      <c r="G8" s="358" t="s">
        <v>3427</v>
      </c>
      <c r="H8" s="355">
        <f>SUMIF(55:55,G8,56:56)-SUMIF(55:55,C8,56:56)+100</f>
        <v>102</v>
      </c>
      <c r="I8" s="358" t="s">
        <v>3427</v>
      </c>
      <c r="J8" s="355">
        <f>SUMIF(55:55,I8,56:56)-SUMIF(55:55,C8,56:56)+100</f>
        <v>102</v>
      </c>
      <c r="K8" s="38"/>
      <c r="L8" s="862"/>
      <c r="M8" s="863"/>
      <c r="N8" s="863"/>
      <c r="O8" s="863"/>
      <c r="P8" s="3401" t="s">
        <v>1683</v>
      </c>
      <c r="Q8" s="3402"/>
      <c r="R8" s="664" t="s">
        <v>14</v>
      </c>
      <c r="S8" s="665">
        <f t="shared" si="0"/>
        <v>102</v>
      </c>
      <c r="T8" s="664" t="s">
        <v>14</v>
      </c>
      <c r="U8" s="665">
        <f t="shared" si="1"/>
        <v>102</v>
      </c>
      <c r="V8" s="664" t="s">
        <v>14</v>
      </c>
      <c r="W8" s="665">
        <f t="shared" si="2"/>
        <v>102</v>
      </c>
      <c r="X8" s="666"/>
      <c r="Y8" s="3401" t="s">
        <v>1683</v>
      </c>
      <c r="Z8" s="3402"/>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151" t="s">
        <v>2548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5.2">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69">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7.6">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55.2">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t="s">
        <v>3418</v>
      </c>
      <c r="D29" s="405">
        <v>100</v>
      </c>
      <c r="E29" s="1764" t="s">
        <v>3418</v>
      </c>
      <c r="F29" s="400">
        <f>SUMIF(88:88,E29,89:89)-SUMIF(88:88,C29,89:89)+100</f>
        <v>100</v>
      </c>
      <c r="G29" s="1764" t="s">
        <v>3418</v>
      </c>
      <c r="H29" s="374">
        <f>SUMIF(88:88,G29,89:89)-SUMIF(88:88,C29,89:89)+100</f>
        <v>100</v>
      </c>
      <c r="I29" s="1764" t="s">
        <v>3418</v>
      </c>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f>'数据-汇总表'!F19</f>
        <v>2067.87</v>
      </c>
      <c r="D30" s="119">
        <v>100</v>
      </c>
      <c r="E30" s="369">
        <f>售价案例!P35</f>
        <v>2420</v>
      </c>
      <c r="F30" s="364">
        <f>LOOKUP(E30,91:91,92:92)-LOOKUP(C30,91:91,92:92)+100</f>
        <v>100</v>
      </c>
      <c r="G30" s="368">
        <f>售价案例!P36</f>
        <v>2200</v>
      </c>
      <c r="H30" s="119">
        <f>LOOKUP(G30,91:91,92:92)-LOOKUP(C30,91:91,92:92)+100</f>
        <v>100</v>
      </c>
      <c r="I30" s="368">
        <f>售价案例!P37</f>
        <v>2100</v>
      </c>
      <c r="J30" s="119">
        <f>LOOKUP(I30,91:91,92:92)-LOOKUP(C30,91:91,92:92)+100</f>
        <v>100</v>
      </c>
      <c r="K30" s="539"/>
      <c r="L30" s="868"/>
      <c r="M30" s="871"/>
      <c r="N30" s="871"/>
      <c r="O30" s="872"/>
      <c r="P30" s="3373"/>
      <c r="Q30" s="531" t="str">
        <f t="shared" si="11"/>
        <v>项目建筑规模</v>
      </c>
      <c r="R30" s="669" t="s">
        <v>14</v>
      </c>
      <c r="S30" s="670">
        <f t="shared" si="12"/>
        <v>100</v>
      </c>
      <c r="T30" s="669" t="s">
        <v>14</v>
      </c>
      <c r="U30" s="670">
        <f t="shared" si="13"/>
        <v>100</v>
      </c>
      <c r="V30" s="669" t="s">
        <v>14</v>
      </c>
      <c r="W30" s="670">
        <f t="shared" si="14"/>
        <v>100</v>
      </c>
      <c r="X30" s="671"/>
      <c r="Y30" s="3373"/>
      <c r="Z30" s="672" t="str">
        <f t="shared" si="15"/>
        <v>项目建筑规模</v>
      </c>
      <c r="AA30" s="1264">
        <f t="shared" si="3"/>
        <v>1</v>
      </c>
      <c r="AB30" s="1264">
        <f t="shared" si="4"/>
        <v>1</v>
      </c>
      <c r="AC30" s="1264">
        <f t="shared" si="5"/>
        <v>1</v>
      </c>
    </row>
    <row r="31" spans="1:29" ht="15">
      <c r="A31" s="409"/>
      <c r="B31" s="364" t="s">
        <v>1698</v>
      </c>
      <c r="C31" s="399" t="s">
        <v>3410</v>
      </c>
      <c r="D31" s="374">
        <v>100</v>
      </c>
      <c r="E31" s="399" t="s">
        <v>3410</v>
      </c>
      <c r="F31" s="400">
        <f>SUMIF(93:93,E31,94:94)-SUMIF(93:93,C31,94:94)+100</f>
        <v>100</v>
      </c>
      <c r="G31" s="399" t="s">
        <v>3410</v>
      </c>
      <c r="H31" s="374">
        <f>SUMIF(93:93,G31,94:94)-SUMIF(93:93,C31,94:94)+100</f>
        <v>100</v>
      </c>
      <c r="I31" s="399" t="s">
        <v>3410</v>
      </c>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v>85</v>
      </c>
      <c r="D33" s="374">
        <v>100</v>
      </c>
      <c r="E33" s="411">
        <v>0.85</v>
      </c>
      <c r="F33" s="400">
        <f>LOOKUP(E33,98:98,99:99)-LOOKUP(C33,98:98,99:99)+100</f>
        <v>100</v>
      </c>
      <c r="G33" s="411">
        <v>0.85</v>
      </c>
      <c r="H33" s="400">
        <f>LOOKUP(G33,98:98,99:99)-LOOKUP(C33,98:98,99:99)+100</f>
        <v>100</v>
      </c>
      <c r="I33" s="411">
        <v>0.85</v>
      </c>
      <c r="J33" s="374">
        <f>LOOKUP(I33,98:98,99:99)-LOOKUP(C33,98:98,99:99)+100</f>
        <v>100</v>
      </c>
      <c r="K33" s="538"/>
      <c r="L33" s="870"/>
      <c r="M33" s="861"/>
      <c r="N33" s="861"/>
      <c r="O33" s="869"/>
      <c r="P33" s="3373"/>
      <c r="Q33" s="1263" t="str">
        <f t="shared" si="11"/>
        <v>成新度</v>
      </c>
      <c r="R33" s="667" t="s">
        <v>14</v>
      </c>
      <c r="S33" s="668">
        <f t="shared" si="12"/>
        <v>100</v>
      </c>
      <c r="T33" s="667" t="s">
        <v>14</v>
      </c>
      <c r="U33" s="668">
        <f t="shared" si="13"/>
        <v>100</v>
      </c>
      <c r="V33" s="667" t="s">
        <v>14</v>
      </c>
      <c r="W33" s="668">
        <f t="shared" si="14"/>
        <v>100</v>
      </c>
      <c r="X33" s="1265"/>
      <c r="Y33" s="337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t="s">
        <v>3421</v>
      </c>
      <c r="D36" s="374">
        <v>100</v>
      </c>
      <c r="E36" s="399" t="s">
        <v>3423</v>
      </c>
      <c r="F36" s="400">
        <f>SUMIF(104:104,E36,105:105)-SUMIF(104:104,C36,105:105)+100</f>
        <v>95</v>
      </c>
      <c r="G36" s="399" t="s">
        <v>3423</v>
      </c>
      <c r="H36" s="374">
        <f>SUMIF(104:104,G36,105:105)-SUMIF(104:104,C36,105:105)+100</f>
        <v>95</v>
      </c>
      <c r="I36" s="399" t="s">
        <v>3421</v>
      </c>
      <c r="J36" s="374">
        <f>SUMIF(104:104,I36,105:105)-SUMIF(104:104,C36,105:105)+100</f>
        <v>100</v>
      </c>
      <c r="K36" s="538">
        <v>5</v>
      </c>
      <c r="L36" s="870"/>
      <c r="M36" s="861"/>
      <c r="N36" s="861"/>
      <c r="O36" s="869"/>
      <c r="P36" s="3373"/>
      <c r="Q36" s="1263" t="str">
        <f t="shared" si="11"/>
        <v>内部装修</v>
      </c>
      <c r="R36" s="667" t="s">
        <v>14</v>
      </c>
      <c r="S36" s="668">
        <f t="shared" si="12"/>
        <v>95</v>
      </c>
      <c r="T36" s="667" t="s">
        <v>14</v>
      </c>
      <c r="U36" s="668">
        <f t="shared" si="13"/>
        <v>95</v>
      </c>
      <c r="V36" s="667" t="s">
        <v>14</v>
      </c>
      <c r="W36" s="668">
        <f t="shared" si="14"/>
        <v>100</v>
      </c>
      <c r="X36" s="1265"/>
      <c r="Y36" s="3373"/>
      <c r="Z36" s="1264" t="str">
        <f t="shared" si="15"/>
        <v>内部装修</v>
      </c>
      <c r="AA36" s="1264">
        <f t="shared" si="3"/>
        <v>1.0526315789473684</v>
      </c>
      <c r="AB36" s="1264">
        <f t="shared" si="4"/>
        <v>1.0526315789473684</v>
      </c>
      <c r="AC36" s="1264">
        <f t="shared" si="5"/>
        <v>1</v>
      </c>
    </row>
    <row r="37" spans="1:29" ht="15">
      <c r="A37" s="409"/>
      <c r="B37" s="364" t="s">
        <v>1828</v>
      </c>
      <c r="C37" s="542" t="s">
        <v>3429</v>
      </c>
      <c r="D37" s="374">
        <v>100</v>
      </c>
      <c r="E37" s="542" t="s">
        <v>3429</v>
      </c>
      <c r="F37" s="400">
        <f>SUMIF(106:106,E37,107:107)-SUMIF(106:106,C37,107:107)+100</f>
        <v>100</v>
      </c>
      <c r="G37" s="542" t="s">
        <v>3429</v>
      </c>
      <c r="H37" s="374">
        <f>SUMIF(106:106,G37,107:107)-SUMIF(106:106,C37,107:107)+100</f>
        <v>100</v>
      </c>
      <c r="I37" s="542" t="s">
        <v>3429</v>
      </c>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v>15000</v>
      </c>
      <c r="F41" s="420"/>
      <c r="G41" s="421">
        <v>15000</v>
      </c>
      <c r="H41" s="422"/>
      <c r="I41" s="419">
        <v>18500</v>
      </c>
      <c r="J41" s="422"/>
      <c r="K41" s="674"/>
      <c r="L41" s="873"/>
      <c r="M41" s="861"/>
      <c r="N41" s="861"/>
      <c r="O41" s="861"/>
      <c r="P41" s="3366" t="str">
        <f>A41</f>
        <v>成交单价（元/平方米）</v>
      </c>
      <c r="Q41" s="3366"/>
      <c r="R41" s="3367">
        <f>E41</f>
        <v>15000</v>
      </c>
      <c r="S41" s="3367"/>
      <c r="T41" s="3367">
        <f>G41</f>
        <v>15000</v>
      </c>
      <c r="U41" s="3367"/>
      <c r="V41" s="3367">
        <f>I41</f>
        <v>18500</v>
      </c>
      <c r="W41" s="3367"/>
      <c r="X41" s="385"/>
      <c r="Y41" s="673"/>
      <c r="Z41" s="385"/>
      <c r="AA41" s="385"/>
      <c r="AB41" s="385"/>
      <c r="AC41" s="385"/>
    </row>
    <row r="42" spans="1:29" ht="15" thickBot="1">
      <c r="A42" s="423" t="s">
        <v>1709</v>
      </c>
      <c r="B42" s="424"/>
      <c r="C42" s="1082">
        <f>R43</f>
        <v>16366</v>
      </c>
      <c r="D42" s="2141" t="s">
        <v>2138</v>
      </c>
      <c r="E42" s="1083">
        <f>R42</f>
        <v>15480</v>
      </c>
      <c r="F42" s="2142"/>
      <c r="G42" s="1082">
        <f>T42</f>
        <v>15480</v>
      </c>
      <c r="H42" s="2142"/>
      <c r="I42" s="1083">
        <f>V42</f>
        <v>18137</v>
      </c>
      <c r="J42" s="2142"/>
      <c r="K42" s="2144">
        <f>F42+H42+J42</f>
        <v>0</v>
      </c>
      <c r="L42" s="873"/>
      <c r="M42" s="861"/>
      <c r="N42" s="861"/>
      <c r="O42" s="861"/>
      <c r="P42" s="3366" t="str">
        <f>A42</f>
        <v>比较价值（元/平方米）</v>
      </c>
      <c r="Q42" s="3366"/>
      <c r="R42" s="3367">
        <f>IF(F1="售价",ROUND(PRODUCT(R41,AA7:AA40),0),ROUND(PRODUCT(R41,AA7:AA40),1))</f>
        <v>15480</v>
      </c>
      <c r="S42" s="3367"/>
      <c r="T42" s="3367">
        <f>IF(F1="售价",ROUND(PRODUCT(T41,AB7:AB40),0),ROUND(PRODUCT(T41,AB7:AB40),1))</f>
        <v>15480</v>
      </c>
      <c r="U42" s="3367"/>
      <c r="V42" s="3367">
        <f>IF(F1="售价",ROUND(PRODUCT(V41,AC7:AC40),0),ROUND(PRODUCT(V41,AC7:AC40),1))</f>
        <v>18137</v>
      </c>
      <c r="W42" s="3367"/>
      <c r="X42" s="385"/>
      <c r="Y42" s="385"/>
      <c r="Z42" s="385"/>
      <c r="AA42" s="385"/>
      <c r="AB42" s="385"/>
      <c r="AC42" s="385"/>
    </row>
    <row r="43" spans="1:29" ht="15" thickBot="1">
      <c r="A43" s="427" t="s">
        <v>1710</v>
      </c>
      <c r="B43" s="428"/>
      <c r="C43" s="351">
        <f>R43</f>
        <v>16366</v>
      </c>
      <c r="D43" s="351"/>
      <c r="E43" s="351"/>
      <c r="F43" s="351"/>
      <c r="G43" s="351"/>
      <c r="H43" s="351"/>
      <c r="I43" s="351"/>
      <c r="J43" s="351"/>
      <c r="K43" s="675"/>
      <c r="L43" s="873"/>
      <c r="M43" s="861"/>
      <c r="N43" s="861"/>
      <c r="O43" s="861"/>
      <c r="P43" s="3363" t="str">
        <f>A43</f>
        <v>估价对象XX用房的比较价值（楼面单价，元/平方米）</v>
      </c>
      <c r="Q43" s="3364"/>
      <c r="R43" s="3365">
        <f>IF(F1="售价",ROUND(IF(D42="简单平均",AVERAGE(R42:V42),R42*F42+T42*H42+V42*J42),0),ROUND(IF(D42="简单平均",AVERAGE(R42:V42),R42*F42+T42*H42+V42*J42),1))</f>
        <v>16366</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1711</v>
      </c>
      <c r="D46" s="433"/>
      <c r="E46" s="434">
        <f>IF(E41&lt;E42,E42/E41-1,E41/E42-1)</f>
        <v>3.2000000000000028E-2</v>
      </c>
      <c r="F46" s="435" t="str">
        <f>IF(OR(E46&gt;=0.3,E46&lt;=-0.3),"超过30%","")</f>
        <v/>
      </c>
      <c r="G46" s="434">
        <f>IF(G41&lt;G42,G42/G41-1,G41/G42-1)</f>
        <v>3.2000000000000028E-2</v>
      </c>
      <c r="H46" s="435" t="str">
        <f>IF(OR(G46&gt;=0.3,G46&lt;=-0.3),"超过30%","")</f>
        <v/>
      </c>
      <c r="I46" s="434">
        <f>IF(I41&lt;I42,I42/I41-1,I41/I42-1)</f>
        <v>2.0014335336604683E-2</v>
      </c>
      <c r="J46" s="435" t="str">
        <f>IF(OR(I46&gt;=0.3,I46&lt;=-0.3),"超过30%","")</f>
        <v/>
      </c>
      <c r="K46" s="2500"/>
      <c r="L46" s="836"/>
      <c r="M46" s="861"/>
      <c r="N46" s="861"/>
      <c r="O46" s="861"/>
    </row>
    <row r="47" spans="1:29" ht="13.5" customHeight="1">
      <c r="A47" s="2488"/>
      <c r="B47" s="2488"/>
      <c r="C47" s="432" t="s">
        <v>1712</v>
      </c>
      <c r="D47" s="436"/>
      <c r="E47" s="434">
        <f>IF(E42&lt;G42,G42/E42-1,E42/G42-1)</f>
        <v>0</v>
      </c>
      <c r="F47" s="435" t="str">
        <f>IF(OR(E47&gt;=0.2,E47&lt;=-0.2),"超过20%","")</f>
        <v/>
      </c>
      <c r="G47" s="434">
        <f>IF(G42&lt;I42,I42/G42-1,G42/I42-1)</f>
        <v>0.17164082687338511</v>
      </c>
      <c r="H47" s="435" t="str">
        <f>IF(OR(G47&gt;=0.2,G47&lt;=-0.2),"超过20%","")</f>
        <v/>
      </c>
      <c r="I47" s="434">
        <f>IF(I42&lt;E42,E42/I42-1,I42/E42-1)</f>
        <v>0.17164082687338511</v>
      </c>
      <c r="J47" s="435" t="str">
        <f>IF(OR(I47&gt;=0.2,I47&lt;=-0.2),"超过20%","")</f>
        <v/>
      </c>
      <c r="K47" s="2500"/>
      <c r="L47" s="836"/>
      <c r="M47" s="861"/>
      <c r="N47" s="861"/>
      <c r="O47" s="861"/>
    </row>
    <row r="48" spans="1:29" s="437" customFormat="1" ht="13.5" customHeight="1">
      <c r="A48" s="2498"/>
      <c r="B48" s="2498"/>
      <c r="C48" s="432" t="s">
        <v>1713</v>
      </c>
      <c r="D48" s="436"/>
      <c r="E48" s="434">
        <f>IF(E41&lt;G41,G41/E41-1,E41/G41-1)</f>
        <v>0</v>
      </c>
      <c r="F48" s="435" t="str">
        <f>IF(OR(E48&gt;=0.3,E48&lt;=-0.3),"超过30%","")</f>
        <v/>
      </c>
      <c r="G48" s="434">
        <f>IF(G41&lt;I41,I41/G41-1,G41/I41-1)</f>
        <v>0.23333333333333339</v>
      </c>
      <c r="H48" s="435" t="str">
        <f>IF(OR(G48&gt;=0.3,G48&lt;=-0.3),"超过30%","")</f>
        <v/>
      </c>
      <c r="I48" s="434">
        <f>IF(I41&lt;E41,E41/I41-1,I41/E41-1)</f>
        <v>0.23333333333333339</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1714</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1718</v>
      </c>
      <c r="D55" s="3150" t="s">
        <v>3426</v>
      </c>
      <c r="E55" s="3150" t="s">
        <v>3428</v>
      </c>
      <c r="F55" s="31"/>
      <c r="G55" s="31"/>
      <c r="H55" s="31"/>
      <c r="I55" s="31"/>
      <c r="J55" s="31"/>
      <c r="K55" s="31"/>
      <c r="L55" s="457"/>
      <c r="M55" s="458"/>
      <c r="N55" s="878"/>
      <c r="O55" s="878"/>
      <c r="P55" s="459"/>
      <c r="Q55" s="439"/>
    </row>
    <row r="56" spans="1:17" s="102" customFormat="1" ht="14.4" thickBot="1">
      <c r="A56" s="455"/>
      <c r="B56" s="444"/>
      <c r="C56" s="563">
        <v>100</v>
      </c>
      <c r="D56" s="446">
        <v>100</v>
      </c>
      <c r="E56" s="446">
        <v>102</v>
      </c>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8" t="s">
        <v>3419</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8.2" thickTop="1">
      <c r="A90" s="367"/>
      <c r="B90" s="469" t="s">
        <v>1737</v>
      </c>
      <c r="C90" s="509" t="str">
        <f>C91&amp;"(含)"&amp;"-"&amp;D91</f>
        <v>0(含)-2000</v>
      </c>
      <c r="D90" s="509" t="str">
        <f t="shared" ref="D90:L90" si="20">D91&amp;"(含)"&amp;"-"&amp;E91</f>
        <v>2000(含)-5000</v>
      </c>
      <c r="E90" s="509" t="str">
        <f t="shared" si="20"/>
        <v>5000(含)-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5000</v>
      </c>
      <c r="F91" s="6"/>
      <c r="G91" s="6"/>
      <c r="H91" s="6"/>
      <c r="I91" s="6"/>
      <c r="J91" s="524"/>
      <c r="K91" s="524"/>
      <c r="L91" s="525"/>
      <c r="M91" s="526"/>
      <c r="N91" s="881"/>
      <c r="O91" s="881"/>
      <c r="P91" s="489"/>
      <c r="Q91" s="490"/>
    </row>
    <row r="92" spans="1:17" s="408" customFormat="1" ht="14.4" thickBot="1">
      <c r="A92" s="484"/>
      <c r="B92" s="474"/>
      <c r="C92" s="491">
        <v>100</v>
      </c>
      <c r="D92" s="467">
        <v>101</v>
      </c>
      <c r="E92" s="467">
        <v>102</v>
      </c>
      <c r="F92" s="467"/>
      <c r="G92" s="467"/>
      <c r="H92" s="467"/>
      <c r="I92" s="467"/>
      <c r="J92" s="467"/>
      <c r="K92" s="467"/>
      <c r="L92" s="467"/>
      <c r="M92" s="468"/>
      <c r="N92" s="880"/>
      <c r="O92" s="880"/>
      <c r="P92" s="489"/>
      <c r="Q92" s="490"/>
    </row>
    <row r="93" spans="1:17" ht="15" thickTop="1">
      <c r="A93" s="409"/>
      <c r="B93" s="469" t="s">
        <v>1738</v>
      </c>
      <c r="C93" s="3149" t="s">
        <v>3420</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3149" t="s">
        <v>3422</v>
      </c>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149" t="s">
        <v>3422</v>
      </c>
      <c r="D104" s="3149" t="s">
        <v>3424</v>
      </c>
      <c r="E104" s="485"/>
      <c r="F104" s="485"/>
      <c r="G104" s="485"/>
      <c r="H104" s="513"/>
      <c r="I104" s="513"/>
      <c r="J104" s="513"/>
      <c r="K104" s="514"/>
      <c r="L104" s="515"/>
      <c r="M104" s="516"/>
      <c r="N104" s="879"/>
      <c r="O104" s="879"/>
      <c r="P104" s="40"/>
      <c r="Q104" s="439"/>
    </row>
    <row r="105" spans="1:17" ht="14.4" thickBot="1">
      <c r="A105" s="367"/>
      <c r="B105" s="474"/>
      <c r="C105" s="475">
        <v>100</v>
      </c>
      <c r="D105" s="475">
        <f>C105-$K36</f>
        <v>95</v>
      </c>
      <c r="E105" s="475">
        <f>D105-$K36</f>
        <v>90</v>
      </c>
      <c r="F105" s="475">
        <f>E105-$K36</f>
        <v>85</v>
      </c>
      <c r="G105" s="475">
        <f>F105-$K36</f>
        <v>80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46">
    <cfRule type="expression" dxfId="20" priority="14" stopIfTrue="1">
      <formula>$F$46="超过30%"</formula>
    </cfRule>
  </conditionalFormatting>
  <conditionalFormatting sqref="E47">
    <cfRule type="expression" dxfId="19" priority="13" stopIfTrue="1">
      <formula>$F$47="超过20%"</formula>
    </cfRule>
  </conditionalFormatting>
  <conditionalFormatting sqref="E48">
    <cfRule type="expression" dxfId="18" priority="12"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cfRule type="containsText" dxfId="15" priority="15" stopIfTrue="1" operator="containsText" text="超过">
      <formula>NOT(ISERROR(SEARCH("超过",F46)))</formula>
    </cfRule>
  </conditionalFormatting>
  <conditionalFormatting sqref="G46">
    <cfRule type="expression" dxfId="14" priority="10" stopIfTrue="1">
      <formula>$H$46="超过30%"</formula>
    </cfRule>
  </conditionalFormatting>
  <conditionalFormatting sqref="G47">
    <cfRule type="expression" dxfId="13" priority="9" stopIfTrue="1">
      <formula>$H$47="超过20%"</formula>
    </cfRule>
  </conditionalFormatting>
  <conditionalFormatting sqref="G48">
    <cfRule type="expression" dxfId="12" priority="11"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conditionalFormatting sqref="J46:J48">
    <cfRule type="containsText" dxfId="6"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77"/>
  <sheetViews>
    <sheetView topLeftCell="B4" workbookViewId="0">
      <selection activeCell="R35" sqref="R35"/>
    </sheetView>
  </sheetViews>
  <sheetFormatPr defaultRowHeight="14.4"/>
  <cols>
    <col min="6" max="6" width="9.44140625" bestFit="1" customWidth="1"/>
    <col min="26" max="26" width="23" customWidth="1"/>
  </cols>
  <sheetData>
    <row r="1" spans="1:44">
      <c r="A1" s="3145" t="s">
        <v>3396</v>
      </c>
    </row>
    <row r="2" spans="1:44">
      <c r="C2" s="1405" t="s">
        <v>3397</v>
      </c>
      <c r="D2" s="1405" t="s">
        <v>3398</v>
      </c>
      <c r="E2" s="1405" t="s">
        <v>3399</v>
      </c>
      <c r="F2" s="1405" t="s">
        <v>3400</v>
      </c>
    </row>
    <row r="3" spans="1:44">
      <c r="C3">
        <v>2429.12</v>
      </c>
      <c r="D3">
        <v>1588.25</v>
      </c>
      <c r="E3">
        <v>2013</v>
      </c>
      <c r="F3">
        <v>51073928</v>
      </c>
      <c r="G3">
        <f>F3/C3</f>
        <v>21025.691608483732</v>
      </c>
      <c r="H3" s="1405" t="s">
        <v>3401</v>
      </c>
      <c r="I3" s="3146">
        <v>43282</v>
      </c>
      <c r="J3">
        <f>G3*0.8</f>
        <v>16820.553286786988</v>
      </c>
    </row>
    <row r="5" spans="1:44">
      <c r="D5">
        <f>C3/D3</f>
        <v>1.5294317645206987</v>
      </c>
      <c r="AR5">
        <v>1.8</v>
      </c>
    </row>
    <row r="6" spans="1:44">
      <c r="AB6" s="3145" t="s">
        <v>3434</v>
      </c>
      <c r="AR6">
        <v>1.8</v>
      </c>
    </row>
    <row r="7" spans="1:44">
      <c r="AR7">
        <v>2</v>
      </c>
    </row>
    <row r="8" spans="1:44">
      <c r="AR8">
        <v>1.8</v>
      </c>
    </row>
    <row r="9" spans="1:44">
      <c r="AR9">
        <v>2.5</v>
      </c>
    </row>
    <row r="10" spans="1:44">
      <c r="AR10">
        <v>2.86</v>
      </c>
    </row>
    <row r="23" spans="20:22">
      <c r="T23" s="1405" t="s">
        <v>3433</v>
      </c>
      <c r="U23">
        <v>550</v>
      </c>
      <c r="V23">
        <v>2.5</v>
      </c>
    </row>
    <row r="24" spans="20:22">
      <c r="T24" s="1405"/>
      <c r="U24">
        <v>500</v>
      </c>
      <c r="V24">
        <v>2.5</v>
      </c>
    </row>
    <row r="25" spans="20:22">
      <c r="U25">
        <v>2500</v>
      </c>
      <c r="V25">
        <v>2.4</v>
      </c>
    </row>
    <row r="26" spans="20:22">
      <c r="U26">
        <v>2000</v>
      </c>
      <c r="V26">
        <v>3</v>
      </c>
    </row>
    <row r="35" spans="16:29">
      <c r="P35">
        <v>2420</v>
      </c>
      <c r="Q35">
        <v>15000</v>
      </c>
      <c r="R35" s="3145" t="s">
        <v>3416</v>
      </c>
      <c r="S35" s="3145"/>
      <c r="T35" s="3145"/>
      <c r="U35" s="3145"/>
      <c r="V35" s="3145"/>
      <c r="W35" s="3145"/>
      <c r="X35" s="3145"/>
      <c r="Y35" s="3145"/>
      <c r="Z35" s="3487" t="s">
        <v>3440</v>
      </c>
      <c r="AA35" s="3145"/>
      <c r="AB35" s="3145"/>
      <c r="AC35" s="3145"/>
    </row>
    <row r="36" spans="16:29">
      <c r="P36">
        <v>2200</v>
      </c>
      <c r="Q36">
        <v>15000</v>
      </c>
      <c r="R36" s="3145" t="s">
        <v>3417</v>
      </c>
      <c r="S36" s="3145"/>
      <c r="T36" s="3145"/>
      <c r="U36" s="3145"/>
      <c r="V36" s="3145"/>
      <c r="W36" s="3145"/>
      <c r="X36" s="3145"/>
      <c r="Y36" s="3145"/>
      <c r="Z36" s="3487"/>
      <c r="AA36" s="3145"/>
      <c r="AB36" s="3145"/>
      <c r="AC36" s="3145"/>
    </row>
    <row r="37" spans="16:29">
      <c r="P37">
        <v>2100</v>
      </c>
      <c r="Q37">
        <v>18500</v>
      </c>
      <c r="R37" s="3145" t="s">
        <v>3415</v>
      </c>
      <c r="S37" s="3145"/>
      <c r="T37" s="3145"/>
      <c r="U37" s="3145"/>
      <c r="V37" s="3145"/>
      <c r="W37" s="3145"/>
      <c r="X37" s="3145"/>
      <c r="Y37" s="3145"/>
      <c r="Z37" s="3487"/>
      <c r="AA37" s="3145"/>
      <c r="AB37" s="3145"/>
      <c r="AC37" s="3145"/>
    </row>
    <row r="69" spans="6:45">
      <c r="F69" s="3145" t="s">
        <v>3438</v>
      </c>
    </row>
    <row r="73" spans="6:45">
      <c r="AR73" s="3145" t="s">
        <v>3430</v>
      </c>
    </row>
    <row r="75" spans="6:45">
      <c r="AR75">
        <v>2200</v>
      </c>
      <c r="AS75">
        <v>2</v>
      </c>
    </row>
    <row r="76" spans="6:45">
      <c r="AR76">
        <v>220</v>
      </c>
      <c r="AS76">
        <v>1.8</v>
      </c>
    </row>
    <row r="77" spans="6:45">
      <c r="AR77">
        <v>1000</v>
      </c>
      <c r="AS77">
        <v>1.8</v>
      </c>
    </row>
  </sheetData>
  <mergeCells count="1">
    <mergeCell ref="Z35:Z37"/>
  </mergeCells>
  <phoneticPr fontId="134" type="noConversion"/>
  <hyperlinks>
    <hyperlink ref="A1" r:id="rId1" display="https://sf-item.taobao.com/sf_item/571736246220.htm?spm=a213w.7398504.paiList.1.46c01f6786B81A&amp;track_id=45b1204e-3ca9-4883-b6fd-2507e15bd6b7"/>
    <hyperlink ref="R37" r:id="rId2" display="https://office.fang.com/shou/3_472639655.html"/>
    <hyperlink ref="R35" r:id="rId3" display="https://bj.sydc.anjuke.com/xzl-shou/6485953537/?proType=combo&amp;legoHuiDu=0&amp;houseid=2793409837849604&amp;pt=1&amp;kw=%E4%BC%81%E4%B8%9A%E5%A2%85&amp;zhidingLegoHuiDu=0&amp;uniqid=1a3f5adfa2394b9e9188d4e168738037&amp;gpos=1&amp;"/>
    <hyperlink ref="R36" r:id="rId4" display="https://bj.sydc.anjuke.com/xzl-shou/6663486344/?proType=combo&amp;legoHuiDu=0&amp;houseid=3147165472005125&amp;pt=1&amp;kw=%E4%BC%81%E4%B8%9A%E5%A2%85&amp;zhidingLegoHuiDu=0&amp;uniqid=3467141859d542ec9f3989f337e656a7&amp;gpos=2&amp;"/>
    <hyperlink ref="AR73" r:id="rId5" display="https://office.fang.com/zu/3_480739355.html?channel=1,32"/>
    <hyperlink ref="AB6" r:id="rId6" display="http://www.chaolindasha.cn/goods.php?id=2557"/>
    <hyperlink ref="F69" r:id="rId7" display="https://shangban.58.com/sjz/xiezilou/loupan-l1727593740435713.shtml"/>
  </hyperlinks>
  <pageMargins left="0.7" right="0.7" top="0.75" bottom="0.75" header="0.3" footer="0.3"/>
  <drawing r:id="rId8"/>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G9" sqref="G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1112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5378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262</v>
      </c>
      <c r="D5" s="203" t="s">
        <v>1469</v>
      </c>
      <c r="E5" s="204" t="s">
        <v>1470</v>
      </c>
      <c r="F5" s="204" t="s">
        <v>1471</v>
      </c>
      <c r="G5" s="205"/>
    </row>
    <row r="6" spans="1:9" s="206" customFormat="1" ht="13.5" customHeight="1">
      <c r="A6" s="732" t="s">
        <v>1472</v>
      </c>
      <c r="B6" s="207" t="s">
        <v>1473</v>
      </c>
      <c r="C6" s="208">
        <f>基准地价修正!E33</f>
        <v>254</v>
      </c>
      <c r="D6" s="209"/>
      <c r="E6" s="210"/>
      <c r="F6" s="210"/>
      <c r="G6" s="211"/>
    </row>
    <row r="7" spans="1:9" s="206" customFormat="1" ht="13.5" customHeight="1">
      <c r="A7" s="732" t="s">
        <v>1474</v>
      </c>
      <c r="B7" s="207" t="s">
        <v>1475</v>
      </c>
      <c r="C7" s="212">
        <f>ROUND(C6*F7,0)</f>
        <v>8</v>
      </c>
      <c r="D7" s="212"/>
      <c r="E7" s="210"/>
      <c r="F7" s="213">
        <f>IF(项目基本情况!B8="出让",0,'数据-取费表'!B48+'数据-取费表'!B49)</f>
        <v>3.0499999999999999E-2</v>
      </c>
      <c r="G7" s="211"/>
    </row>
    <row r="8" spans="1:9" s="215" customFormat="1">
      <c r="A8" s="732" t="s">
        <v>1476</v>
      </c>
      <c r="B8" s="207" t="s">
        <v>1477</v>
      </c>
      <c r="C8" s="212" t="str">
        <f>IF(G8="已包含在土地购买价格中","0",IF(B1="",'数据-取费表'!B29,IF(G9="全部缴纳",C9+C10,H9)))</f>
        <v>0</v>
      </c>
      <c r="D8" s="214"/>
      <c r="E8" s="212"/>
      <c r="F8" s="213"/>
      <c r="G8" s="1714" t="s">
        <v>451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3408</v>
      </c>
      <c r="H9" s="1070"/>
      <c r="I9" s="1716" t="s">
        <v>1479</v>
      </c>
    </row>
    <row r="10" spans="1:9" s="206" customFormat="1" ht="13.5" customHeight="1">
      <c r="A10" s="733" t="s">
        <v>356</v>
      </c>
      <c r="B10" s="216" t="s">
        <v>1480</v>
      </c>
      <c r="C10" s="217">
        <f ca="1">ROUND(D10*E10/10000,0)</f>
        <v>41</v>
      </c>
      <c r="D10" s="795">
        <f ca="1">IF(B1="",'数据-汇总表'!E6,IF(INDIRECT("'数据-取费表'!c"&amp;$G$1)="住宅",INDIRECT("'数据-取费表'!s"&amp;$G$1),INDIRECT("'数据-取费表'!k"&amp;$G$1)+INDIRECT("'数据-取费表'!s"&amp;$G$1)))</f>
        <v>2067.87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41</v>
      </c>
      <c r="D19" s="204">
        <f ca="1">D9+D10</f>
        <v>2067.87</v>
      </c>
      <c r="E19" s="203">
        <f>'数据-取费表'!B31</f>
        <v>200</v>
      </c>
      <c r="F19" s="223"/>
      <c r="G19" s="1714" t="s">
        <v>436</v>
      </c>
    </row>
    <row r="20" spans="1:7" s="206" customFormat="1" ht="13.5" customHeight="1">
      <c r="A20" s="247" t="s">
        <v>1493</v>
      </c>
      <c r="B20" s="202" t="s">
        <v>1494</v>
      </c>
      <c r="C20" s="224">
        <f ca="1">ROUND((C5+C19)*F20,0)</f>
        <v>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v>
      </c>
      <c r="D22" s="227">
        <f ca="1">C26</f>
        <v>4.0000000000000002E-4</v>
      </c>
      <c r="E22" s="228" t="s">
        <v>1498</v>
      </c>
      <c r="F22" s="229">
        <f ca="1">'数据-取费表'!B40</f>
        <v>4.3499999999999997E-2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31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620</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0.04</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41</v>
      </c>
      <c r="D37" s="209">
        <f ca="1">D19</f>
        <v>2067.87</v>
      </c>
      <c r="E37" s="241">
        <f>'数据-取费表'!B35</f>
        <v>200</v>
      </c>
      <c r="F37" s="251"/>
      <c r="G37" s="253" t="s">
        <v>1532</v>
      </c>
    </row>
    <row r="38" spans="1:7" ht="13.5" customHeight="1">
      <c r="A38" s="734" t="s">
        <v>354</v>
      </c>
      <c r="B38" s="207" t="s">
        <v>1533</v>
      </c>
      <c r="C38" s="212">
        <f ca="1">ROUND(C34*F38,0)</f>
        <v>9</v>
      </c>
      <c r="D38" s="212"/>
      <c r="E38" s="212"/>
      <c r="F38" s="251">
        <f>'数据-取费表'!B36</f>
        <v>1.4999999999999999E-2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15</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4.0000000000000002E-4</v>
      </c>
      <c r="D44" s="230"/>
      <c r="E44" s="230"/>
      <c r="F44" s="231"/>
      <c r="G44" s="3336"/>
    </row>
    <row r="45" spans="1:7" s="206" customFormat="1" ht="13.5" customHeight="1">
      <c r="A45" s="247" t="s">
        <v>1547</v>
      </c>
      <c r="B45" s="236" t="s">
        <v>1513</v>
      </c>
      <c r="C45" s="237">
        <f ca="1">C46</f>
        <v>71</v>
      </c>
      <c r="D45" s="227">
        <f ca="1">C47</f>
        <v>2E-3</v>
      </c>
      <c r="E45" s="228" t="s">
        <v>1539</v>
      </c>
      <c r="F45" s="238">
        <f ca="1">F27</f>
        <v>0.1</v>
      </c>
      <c r="G45" s="239" t="s">
        <v>1548</v>
      </c>
    </row>
    <row r="46" spans="1:7" s="206" customFormat="1" ht="13.5" customHeight="1">
      <c r="A46" s="734" t="s">
        <v>346</v>
      </c>
      <c r="B46" s="240" t="s">
        <v>1549</v>
      </c>
      <c r="C46" s="241">
        <f ca="1">ROUND((C33+C39)*F27,0)</f>
        <v>71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859</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730</v>
      </c>
      <c r="D51" s="224"/>
      <c r="E51" s="224"/>
      <c r="F51" s="256"/>
      <c r="G51" s="226" t="s">
        <v>1560</v>
      </c>
    </row>
    <row r="52" spans="1:7" s="200" customFormat="1" ht="16.8" thickBot="1">
      <c r="A52" s="257" t="s">
        <v>1561</v>
      </c>
      <c r="B52" s="258"/>
      <c r="C52" s="259">
        <f ca="1">C31+C51</f>
        <v>1112</v>
      </c>
      <c r="D52" s="258"/>
      <c r="E52" s="258"/>
      <c r="F52" s="258"/>
      <c r="G52" s="260"/>
    </row>
    <row r="55" spans="1:7" ht="15">
      <c r="B55" s="262" t="s">
        <v>1562</v>
      </c>
      <c r="C55" s="263"/>
    </row>
    <row r="56" spans="1:7">
      <c r="B56" s="265" t="s">
        <v>802</v>
      </c>
      <c r="C56" s="267">
        <f ca="1">1-C57</f>
        <v>0.34399999999999997</v>
      </c>
    </row>
    <row r="57" spans="1:7">
      <c r="B57" s="265" t="s">
        <v>803</v>
      </c>
      <c r="C57" s="266">
        <f ca="1">ROUND(C51/C52,3)</f>
        <v>0.65600000000000003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F54" sqref="F5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2067.87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254</v>
      </c>
      <c r="C2" s="1846" t="s">
        <v>1935</v>
      </c>
      <c r="D2" s="162" t="s">
        <v>1936</v>
      </c>
      <c r="E2" s="3121"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2201</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1228</v>
      </c>
      <c r="C3" s="1846" t="s">
        <v>1941</v>
      </c>
      <c r="D3" s="162" t="s">
        <v>1942</v>
      </c>
      <c r="E3" s="3119" t="s">
        <v>2480</v>
      </c>
      <c r="F3" s="1848" t="s">
        <v>3407</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1697</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1384</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1175</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1071</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4">
        <f t="shared" si="0"/>
        <v>0</v>
      </c>
      <c r="U8" s="1130"/>
      <c r="V8" s="3064">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4"/>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3239</v>
      </c>
      <c r="B12" s="3014" t="s">
        <v>3240</v>
      </c>
      <c r="C12" s="3015"/>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3246</v>
      </c>
      <c r="B17" s="3028" t="s">
        <v>3247</v>
      </c>
      <c r="C17" s="3037">
        <f>ROUND(IF(OR(E2="工业",E2="公共服务"),1,IF(AND(E18=0,E19=0),1,IF(AND(E18=J24,E19=G19),0.8,IF(E19=0,1+E17*(-0.2),1+E17*G17*(-0.2))))),4)</f>
        <v>1</v>
      </c>
      <c r="D17" s="3029" t="s">
        <v>3248</v>
      </c>
      <c r="E17" s="3037">
        <f>ROUND(G18/I18,2)</f>
        <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3249</v>
      </c>
      <c r="E18" s="2357"/>
      <c r="F18" s="3031" t="s">
        <v>3252</v>
      </c>
      <c r="G18" s="3035">
        <f>ROUND(1-(1/(POWER(1+G24,E18))),4)</f>
        <v>0</v>
      </c>
      <c r="H18" s="3031" t="s">
        <v>3254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9" t="s">
        <v>3255</v>
      </c>
      <c r="B20" s="159" t="s">
        <v>1994</v>
      </c>
      <c r="C20" s="3032">
        <f>ROUND(IF(F21="与级别开发程度一致",0,(G21-E21)/C21),0)</f>
        <v>0</v>
      </c>
      <c r="D20" s="3047" t="s">
        <v>1998</v>
      </c>
      <c r="E20" s="3048"/>
      <c r="F20" s="3455" t="s">
        <v>1995</v>
      </c>
      <c r="G20" s="345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50"/>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45593</v>
      </c>
      <c r="H23" s="3049" t="s">
        <v>3257</v>
      </c>
      <c r="I23" s="3050" t="str">
        <f>IF(H23="季度增幅（自定义）",SUMIF(N25:N28,E2,O25:O28),"")</f>
        <v/>
      </c>
      <c r="J23" s="3142" t="s">
        <v>3256</v>
      </c>
      <c r="K23" s="1061"/>
      <c r="L23" s="1897" t="s">
        <v>2004</v>
      </c>
      <c r="M23" s="1241">
        <f>ROUND(SUMIF(地价!B2:G2,E2,地价!B16:G16),0)</f>
        <v>318</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35.74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3336</v>
      </c>
      <c r="C25" s="461">
        <f>IF(B25="容积率修正",IF(G3&lt;10,D26,J26),C27)</f>
        <v>0.8589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0.8589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254</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1226</v>
      </c>
      <c r="D33" s="1940">
        <f>'数据-汇总表'!F19</f>
        <v>2067.87</v>
      </c>
      <c r="E33" s="727">
        <f>ROUND(C33*D33/10000,0)</f>
        <v>254</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184</v>
      </c>
      <c r="D34" s="1945"/>
      <c r="E34" s="727">
        <f>ROUND(IF(B25="楼层修正",SUM(V2:V16)*M40,C34*D34/10000),0)</f>
        <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4.3499999999999997E-2</v>
      </c>
      <c r="M36" s="2366">
        <f ca="1">ROUND($L$36*(1+M31),3)</f>
        <v>5.3999999999999999E-2</v>
      </c>
      <c r="N36" s="2366">
        <f ca="1">ROUND($L$36*(1+N31),3)</f>
        <v>5.1999999999999998E-2</v>
      </c>
      <c r="O36" s="2366">
        <f ca="1">ROUND($L$36*(1+O31),3)</f>
        <v>0.05</v>
      </c>
      <c r="P36" s="2366">
        <f ca="1">ROUND($L$36*(1+P31),3)</f>
        <v>4.8000000000000001E-2</v>
      </c>
      <c r="Q36" s="2366">
        <f ca="1">ROUND($L$36*(1+Q31),3)</f>
        <v>0.05</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f>ROUND(D5*C22*C23*C24*C28*F37,0)</f>
        <v>714</v>
      </c>
      <c r="D37" s="1940"/>
      <c r="E37" s="163">
        <f>ROUND(C37*D37/10000,0)</f>
        <v>0</v>
      </c>
      <c r="F37" s="163">
        <f>SUMIF(修正!A57:A68,G2,修正!B57:B68)</f>
        <v>0.5</v>
      </c>
      <c r="G37" s="163">
        <f>ROUND(IF(E2="工业",C37*$M$42,C37*$M$41),0)</f>
        <v>107</v>
      </c>
      <c r="H37" s="163">
        <f>D37</f>
        <v>0</v>
      </c>
      <c r="I37" s="163">
        <f>ROUND(G37*H37/10000,0)</f>
        <v>0</v>
      </c>
      <c r="J37" s="2755"/>
      <c r="K37" s="3062" t="s">
        <v>3267</v>
      </c>
      <c r="L37" s="1964">
        <f ca="1">L36+K38</f>
        <v>4.8499999999999995E-2</v>
      </c>
      <c r="M37" s="2366">
        <f ca="1">ROUND($L$37*(1+M31),3)</f>
        <v>6.0999999999999999E-2</v>
      </c>
      <c r="N37" s="2366">
        <f t="shared" ref="N37:Q37" ca="1" si="3">ROUND($L$37*(1+N31),3)</f>
        <v>5.8000000000000003E-2</v>
      </c>
      <c r="O37" s="2366">
        <f t="shared" ca="1" si="3"/>
        <v>5.6000000000000001E-2</v>
      </c>
      <c r="P37" s="2366">
        <f t="shared" ca="1" si="3"/>
        <v>5.2999999999999999E-2</v>
      </c>
      <c r="Q37" s="2366">
        <f t="shared" ca="1" si="3"/>
        <v>5.6000000000000001E-2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286</v>
      </c>
      <c r="D38" s="1940"/>
      <c r="E38" s="163">
        <f t="shared" ref="E38:E42" si="4">ROUND(C38*D38/10000,0)</f>
        <v>0</v>
      </c>
      <c r="F38" s="163">
        <f>SUMIF(修正!A57:A68,G2,修正!C57:C68)</f>
        <v>0.2</v>
      </c>
      <c r="G38" s="163">
        <f>ROUND(IF(E2="工业",C38*$M$42,C38*$M$41),0)</f>
        <v>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3260</v>
      </c>
      <c r="C39" s="167">
        <f>ROUND(D5*C22*C23*C24*C28*F39,0)</f>
        <v>286</v>
      </c>
      <c r="D39" s="1940"/>
      <c r="E39" s="163">
        <f t="shared" si="4"/>
        <v>0</v>
      </c>
      <c r="F39" s="163">
        <f>SUMIF(修正!A57:A68,G2,修正!D57:D68)</f>
        <v>0.2</v>
      </c>
      <c r="G39" s="163">
        <f>ROUND(IF(E2="工业",C39*$M$42,C39*$M$41),0)</f>
        <v>43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286</v>
      </c>
      <c r="D40" s="1940"/>
      <c r="E40" s="163">
        <f t="shared" si="4"/>
        <v>0</v>
      </c>
      <c r="F40" s="167">
        <f>SUMIF(修正!A57:A68,G2,修正!E57:E68)</f>
        <v>0.2</v>
      </c>
      <c r="G40" s="163">
        <f>ROUND(IF(E2="工业",C40*$M$42,C40*$M$41),0)</f>
        <v>43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3271</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3.8">
      <c r="A91" s="3079" t="s">
        <v>2613</v>
      </c>
      <c r="B91" s="3080">
        <f>1+E93</f>
        <v>1</v>
      </c>
      <c r="C91" s="3073"/>
      <c r="D91" s="3074"/>
      <c r="E91" s="1675"/>
      <c r="F91" s="1675"/>
      <c r="G91" s="3075"/>
      <c r="H91" s="3076"/>
      <c r="I91" s="3077"/>
      <c r="J91" s="3078"/>
      <c r="K91" s="3078"/>
      <c r="L91" s="3078"/>
      <c r="M91" s="3078"/>
      <c r="N91" s="3078"/>
    </row>
    <row r="92" spans="1:37" ht="25.2">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1" t="s">
        <v>3295</v>
      </c>
      <c r="B103" s="3451"/>
      <c r="C103" s="3451"/>
      <c r="D103" s="3451"/>
      <c r="E103" s="3451"/>
      <c r="F103" s="3451"/>
      <c r="G103" s="3451"/>
      <c r="H103" s="3451"/>
      <c r="I103" s="3451"/>
      <c r="J103" s="3451"/>
      <c r="K103" s="1667"/>
      <c r="L103" s="1667"/>
      <c r="M103" s="1667"/>
      <c r="N103" s="1667"/>
    </row>
    <row r="104" spans="1:14">
      <c r="A104" s="3452" t="s">
        <v>3296</v>
      </c>
      <c r="B104" s="3452" t="s">
        <v>3297</v>
      </c>
      <c r="C104" s="3091" t="s">
        <v>3298</v>
      </c>
      <c r="D104" s="3092"/>
      <c r="E104" s="3092"/>
      <c r="F104" s="3092"/>
      <c r="G104" s="3092"/>
      <c r="H104" s="3092"/>
      <c r="I104" s="3092"/>
      <c r="J104" s="3093"/>
      <c r="K104" s="3094"/>
      <c r="L104" s="3094"/>
      <c r="M104" s="3094"/>
      <c r="N104" s="3094"/>
    </row>
    <row r="105" spans="1:14">
      <c r="A105" s="3452"/>
      <c r="B105" s="3452"/>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438"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9"/>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1" t="s">
        <v>3312</v>
      </c>
      <c r="B113" s="3441"/>
      <c r="C113" s="3441"/>
      <c r="D113" s="3441"/>
      <c r="E113" s="3441"/>
      <c r="F113" s="3441"/>
      <c r="G113" s="3441"/>
      <c r="H113" s="3441"/>
      <c r="I113" s="3441"/>
      <c r="J113" s="34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3313</v>
      </c>
      <c r="B116" s="3115">
        <f>G3</f>
        <v>1.5</v>
      </c>
      <c r="C116" s="3100" t="s">
        <v>3314</v>
      </c>
      <c r="D116" s="3101">
        <f>SUMPRODUCT((A118:A122=F116)*(B117:M117=H116)*B118:M122)</f>
        <v>0.56200000000000006</v>
      </c>
      <c r="E116" s="162" t="s">
        <v>3315</v>
      </c>
      <c r="F116" s="3102" t="str">
        <f>E2</f>
        <v>工业</v>
      </c>
      <c r="G116" s="162" t="s">
        <v>3316</v>
      </c>
      <c r="H116" s="3102" t="str">
        <f>G2</f>
        <v>八级</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3330</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3331</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8" thickBot="1">
      <c r="A121" s="3111" t="s">
        <v>3332</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2613</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估价结果一览表（市场价值不需“结果表-1”）</v>
      </c>
      <c r="B3" s="3158"/>
      <c r="C3" s="3158"/>
      <c r="D3" s="3158"/>
      <c r="E3" s="3158"/>
    </row>
    <row r="4" spans="1:5" ht="18" thickBot="1">
      <c r="A4" s="1391"/>
      <c r="B4" s="3156" t="s">
        <v>917</v>
      </c>
      <c r="C4" s="3156"/>
      <c r="D4" s="3156"/>
      <c r="E4" s="1391"/>
    </row>
    <row r="5" spans="1:5" ht="16.2" thickTop="1">
      <c r="B5" s="3154" t="s">
        <v>909</v>
      </c>
      <c r="C5" s="1392" t="s">
        <v>910</v>
      </c>
      <c r="D5" s="797" t="e">
        <f ca="1">结果表!H101</f>
        <v>#REF!</v>
      </c>
    </row>
    <row r="6" spans="1:5" ht="15.6">
      <c r="B6" s="3154"/>
      <c r="C6" s="1392" t="s">
        <v>911</v>
      </c>
      <c r="D6" s="797" t="e">
        <f ca="1">NUMBERSTRING(INT(D5*10000),2)&amp;"元整"</f>
        <v>#REF!</v>
      </c>
    </row>
    <row r="7" spans="1:5" ht="15.6">
      <c r="B7" s="3159"/>
      <c r="C7" s="1393" t="s">
        <v>912</v>
      </c>
      <c r="D7" s="798" t="e">
        <f ca="1">结果表!H102</f>
        <v>#REF!</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t="e">
        <f ca="1">结果表!H107</f>
        <v>#REF!</v>
      </c>
    </row>
    <row r="14" spans="1:5" ht="15.6">
      <c r="B14" s="3154"/>
      <c r="C14" s="1392" t="s">
        <v>911</v>
      </c>
      <c r="D14" s="797" t="e">
        <f ca="1">NUMBERSTRING(INT(D13*10000),2)&amp;"元整"</f>
        <v>#REF!</v>
      </c>
    </row>
    <row r="15" spans="1:5" ht="15.6">
      <c r="B15" s="3159"/>
      <c r="C15" s="1393" t="s">
        <v>921</v>
      </c>
      <c r="D15" s="806" t="e">
        <f ca="1">结果表!H108</f>
        <v>#REF!</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466" t="s">
        <v>2608</v>
      </c>
      <c r="B20" s="3461" t="s">
        <v>2629</v>
      </c>
      <c r="C20" s="2843" t="s">
        <v>2440</v>
      </c>
      <c r="D20" s="2844"/>
      <c r="E20" s="2845">
        <v>1</v>
      </c>
      <c r="F20" s="2846" t="s">
        <v>2441</v>
      </c>
      <c r="G20" s="2846"/>
    </row>
    <row r="21" spans="1:13" ht="19.5" customHeight="1">
      <c r="A21" s="3467"/>
      <c r="B21" s="3460"/>
      <c r="C21" s="2847" t="s">
        <v>2442</v>
      </c>
      <c r="D21" s="2848"/>
      <c r="E21" s="2849">
        <v>1</v>
      </c>
      <c r="F21" s="2846" t="s">
        <v>2443</v>
      </c>
      <c r="G21" s="2846"/>
    </row>
    <row r="22" spans="1:13" ht="19.5" customHeight="1">
      <c r="A22" s="3467"/>
      <c r="B22" s="3460"/>
      <c r="C22" s="2847" t="s">
        <v>2444</v>
      </c>
      <c r="D22" s="2848"/>
      <c r="E22" s="2849">
        <v>0.9</v>
      </c>
      <c r="F22" s="2846" t="s">
        <v>2445</v>
      </c>
      <c r="G22" s="2846"/>
    </row>
    <row r="23" spans="1:13" ht="19.5" customHeight="1">
      <c r="A23" s="3467"/>
      <c r="B23" s="3460"/>
      <c r="C23" s="2847" t="s">
        <v>2446</v>
      </c>
      <c r="D23" s="2848"/>
      <c r="E23" s="2849">
        <v>0.9</v>
      </c>
      <c r="F23" s="2846" t="s">
        <v>2447</v>
      </c>
      <c r="G23" s="2846"/>
    </row>
    <row r="24" spans="1:13" ht="19.5" customHeight="1">
      <c r="A24" s="3467"/>
      <c r="B24" s="3460"/>
      <c r="C24" s="2847" t="s">
        <v>2448</v>
      </c>
      <c r="D24" s="2848"/>
      <c r="E24" s="2849">
        <v>0.8</v>
      </c>
      <c r="F24" s="2846" t="s">
        <v>2449</v>
      </c>
      <c r="G24" s="2846"/>
    </row>
    <row r="25" spans="1:13" ht="19.5" customHeight="1" thickBot="1">
      <c r="A25" s="3468"/>
      <c r="B25" s="3462"/>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463" t="s">
        <v>2632</v>
      </c>
      <c r="B27" s="3461" t="s">
        <v>2613</v>
      </c>
      <c r="C27" s="2843" t="s">
        <v>2453</v>
      </c>
      <c r="D27" s="2844"/>
      <c r="E27" s="2845">
        <v>1</v>
      </c>
      <c r="F27" s="2846" t="s">
        <v>2454</v>
      </c>
      <c r="G27" s="2846"/>
    </row>
    <row r="28" spans="1:13" ht="19.5" customHeight="1">
      <c r="A28" s="3464"/>
      <c r="B28" s="3460"/>
      <c r="C28" s="2847" t="s">
        <v>2455</v>
      </c>
      <c r="D28" s="2848"/>
      <c r="E28" s="2849">
        <v>1</v>
      </c>
      <c r="F28" s="2846" t="s">
        <v>2456</v>
      </c>
      <c r="G28" s="2846"/>
    </row>
    <row r="29" spans="1:13" ht="19.5" customHeight="1">
      <c r="A29" s="3464"/>
      <c r="B29" s="3460"/>
      <c r="C29" s="2847" t="s">
        <v>2457</v>
      </c>
      <c r="D29" s="2848"/>
      <c r="E29" s="2849">
        <v>0.8</v>
      </c>
      <c r="F29" s="2846" t="s">
        <v>2458</v>
      </c>
      <c r="G29" s="2846"/>
    </row>
    <row r="30" spans="1:13" ht="19.5" customHeight="1">
      <c r="A30" s="3464"/>
      <c r="B30" s="3460"/>
      <c r="C30" s="2847" t="s">
        <v>2459</v>
      </c>
      <c r="D30" s="2848"/>
      <c r="E30" s="2849">
        <v>0.8</v>
      </c>
      <c r="F30" s="2846" t="s">
        <v>2460</v>
      </c>
      <c r="G30" s="2846"/>
    </row>
    <row r="31" spans="1:13" ht="19.5" customHeight="1">
      <c r="A31" s="3464"/>
      <c r="B31" s="3460"/>
      <c r="C31" s="2847" t="s">
        <v>2461</v>
      </c>
      <c r="D31" s="2848"/>
      <c r="E31" s="2849">
        <v>0.8</v>
      </c>
      <c r="F31" s="2846" t="s">
        <v>2462</v>
      </c>
      <c r="G31" s="2846"/>
    </row>
    <row r="32" spans="1:13" ht="19.5" customHeight="1">
      <c r="A32" s="3464"/>
      <c r="B32" s="3460"/>
      <c r="C32" s="2847" t="s">
        <v>2463</v>
      </c>
      <c r="D32" s="2848"/>
      <c r="E32" s="2849">
        <v>0.7</v>
      </c>
      <c r="F32" s="2846" t="s">
        <v>2464</v>
      </c>
      <c r="G32" s="2846"/>
    </row>
    <row r="33" spans="1:7" ht="19.5" customHeight="1">
      <c r="A33" s="3464"/>
      <c r="B33" s="3460"/>
      <c r="C33" s="2847" t="s">
        <v>2465</v>
      </c>
      <c r="D33" s="2848"/>
      <c r="E33" s="2849">
        <v>0.8</v>
      </c>
      <c r="F33" s="2846" t="s">
        <v>2466</v>
      </c>
      <c r="G33" s="2846"/>
    </row>
    <row r="34" spans="1:7" ht="19.5" customHeight="1">
      <c r="A34" s="3464"/>
      <c r="B34" s="3460"/>
      <c r="C34" s="2847" t="s">
        <v>2467</v>
      </c>
      <c r="D34" s="2848"/>
      <c r="E34" s="2849">
        <v>0.6</v>
      </c>
      <c r="F34" s="2846" t="s">
        <v>2468</v>
      </c>
      <c r="G34" s="2846"/>
    </row>
    <row r="35" spans="1:7" ht="19.5" customHeight="1">
      <c r="A35" s="3464"/>
      <c r="B35" s="3460"/>
      <c r="C35" s="2847" t="s">
        <v>2469</v>
      </c>
      <c r="D35" s="2848"/>
      <c r="E35" s="2849">
        <v>0.2</v>
      </c>
      <c r="F35" s="2846" t="s">
        <v>2470</v>
      </c>
      <c r="G35" s="2846"/>
    </row>
    <row r="36" spans="1:7" ht="19.5" customHeight="1">
      <c r="A36" s="3464"/>
      <c r="B36" s="3460"/>
      <c r="C36" s="2847" t="s">
        <v>2471</v>
      </c>
      <c r="D36" s="2848"/>
      <c r="E36" s="2849">
        <v>0.2</v>
      </c>
      <c r="F36" s="2846" t="s">
        <v>2472</v>
      </c>
      <c r="G36" s="2846"/>
    </row>
    <row r="37" spans="1:7" ht="19.5" customHeight="1">
      <c r="A37" s="3464"/>
      <c r="B37" s="3458" t="s">
        <v>2633</v>
      </c>
      <c r="C37" s="2847" t="s">
        <v>2473</v>
      </c>
      <c r="D37" s="2848"/>
      <c r="E37" s="2849">
        <v>0.6</v>
      </c>
      <c r="F37" s="2846" t="s">
        <v>2474</v>
      </c>
      <c r="G37" s="2846"/>
    </row>
    <row r="38" spans="1:7" ht="19.5" customHeight="1">
      <c r="A38" s="3464"/>
      <c r="B38" s="3460"/>
      <c r="C38" s="2847" t="s">
        <v>2475</v>
      </c>
      <c r="D38" s="2848"/>
      <c r="E38" s="2849">
        <v>0.6</v>
      </c>
      <c r="F38" s="2846" t="s">
        <v>2476</v>
      </c>
      <c r="G38" s="2846"/>
    </row>
    <row r="39" spans="1:7" ht="19.5" customHeight="1" thickBot="1">
      <c r="A39" s="3465"/>
      <c r="B39" s="3462"/>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466" t="s">
        <v>2611</v>
      </c>
      <c r="B41" s="3461" t="s">
        <v>2635</v>
      </c>
      <c r="C41" s="2843" t="s">
        <v>2480</v>
      </c>
      <c r="D41" s="2844"/>
      <c r="E41" s="2845">
        <v>1</v>
      </c>
      <c r="F41" s="2846" t="s">
        <v>2481</v>
      </c>
      <c r="G41" s="2846"/>
    </row>
    <row r="42" spans="1:7" ht="19.5" customHeight="1">
      <c r="A42" s="3467"/>
      <c r="B42" s="3460"/>
      <c r="C42" s="2847" t="s">
        <v>2482</v>
      </c>
      <c r="D42" s="2848"/>
      <c r="E42" s="2849">
        <v>1</v>
      </c>
      <c r="F42" s="2846" t="s">
        <v>2483</v>
      </c>
      <c r="G42" s="2846"/>
    </row>
    <row r="43" spans="1:7" ht="19.5" customHeight="1">
      <c r="A43" s="3467"/>
      <c r="B43" s="3459"/>
      <c r="C43" s="2847" t="s">
        <v>2484</v>
      </c>
      <c r="D43" s="2848"/>
      <c r="E43" s="2849">
        <v>1.5</v>
      </c>
      <c r="F43" s="2846" t="s">
        <v>2485</v>
      </c>
      <c r="G43" s="2846"/>
    </row>
    <row r="44" spans="1:7" ht="19.5" customHeight="1">
      <c r="A44" s="3467"/>
      <c r="B44" s="2858" t="s">
        <v>2636</v>
      </c>
      <c r="C44" s="2847" t="s">
        <v>2637</v>
      </c>
      <c r="D44" s="2848"/>
      <c r="E44" s="2849">
        <v>2</v>
      </c>
      <c r="F44" s="2846" t="s">
        <v>2486</v>
      </c>
      <c r="G44" s="2846"/>
    </row>
    <row r="45" spans="1:7" ht="19.5" customHeight="1">
      <c r="A45" s="3467"/>
      <c r="B45" s="3458" t="s">
        <v>2638</v>
      </c>
      <c r="C45" s="2847" t="s">
        <v>2487</v>
      </c>
      <c r="D45" s="2848"/>
      <c r="E45" s="2849">
        <v>1</v>
      </c>
      <c r="F45" s="2846" t="s">
        <v>2488</v>
      </c>
      <c r="G45" s="2846"/>
    </row>
    <row r="46" spans="1:7" ht="19.5" customHeight="1">
      <c r="A46" s="3467"/>
      <c r="B46" s="3460"/>
      <c r="C46" s="2847" t="s">
        <v>2489</v>
      </c>
      <c r="D46" s="2848"/>
      <c r="E46" s="2849">
        <v>1</v>
      </c>
      <c r="F46" s="2846" t="s">
        <v>2490</v>
      </c>
      <c r="G46" s="2846"/>
    </row>
    <row r="47" spans="1:7" ht="19.5" customHeight="1">
      <c r="A47" s="3467"/>
      <c r="B47" s="3460"/>
      <c r="C47" s="2847" t="s">
        <v>2491</v>
      </c>
      <c r="D47" s="2848"/>
      <c r="E47" s="2849">
        <v>1</v>
      </c>
      <c r="F47" s="2846" t="s">
        <v>2492</v>
      </c>
      <c r="G47" s="2846"/>
    </row>
    <row r="48" spans="1:7" ht="19.5" customHeight="1">
      <c r="A48" s="3467"/>
      <c r="B48" s="3460"/>
      <c r="C48" s="2847" t="s">
        <v>2493</v>
      </c>
      <c r="D48" s="2848"/>
      <c r="E48" s="2849">
        <v>1</v>
      </c>
      <c r="F48" s="2846" t="s">
        <v>2494</v>
      </c>
      <c r="G48" s="2846"/>
    </row>
    <row r="49" spans="1:7" ht="19.5" customHeight="1">
      <c r="A49" s="3467"/>
      <c r="B49" s="3460"/>
      <c r="C49" s="2847" t="s">
        <v>2495</v>
      </c>
      <c r="D49" s="2848"/>
      <c r="E49" s="2849">
        <v>1</v>
      </c>
      <c r="F49" s="2846" t="s">
        <v>2496</v>
      </c>
      <c r="G49" s="2846"/>
    </row>
    <row r="50" spans="1:7" ht="19.5" customHeight="1">
      <c r="A50" s="3467"/>
      <c r="B50" s="3460"/>
      <c r="C50" s="2847" t="s">
        <v>2497</v>
      </c>
      <c r="D50" s="2848"/>
      <c r="E50" s="2849">
        <v>1</v>
      </c>
      <c r="F50" s="2846" t="s">
        <v>2498</v>
      </c>
      <c r="G50" s="2846"/>
    </row>
    <row r="51" spans="1:7" ht="19.5" customHeight="1" thickBot="1">
      <c r="A51" s="3468"/>
      <c r="B51" s="3462"/>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4.4">
      <c r="A72" s="2858"/>
      <c r="B72" s="2858"/>
      <c r="C72" s="2858" t="s">
        <v>2651</v>
      </c>
      <c r="D72" s="2858"/>
      <c r="E72" s="2858" t="s">
        <v>2622</v>
      </c>
      <c r="F72" s="2858" t="s">
        <v>2622</v>
      </c>
    </row>
    <row r="73" spans="1:7" ht="14.4">
      <c r="A73" s="2858">
        <v>1</v>
      </c>
      <c r="B73" s="3458" t="s">
        <v>2652</v>
      </c>
      <c r="C73" s="2832" t="s">
        <v>2653</v>
      </c>
      <c r="D73" s="2832" t="s">
        <v>2654</v>
      </c>
      <c r="E73" s="2858">
        <v>0.2</v>
      </c>
      <c r="F73" s="2858">
        <v>25</v>
      </c>
    </row>
    <row r="74" spans="1:7" ht="24">
      <c r="A74" s="2858">
        <v>2</v>
      </c>
      <c r="B74" s="3460"/>
      <c r="C74" s="2832" t="s">
        <v>2655</v>
      </c>
      <c r="D74" s="2832" t="s">
        <v>2656</v>
      </c>
      <c r="E74" s="2858">
        <v>0.2</v>
      </c>
      <c r="F74" s="2858">
        <v>25</v>
      </c>
    </row>
    <row r="75" spans="1:7" ht="24">
      <c r="A75" s="2858">
        <v>3</v>
      </c>
      <c r="B75" s="3460"/>
      <c r="C75" s="2832" t="s">
        <v>2657</v>
      </c>
      <c r="D75" s="2832" t="s">
        <v>2658</v>
      </c>
      <c r="E75" s="2858">
        <v>0.2</v>
      </c>
      <c r="F75" s="2858">
        <v>25</v>
      </c>
    </row>
    <row r="76" spans="1:7" ht="14.4">
      <c r="A76" s="2858">
        <v>4</v>
      </c>
      <c r="B76" s="3460"/>
      <c r="C76" s="2832" t="s">
        <v>2659</v>
      </c>
      <c r="D76" s="2832" t="s">
        <v>2660</v>
      </c>
      <c r="E76" s="2858">
        <v>0.15</v>
      </c>
      <c r="F76" s="2858">
        <v>20</v>
      </c>
    </row>
    <row r="77" spans="1:7" ht="24">
      <c r="A77" s="2858">
        <v>5</v>
      </c>
      <c r="B77" s="3460"/>
      <c r="C77" s="2832" t="s">
        <v>2661</v>
      </c>
      <c r="D77" s="2832" t="s">
        <v>2662</v>
      </c>
      <c r="E77" s="2858">
        <v>0.15</v>
      </c>
      <c r="F77" s="2858">
        <v>20</v>
      </c>
    </row>
    <row r="78" spans="1:7" ht="24">
      <c r="A78" s="2858">
        <v>6</v>
      </c>
      <c r="B78" s="3460"/>
      <c r="C78" s="2832" t="s">
        <v>2663</v>
      </c>
      <c r="D78" s="2832" t="s">
        <v>2664</v>
      </c>
      <c r="E78" s="2858">
        <v>0.15</v>
      </c>
      <c r="F78" s="2858">
        <v>20</v>
      </c>
    </row>
    <row r="79" spans="1:7" ht="24">
      <c r="A79" s="2858">
        <v>7</v>
      </c>
      <c r="B79" s="3460"/>
      <c r="C79" s="2832" t="s">
        <v>2665</v>
      </c>
      <c r="D79" s="2832" t="s">
        <v>2666</v>
      </c>
      <c r="E79" s="2858">
        <v>0.15</v>
      </c>
      <c r="F79" s="2858">
        <v>20</v>
      </c>
    </row>
    <row r="80" spans="1:7" ht="24">
      <c r="A80" s="2858">
        <v>8</v>
      </c>
      <c r="B80" s="3460"/>
      <c r="C80" s="2832" t="s">
        <v>2667</v>
      </c>
      <c r="D80" s="2832" t="s">
        <v>2668</v>
      </c>
      <c r="E80" s="2858">
        <v>0.1</v>
      </c>
      <c r="F80" s="2858">
        <v>15</v>
      </c>
    </row>
    <row r="81" spans="1:6" ht="24">
      <c r="A81" s="2858">
        <v>9</v>
      </c>
      <c r="B81" s="3460"/>
      <c r="C81" s="2832" t="s">
        <v>2669</v>
      </c>
      <c r="D81" s="2832" t="s">
        <v>2670</v>
      </c>
      <c r="E81" s="2858">
        <v>0.1</v>
      </c>
      <c r="F81" s="2858">
        <v>15</v>
      </c>
    </row>
    <row r="82" spans="1:6" ht="24">
      <c r="A82" s="2858">
        <v>10</v>
      </c>
      <c r="B82" s="3460"/>
      <c r="C82" s="2832" t="s">
        <v>2671</v>
      </c>
      <c r="D82" s="2832" t="s">
        <v>2672</v>
      </c>
      <c r="E82" s="2858">
        <v>0.1</v>
      </c>
      <c r="F82" s="2858">
        <v>15</v>
      </c>
    </row>
    <row r="83" spans="1:6" ht="24">
      <c r="A83" s="2858">
        <v>11</v>
      </c>
      <c r="B83" s="3460"/>
      <c r="C83" s="2832" t="s">
        <v>2673</v>
      </c>
      <c r="D83" s="2832" t="s">
        <v>2674</v>
      </c>
      <c r="E83" s="2858">
        <v>0.1</v>
      </c>
      <c r="F83" s="2858">
        <v>15</v>
      </c>
    </row>
    <row r="84" spans="1:6" ht="24">
      <c r="A84" s="2858">
        <v>12</v>
      </c>
      <c r="B84" s="3460"/>
      <c r="C84" s="2832" t="s">
        <v>2675</v>
      </c>
      <c r="D84" s="2832" t="s">
        <v>2676</v>
      </c>
      <c r="E84" s="2858">
        <v>0.1</v>
      </c>
      <c r="F84" s="2858">
        <v>15</v>
      </c>
    </row>
    <row r="85" spans="1:6" ht="24">
      <c r="A85" s="2858">
        <v>13</v>
      </c>
      <c r="B85" s="3460"/>
      <c r="C85" s="2832" t="s">
        <v>2677</v>
      </c>
      <c r="D85" s="2832" t="s">
        <v>2678</v>
      </c>
      <c r="E85" s="2858">
        <v>0.1</v>
      </c>
      <c r="F85" s="2858">
        <v>15</v>
      </c>
    </row>
    <row r="86" spans="1:6" ht="24">
      <c r="A86" s="2858">
        <v>14</v>
      </c>
      <c r="B86" s="3460"/>
      <c r="C86" s="2832" t="s">
        <v>2679</v>
      </c>
      <c r="D86" s="2832" t="s">
        <v>2680</v>
      </c>
      <c r="E86" s="2858">
        <v>0.1</v>
      </c>
      <c r="F86" s="2858">
        <v>15</v>
      </c>
    </row>
    <row r="87" spans="1:6" ht="24">
      <c r="A87" s="2858">
        <v>15</v>
      </c>
      <c r="B87" s="3460"/>
      <c r="C87" s="2832" t="s">
        <v>2681</v>
      </c>
      <c r="D87" s="2832" t="s">
        <v>2682</v>
      </c>
      <c r="E87" s="2858">
        <v>0.1</v>
      </c>
      <c r="F87" s="2858">
        <v>15</v>
      </c>
    </row>
    <row r="88" spans="1:6" ht="24">
      <c r="A88" s="2858">
        <v>16</v>
      </c>
      <c r="B88" s="3460"/>
      <c r="C88" s="2832" t="s">
        <v>2683</v>
      </c>
      <c r="D88" s="2832" t="s">
        <v>2684</v>
      </c>
      <c r="E88" s="2858">
        <v>0.1</v>
      </c>
      <c r="F88" s="2858">
        <v>15</v>
      </c>
    </row>
    <row r="89" spans="1:6" ht="24">
      <c r="A89" s="2858">
        <v>17</v>
      </c>
      <c r="B89" s="3459"/>
      <c r="C89" s="2832" t="s">
        <v>2685</v>
      </c>
      <c r="D89" s="2832" t="s">
        <v>2686</v>
      </c>
      <c r="E89" s="2858">
        <v>0.1</v>
      </c>
      <c r="F89" s="2858">
        <v>15</v>
      </c>
    </row>
    <row r="90" spans="1:6" ht="14.4">
      <c r="A90" s="2858">
        <v>18</v>
      </c>
      <c r="B90" s="3458" t="s">
        <v>2687</v>
      </c>
      <c r="C90" s="2832" t="s">
        <v>2688</v>
      </c>
      <c r="D90" s="2832" t="s">
        <v>2689</v>
      </c>
      <c r="E90" s="2858">
        <v>0.2</v>
      </c>
      <c r="F90" s="2858">
        <v>25</v>
      </c>
    </row>
    <row r="91" spans="1:6" ht="24">
      <c r="A91" s="2858">
        <v>19</v>
      </c>
      <c r="B91" s="3460"/>
      <c r="C91" s="2832" t="s">
        <v>2690</v>
      </c>
      <c r="D91" s="2832" t="s">
        <v>2691</v>
      </c>
      <c r="E91" s="2858">
        <v>0.2</v>
      </c>
      <c r="F91" s="2858">
        <v>25</v>
      </c>
    </row>
    <row r="92" spans="1:6" ht="14.4">
      <c r="A92" s="2858">
        <v>20</v>
      </c>
      <c r="B92" s="3460"/>
      <c r="C92" s="2832" t="s">
        <v>2692</v>
      </c>
      <c r="D92" s="2832" t="s">
        <v>2693</v>
      </c>
      <c r="E92" s="2858">
        <v>0.15</v>
      </c>
      <c r="F92" s="2858">
        <v>20</v>
      </c>
    </row>
    <row r="93" spans="1:6" ht="24">
      <c r="A93" s="2858">
        <v>21</v>
      </c>
      <c r="B93" s="3460"/>
      <c r="C93" s="2832" t="s">
        <v>2694</v>
      </c>
      <c r="D93" s="2832" t="s">
        <v>2695</v>
      </c>
      <c r="E93" s="2858">
        <v>0.15</v>
      </c>
      <c r="F93" s="2858">
        <v>20</v>
      </c>
    </row>
    <row r="94" spans="1:6" ht="24">
      <c r="A94" s="2858">
        <v>22</v>
      </c>
      <c r="B94" s="3460"/>
      <c r="C94" s="2832" t="s">
        <v>2696</v>
      </c>
      <c r="D94" s="2832" t="s">
        <v>2697</v>
      </c>
      <c r="E94" s="2858">
        <v>0.15</v>
      </c>
      <c r="F94" s="2858">
        <v>20</v>
      </c>
    </row>
    <row r="95" spans="1:6" ht="36">
      <c r="A95" s="2858">
        <v>23</v>
      </c>
      <c r="B95" s="3460"/>
      <c r="C95" s="2832" t="s">
        <v>2698</v>
      </c>
      <c r="D95" s="2832" t="s">
        <v>2699</v>
      </c>
      <c r="E95" s="2858">
        <v>0.15</v>
      </c>
      <c r="F95" s="2858">
        <v>20</v>
      </c>
    </row>
    <row r="96" spans="1:6" ht="24">
      <c r="A96" s="2858">
        <v>24</v>
      </c>
      <c r="B96" s="3460"/>
      <c r="C96" s="2832" t="s">
        <v>2700</v>
      </c>
      <c r="D96" s="2832" t="s">
        <v>2701</v>
      </c>
      <c r="E96" s="2858">
        <v>0.1</v>
      </c>
      <c r="F96" s="2858">
        <v>15</v>
      </c>
    </row>
    <row r="97" spans="1:6" ht="24">
      <c r="A97" s="2858">
        <v>25</v>
      </c>
      <c r="B97" s="3460"/>
      <c r="C97" s="2832" t="s">
        <v>2702</v>
      </c>
      <c r="D97" s="2832" t="s">
        <v>2703</v>
      </c>
      <c r="E97" s="2858">
        <v>0.1</v>
      </c>
      <c r="F97" s="2858">
        <v>15</v>
      </c>
    </row>
    <row r="98" spans="1:6" ht="24">
      <c r="A98" s="2858">
        <v>26</v>
      </c>
      <c r="B98" s="3460"/>
      <c r="C98" s="2832" t="s">
        <v>2704</v>
      </c>
      <c r="D98" s="2832" t="s">
        <v>2705</v>
      </c>
      <c r="E98" s="2858">
        <v>0.1</v>
      </c>
      <c r="F98" s="2858">
        <v>15</v>
      </c>
    </row>
    <row r="99" spans="1:6" ht="24">
      <c r="A99" s="2858">
        <v>27</v>
      </c>
      <c r="B99" s="3460"/>
      <c r="C99" s="2832" t="s">
        <v>2706</v>
      </c>
      <c r="D99" s="2832" t="s">
        <v>2707</v>
      </c>
      <c r="E99" s="2858">
        <v>0.1</v>
      </c>
      <c r="F99" s="2858">
        <v>15</v>
      </c>
    </row>
    <row r="100" spans="1:6" ht="24">
      <c r="A100" s="2858">
        <v>28</v>
      </c>
      <c r="B100" s="3460"/>
      <c r="C100" s="2832" t="s">
        <v>2708</v>
      </c>
      <c r="D100" s="2832" t="s">
        <v>2709</v>
      </c>
      <c r="E100" s="2858">
        <v>0.1</v>
      </c>
      <c r="F100" s="2858">
        <v>15</v>
      </c>
    </row>
    <row r="101" spans="1:6" ht="24">
      <c r="A101" s="2858">
        <v>29</v>
      </c>
      <c r="B101" s="3460"/>
      <c r="C101" s="2832" t="s">
        <v>2710</v>
      </c>
      <c r="D101" s="2832" t="s">
        <v>2711</v>
      </c>
      <c r="E101" s="2858">
        <v>0.1</v>
      </c>
      <c r="F101" s="2858">
        <v>15</v>
      </c>
    </row>
    <row r="102" spans="1:6" ht="24">
      <c r="A102" s="2858">
        <v>30</v>
      </c>
      <c r="B102" s="3460"/>
      <c r="C102" s="2832" t="s">
        <v>2712</v>
      </c>
      <c r="D102" s="2832" t="s">
        <v>2713</v>
      </c>
      <c r="E102" s="2858">
        <v>0.1</v>
      </c>
      <c r="F102" s="2858">
        <v>15</v>
      </c>
    </row>
    <row r="103" spans="1:6" ht="24">
      <c r="A103" s="2858">
        <v>31</v>
      </c>
      <c r="B103" s="3460"/>
      <c r="C103" s="2832" t="s">
        <v>2714</v>
      </c>
      <c r="D103" s="2832" t="s">
        <v>2715</v>
      </c>
      <c r="E103" s="2858">
        <v>0.1</v>
      </c>
      <c r="F103" s="2858">
        <v>15</v>
      </c>
    </row>
    <row r="104" spans="1:6" ht="24">
      <c r="A104" s="2858">
        <v>32</v>
      </c>
      <c r="B104" s="3460"/>
      <c r="C104" s="2832" t="s">
        <v>2716</v>
      </c>
      <c r="D104" s="2832" t="s">
        <v>2717</v>
      </c>
      <c r="E104" s="2858">
        <v>0.1</v>
      </c>
      <c r="F104" s="2858">
        <v>15</v>
      </c>
    </row>
    <row r="105" spans="1:6" ht="24">
      <c r="A105" s="2858">
        <v>33</v>
      </c>
      <c r="B105" s="3460"/>
      <c r="C105" s="2832" t="s">
        <v>2718</v>
      </c>
      <c r="D105" s="2832" t="s">
        <v>2719</v>
      </c>
      <c r="E105" s="2858">
        <v>0.1</v>
      </c>
      <c r="F105" s="2858">
        <v>15</v>
      </c>
    </row>
    <row r="106" spans="1:6" ht="24">
      <c r="A106" s="2858">
        <v>34</v>
      </c>
      <c r="B106" s="3459"/>
      <c r="C106" s="2832" t="s">
        <v>2720</v>
      </c>
      <c r="D106" s="2832" t="s">
        <v>2721</v>
      </c>
      <c r="E106" s="2858">
        <v>0.1</v>
      </c>
      <c r="F106" s="2858">
        <v>15</v>
      </c>
    </row>
    <row r="107" spans="1:6" ht="36">
      <c r="A107" s="2858">
        <v>35</v>
      </c>
      <c r="B107" s="3458" t="s">
        <v>2722</v>
      </c>
      <c r="C107" s="2858" t="s">
        <v>2723</v>
      </c>
      <c r="D107" s="2832" t="s">
        <v>2724</v>
      </c>
      <c r="E107" s="2858">
        <v>0.15</v>
      </c>
      <c r="F107" s="2858">
        <v>20</v>
      </c>
    </row>
    <row r="108" spans="1:6" ht="24">
      <c r="A108" s="2858">
        <v>36</v>
      </c>
      <c r="B108" s="3460"/>
      <c r="C108" s="2858" t="s">
        <v>2725</v>
      </c>
      <c r="D108" s="2832" t="s">
        <v>2726</v>
      </c>
      <c r="E108" s="2858">
        <v>0.15</v>
      </c>
      <c r="F108" s="2858">
        <v>20</v>
      </c>
    </row>
    <row r="109" spans="1:6" ht="24">
      <c r="A109" s="2858">
        <v>37</v>
      </c>
      <c r="B109" s="3460"/>
      <c r="C109" s="2858" t="s">
        <v>2727</v>
      </c>
      <c r="D109" s="2832" t="s">
        <v>2728</v>
      </c>
      <c r="E109" s="2858">
        <v>0.15</v>
      </c>
      <c r="F109" s="2858">
        <v>20</v>
      </c>
    </row>
    <row r="110" spans="1:6" ht="24">
      <c r="A110" s="2858">
        <v>38</v>
      </c>
      <c r="B110" s="3460"/>
      <c r="C110" s="2858" t="s">
        <v>2729</v>
      </c>
      <c r="D110" s="2832" t="s">
        <v>2730</v>
      </c>
      <c r="E110" s="2858">
        <v>0.1</v>
      </c>
      <c r="F110" s="2858">
        <v>15</v>
      </c>
    </row>
    <row r="111" spans="1:6" ht="24">
      <c r="A111" s="2858">
        <v>39</v>
      </c>
      <c r="B111" s="3460"/>
      <c r="C111" s="2858" t="s">
        <v>2731</v>
      </c>
      <c r="D111" s="2832" t="s">
        <v>2732</v>
      </c>
      <c r="E111" s="2858">
        <v>0.1</v>
      </c>
      <c r="F111" s="2858">
        <v>15</v>
      </c>
    </row>
    <row r="112" spans="1:6" ht="24">
      <c r="A112" s="2858">
        <v>40</v>
      </c>
      <c r="B112" s="3459"/>
      <c r="C112" s="2858" t="s">
        <v>2733</v>
      </c>
      <c r="D112" s="2832" t="s">
        <v>2734</v>
      </c>
      <c r="E112" s="2858">
        <v>0.1</v>
      </c>
      <c r="F112" s="2858">
        <v>15</v>
      </c>
    </row>
    <row r="113" spans="1:6" ht="24">
      <c r="A113" s="2858">
        <v>41</v>
      </c>
      <c r="B113" s="3457" t="s">
        <v>2735</v>
      </c>
      <c r="C113" s="2858" t="s">
        <v>2736</v>
      </c>
      <c r="D113" s="2832" t="s">
        <v>2737</v>
      </c>
      <c r="E113" s="2858">
        <v>0.1</v>
      </c>
      <c r="F113" s="2858">
        <v>15</v>
      </c>
    </row>
    <row r="114" spans="1:6" ht="24">
      <c r="A114" s="2858">
        <v>42</v>
      </c>
      <c r="B114" s="3457"/>
      <c r="C114" s="2858" t="s">
        <v>2738</v>
      </c>
      <c r="D114" s="2832" t="s">
        <v>2739</v>
      </c>
      <c r="E114" s="2858">
        <v>0.1</v>
      </c>
      <c r="F114" s="2858">
        <v>15</v>
      </c>
    </row>
    <row r="115" spans="1:6" ht="24">
      <c r="A115" s="2858">
        <v>43</v>
      </c>
      <c r="B115" s="3457"/>
      <c r="C115" s="2858" t="s">
        <v>2740</v>
      </c>
      <c r="D115" s="2832" t="s">
        <v>2741</v>
      </c>
      <c r="E115" s="2858">
        <v>0.1</v>
      </c>
      <c r="F115" s="2858">
        <v>15</v>
      </c>
    </row>
    <row r="116" spans="1:6" ht="24">
      <c r="A116" s="2858">
        <v>44</v>
      </c>
      <c r="B116" s="3458" t="s">
        <v>2742</v>
      </c>
      <c r="C116" s="2858" t="s">
        <v>2743</v>
      </c>
      <c r="D116" s="2832" t="s">
        <v>2744</v>
      </c>
      <c r="E116" s="2858">
        <v>0.1</v>
      </c>
      <c r="F116" s="2858">
        <v>15</v>
      </c>
    </row>
    <row r="117" spans="1:6" ht="24">
      <c r="A117" s="2858">
        <v>45</v>
      </c>
      <c r="B117" s="3459"/>
      <c r="C117" s="2832" t="s">
        <v>2745</v>
      </c>
      <c r="D117" s="2832" t="s">
        <v>2746</v>
      </c>
      <c r="E117" s="2858">
        <v>0.1</v>
      </c>
      <c r="F117" s="2858">
        <v>15</v>
      </c>
    </row>
    <row r="118" spans="1:6" ht="24">
      <c r="A118" s="2858">
        <v>46</v>
      </c>
      <c r="B118" s="3458" t="s">
        <v>2747</v>
      </c>
      <c r="C118" s="2858" t="s">
        <v>2748</v>
      </c>
      <c r="D118" s="2832" t="s">
        <v>2749</v>
      </c>
      <c r="E118" s="2858">
        <v>0.1</v>
      </c>
      <c r="F118" s="2858">
        <v>15</v>
      </c>
    </row>
    <row r="119" spans="1:6" ht="24">
      <c r="A119" s="2858">
        <v>47</v>
      </c>
      <c r="B119" s="3459"/>
      <c r="C119" s="2858" t="s">
        <v>2750</v>
      </c>
      <c r="D119" s="2832" t="s">
        <v>2751</v>
      </c>
      <c r="E119" s="2858">
        <v>0.1</v>
      </c>
      <c r="F119" s="2858">
        <v>15</v>
      </c>
    </row>
    <row r="120" spans="1:6" ht="24">
      <c r="A120" s="2858">
        <v>48</v>
      </c>
      <c r="B120" s="3458" t="s">
        <v>2752</v>
      </c>
      <c r="C120" s="2858" t="s">
        <v>2753</v>
      </c>
      <c r="D120" s="2832" t="s">
        <v>2754</v>
      </c>
      <c r="E120" s="2858">
        <v>0.1</v>
      </c>
      <c r="F120" s="2858">
        <v>15</v>
      </c>
    </row>
    <row r="121" spans="1:6" ht="24">
      <c r="A121" s="2858">
        <v>49</v>
      </c>
      <c r="B121" s="3459"/>
      <c r="C121" s="2858" t="s">
        <v>2755</v>
      </c>
      <c r="D121" s="2832" t="s">
        <v>2756</v>
      </c>
      <c r="E121" s="2858">
        <v>0.1</v>
      </c>
      <c r="F121" s="2858">
        <v>15</v>
      </c>
    </row>
    <row r="122" spans="1:6" ht="24">
      <c r="A122" s="2858">
        <v>50</v>
      </c>
      <c r="B122" s="3457" t="s">
        <v>2757</v>
      </c>
      <c r="C122" s="2858" t="s">
        <v>2758</v>
      </c>
      <c r="D122" s="2832" t="s">
        <v>2759</v>
      </c>
      <c r="E122" s="2858">
        <v>0.1</v>
      </c>
      <c r="F122" s="2858">
        <v>15</v>
      </c>
    </row>
    <row r="123" spans="1:6" ht="24">
      <c r="A123" s="2858">
        <v>51</v>
      </c>
      <c r="B123" s="3457"/>
      <c r="C123" s="2858" t="s">
        <v>2760</v>
      </c>
      <c r="D123" s="2832" t="s">
        <v>2761</v>
      </c>
      <c r="E123" s="2858">
        <v>0.1</v>
      </c>
      <c r="F123" s="2858">
        <v>15</v>
      </c>
    </row>
    <row r="124" spans="1:6" ht="24">
      <c r="A124" s="2858">
        <v>52</v>
      </c>
      <c r="B124" s="3457" t="s">
        <v>2762</v>
      </c>
      <c r="C124" s="2858" t="s">
        <v>2763</v>
      </c>
      <c r="D124" s="2832" t="s">
        <v>2764</v>
      </c>
      <c r="E124" s="2858">
        <v>0.1</v>
      </c>
      <c r="F124" s="2858">
        <v>15</v>
      </c>
    </row>
    <row r="125" spans="1:6" ht="24">
      <c r="A125" s="2858">
        <v>53</v>
      </c>
      <c r="B125" s="3457"/>
      <c r="C125" s="2858" t="s">
        <v>2765</v>
      </c>
      <c r="D125" s="2832" t="s">
        <v>2766</v>
      </c>
      <c r="E125" s="2858">
        <v>0.1</v>
      </c>
      <c r="F125" s="2858">
        <v>15</v>
      </c>
    </row>
    <row r="126" spans="1:6" ht="24">
      <c r="A126" s="2858">
        <v>54</v>
      </c>
      <c r="B126" s="2858" t="s">
        <v>2767</v>
      </c>
      <c r="C126" s="2858" t="s">
        <v>2768</v>
      </c>
      <c r="D126" s="2832" t="s">
        <v>2769</v>
      </c>
      <c r="E126" s="2858">
        <v>0.1</v>
      </c>
      <c r="F126" s="2858">
        <v>15</v>
      </c>
    </row>
    <row r="127" spans="1:6" ht="24">
      <c r="A127" s="2858">
        <v>55</v>
      </c>
      <c r="B127" s="3457" t="s">
        <v>2770</v>
      </c>
      <c r="C127" s="2858" t="s">
        <v>2771</v>
      </c>
      <c r="D127" s="2832" t="s">
        <v>2772</v>
      </c>
      <c r="E127" s="2858">
        <v>0.1</v>
      </c>
      <c r="F127" s="2858">
        <v>15</v>
      </c>
    </row>
    <row r="128" spans="1:6" ht="24">
      <c r="A128" s="2858">
        <v>56</v>
      </c>
      <c r="B128" s="3457"/>
      <c r="C128" s="2858" t="s">
        <v>2773</v>
      </c>
      <c r="D128" s="2832" t="s">
        <v>2774</v>
      </c>
      <c r="E128" s="2858">
        <v>0.1</v>
      </c>
      <c r="F128" s="2858">
        <v>15</v>
      </c>
    </row>
    <row r="129" spans="1:6" ht="24">
      <c r="A129" s="2858">
        <v>57</v>
      </c>
      <c r="B129" s="3457"/>
      <c r="C129" s="2858" t="s">
        <v>2775</v>
      </c>
      <c r="D129" s="2832" t="s">
        <v>2776</v>
      </c>
      <c r="E129" s="2858">
        <v>0.1</v>
      </c>
      <c r="F129" s="2858">
        <v>15</v>
      </c>
    </row>
    <row r="130" spans="1:6" ht="24">
      <c r="A130" s="2858">
        <v>58</v>
      </c>
      <c r="B130" s="3457" t="s">
        <v>2777</v>
      </c>
      <c r="C130" s="2858" t="s">
        <v>2778</v>
      </c>
      <c r="D130" s="2832" t="s">
        <v>2779</v>
      </c>
      <c r="E130" s="2858">
        <v>0.1</v>
      </c>
      <c r="F130" s="2858">
        <v>15</v>
      </c>
    </row>
    <row r="131" spans="1:6" ht="24">
      <c r="A131" s="2858">
        <v>59</v>
      </c>
      <c r="B131" s="3457"/>
      <c r="C131" s="2858" t="s">
        <v>2780</v>
      </c>
      <c r="D131" s="2832" t="s">
        <v>2781</v>
      </c>
      <c r="E131" s="2858">
        <v>0.1</v>
      </c>
      <c r="F131" s="2858">
        <v>15</v>
      </c>
    </row>
    <row r="132" spans="1:6" ht="24">
      <c r="A132" s="2858">
        <v>60</v>
      </c>
      <c r="B132" s="3458" t="s">
        <v>2782</v>
      </c>
      <c r="C132" s="2858" t="s">
        <v>2783</v>
      </c>
      <c r="D132" s="2832" t="s">
        <v>2784</v>
      </c>
      <c r="E132" s="2858">
        <v>0.1</v>
      </c>
      <c r="F132" s="2858">
        <v>15</v>
      </c>
    </row>
    <row r="133" spans="1:6" ht="24">
      <c r="A133" s="2858">
        <v>61</v>
      </c>
      <c r="B133" s="3459"/>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24">
      <c r="A135" s="2858">
        <v>63</v>
      </c>
      <c r="B135" s="3457" t="s">
        <v>2790</v>
      </c>
      <c r="C135" s="2858" t="s">
        <v>2791</v>
      </c>
      <c r="D135" s="2832" t="s">
        <v>2792</v>
      </c>
      <c r="E135" s="2858">
        <v>0.1</v>
      </c>
      <c r="F135" s="2858">
        <v>15</v>
      </c>
    </row>
    <row r="136" spans="1:6" ht="24">
      <c r="A136" s="2858">
        <v>64</v>
      </c>
      <c r="B136" s="3457"/>
      <c r="C136" s="2858" t="s">
        <v>2793</v>
      </c>
      <c r="D136" s="2832" t="s">
        <v>2794</v>
      </c>
      <c r="E136" s="2858">
        <v>0.1</v>
      </c>
      <c r="F136" s="2858">
        <v>15</v>
      </c>
    </row>
    <row r="137" spans="1:6" ht="24">
      <c r="A137" s="2858">
        <v>65</v>
      </c>
      <c r="B137" s="2858" t="s">
        <v>2795</v>
      </c>
      <c r="C137" s="2858" t="s">
        <v>2796</v>
      </c>
      <c r="D137" s="2832" t="s">
        <v>2797</v>
      </c>
      <c r="E137" s="2858">
        <v>0.1</v>
      </c>
      <c r="F137" s="2858">
        <v>15</v>
      </c>
    </row>
    <row r="138" spans="1:6" ht="14.4">
      <c r="A138" s="2858"/>
      <c r="B138" s="2858"/>
      <c r="C138" s="2858"/>
      <c r="D138" s="2858"/>
      <c r="E138" s="2858" t="s">
        <v>2798</v>
      </c>
      <c r="F138" s="285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1.0985</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1</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26754</v>
      </c>
      <c r="C2" s="2" t="s">
        <v>106</v>
      </c>
      <c r="D2" s="191"/>
      <c r="E2" s="191"/>
      <c r="F2" s="191"/>
      <c r="G2" s="191"/>
    </row>
    <row r="3" spans="1:7" s="192" customFormat="1" ht="18" customHeight="1" thickBot="1">
      <c r="A3" s="195" t="s">
        <v>58</v>
      </c>
      <c r="B3" s="196">
        <f ca="1">ROUND(B2*10000/'数据-汇总表'!E3,0)</f>
        <v>129380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41</v>
      </c>
      <c r="D10" s="795">
        <f>'数据-汇总表'!E6</f>
        <v>2067.87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41</v>
      </c>
      <c r="D19" s="204">
        <f>'数据-汇总表'!E3</f>
        <v>2067.87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908</v>
      </c>
      <c r="D22" s="227">
        <f ca="1">C26</f>
        <v>4.0000000000000002E-4</v>
      </c>
      <c r="E22" s="228" t="s">
        <v>99</v>
      </c>
      <c r="F22" s="229">
        <f ca="1">'数据-取费表'!B40</f>
        <v>4.3499999999999997E-2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26024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620</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41</v>
      </c>
      <c r="D37" s="209">
        <f>'数据-汇总表'!E3</f>
        <v>2067.87</v>
      </c>
      <c r="E37" s="241">
        <f>'数据-取费表'!B35</f>
        <v>200</v>
      </c>
      <c r="F37" s="251"/>
      <c r="G37" s="253" t="s">
        <v>92</v>
      </c>
    </row>
    <row r="38" spans="1:7" ht="13.5" customHeight="1">
      <c r="A38" s="734" t="s">
        <v>354</v>
      </c>
      <c r="B38" s="207" t="s">
        <v>36</v>
      </c>
      <c r="C38" s="212">
        <f>ROUND(C34*F38,0)</f>
        <v>9</v>
      </c>
      <c r="D38" s="212"/>
      <c r="E38" s="212"/>
      <c r="F38" s="251">
        <f>'数据-取费表'!B36</f>
        <v>1.4999999999999999E-2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15</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4.0000000000000002E-4</v>
      </c>
      <c r="D44" s="230"/>
      <c r="E44" s="230"/>
      <c r="F44" s="231"/>
      <c r="G44" s="3336"/>
    </row>
    <row r="45" spans="1:7" s="206" customFormat="1" ht="13.5" customHeight="1">
      <c r="A45" s="731" t="s">
        <v>341</v>
      </c>
      <c r="B45" s="236" t="s">
        <v>85</v>
      </c>
      <c r="C45" s="237">
        <f>C46</f>
        <v>71</v>
      </c>
      <c r="D45" s="227">
        <f>C47</f>
        <v>2E-3</v>
      </c>
      <c r="E45" s="228" t="s">
        <v>102</v>
      </c>
      <c r="F45" s="238"/>
      <c r="G45" s="239" t="s">
        <v>434</v>
      </c>
    </row>
    <row r="46" spans="1:7" s="206" customFormat="1" ht="13.5" customHeight="1">
      <c r="A46" s="734" t="s">
        <v>349</v>
      </c>
      <c r="B46" s="240" t="s">
        <v>427</v>
      </c>
      <c r="C46" s="241">
        <f>ROUND((C33+C39)*F27,0)</f>
        <v>71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859</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730</v>
      </c>
      <c r="D51" s="224"/>
      <c r="E51" s="224"/>
      <c r="F51" s="256"/>
      <c r="G51" s="226" t="s">
        <v>37</v>
      </c>
    </row>
    <row r="52" spans="1:7" s="200" customFormat="1" ht="16.8" thickBot="1">
      <c r="A52" s="257" t="s">
        <v>38</v>
      </c>
      <c r="B52" s="258"/>
      <c r="C52" s="259">
        <f ca="1">C31+C51</f>
        <v>26754</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71" t="s">
        <v>2840</v>
      </c>
      <c r="B1" s="3471"/>
      <c r="C1" s="3471"/>
      <c r="D1" s="3471"/>
      <c r="E1" s="3471"/>
      <c r="F1" s="3471"/>
      <c r="G1" s="3472"/>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1.4"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469"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1.4" thickBot="1">
      <c r="A4" s="3470"/>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1.4"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1.4"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1.4"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1.4"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73" t="s">
        <v>3182</v>
      </c>
      <c r="B1" s="3473"/>
    </row>
    <row r="2" spans="1:7" ht="15" thickBot="1">
      <c r="A2" s="2969"/>
      <c r="B2" s="2969"/>
    </row>
    <row r="3" spans="1:7" ht="15" thickBot="1">
      <c r="A3" s="2969"/>
      <c r="B3" s="2969"/>
      <c r="C3" s="2970" t="s">
        <v>2812</v>
      </c>
      <c r="D3" s="2970" t="s">
        <v>2868</v>
      </c>
      <c r="E3" s="2970" t="s">
        <v>2814</v>
      </c>
      <c r="F3" s="2970" t="s">
        <v>2869</v>
      </c>
      <c r="G3" s="2970" t="s">
        <v>2632</v>
      </c>
    </row>
    <row r="4" spans="1:7" ht="1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474" t="s">
        <v>3233</v>
      </c>
      <c r="B1" s="3474"/>
      <c r="C1" s="3474"/>
      <c r="D1" s="3474"/>
      <c r="E1" s="3474"/>
      <c r="F1" s="3475"/>
    </row>
    <row r="2" spans="1:6">
      <c r="A2" s="3003" t="s">
        <v>3234</v>
      </c>
    </row>
    <row r="3" spans="1:6">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8">
        <f>基准地价修正!G23</f>
        <v>45593</v>
      </c>
      <c r="B1" s="2930" t="s">
        <v>3383</v>
      </c>
      <c r="C1" s="2931"/>
      <c r="D1" s="2931"/>
      <c r="E1" s="2931"/>
      <c r="F1" s="2931"/>
      <c r="G1" s="2931"/>
      <c r="H1" s="2931"/>
      <c r="I1" s="2931"/>
      <c r="J1" s="2897"/>
      <c r="K1" s="2931" t="s">
        <v>454</v>
      </c>
      <c r="L1" s="2931"/>
      <c r="M1" s="2931"/>
      <c r="N1" s="2931"/>
      <c r="O1" s="2931"/>
      <c r="P1" s="2931"/>
      <c r="Q1" s="2897"/>
      <c r="R1" s="3476" t="s">
        <v>456</v>
      </c>
      <c r="S1" s="3477"/>
      <c r="T1" s="3477"/>
      <c r="U1" s="3477"/>
      <c r="V1" s="3477"/>
      <c r="W1" s="3477"/>
      <c r="X1" s="2897"/>
      <c r="Y1" s="3476" t="s">
        <v>457</v>
      </c>
      <c r="Z1" s="3477"/>
      <c r="AA1" s="3477"/>
      <c r="AB1" s="3477"/>
      <c r="AC1" s="3477"/>
      <c r="AD1" s="3477"/>
    </row>
    <row r="2" spans="1:30" s="2010" customFormat="1" ht="1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3.2">
      <c r="A3" s="2885" t="s">
        <v>2820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3.2">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3.2">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3.2">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3.2">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3.2">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6" t="s">
        <v>2821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6" t="s">
        <v>2822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6" t="s">
        <v>2823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6" t="s">
        <v>2824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ht="13.8" thickBot="1">
      <c r="A21" s="2919" t="s">
        <v>2825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5" thickTop="1"/>
    <row r="23" spans="1:30">
      <c r="A23" s="3144" t="s">
        <v>3386</v>
      </c>
    </row>
    <row r="24" spans="1:30">
      <c r="I24" s="1405" t="s">
        <v>2826</v>
      </c>
    </row>
    <row r="26" spans="1:30" s="2009" customFormat="1" ht="13.2">
      <c r="B26" s="2930" t="s">
        <v>3384</v>
      </c>
      <c r="C26" s="2931"/>
      <c r="D26" s="2931"/>
      <c r="E26" s="2931"/>
      <c r="F26" s="2931"/>
      <c r="G26" s="2931"/>
      <c r="H26" s="2931"/>
      <c r="I26" s="2931"/>
      <c r="J26" s="2897"/>
      <c r="K26" s="2931" t="s">
        <v>2827</v>
      </c>
      <c r="L26" s="2931"/>
      <c r="M26" s="2931"/>
      <c r="N26" s="2931"/>
      <c r="O26" s="2931"/>
      <c r="P26" s="2931"/>
      <c r="Q26" s="2897"/>
      <c r="R26" s="3476" t="s">
        <v>2828</v>
      </c>
      <c r="S26" s="3477"/>
      <c r="T26" s="3477"/>
      <c r="U26" s="3477"/>
      <c r="V26" s="3477"/>
      <c r="W26" s="3477"/>
      <c r="X26" s="2897"/>
      <c r="Y26" s="3476" t="s">
        <v>2829</v>
      </c>
      <c r="Z26" s="3477"/>
      <c r="AA26" s="3477"/>
      <c r="AB26" s="3477"/>
      <c r="AC26" s="3477"/>
      <c r="AD26" s="3477"/>
    </row>
    <row r="27" spans="1:30" s="2010" customFormat="1" ht="15" thickBot="1">
      <c r="B27" s="2882"/>
      <c r="C27" s="2883"/>
      <c r="D27" s="2011" t="s">
        <v>2830</v>
      </c>
      <c r="E27" s="2012" t="s">
        <v>2831</v>
      </c>
      <c r="F27" s="2012" t="s">
        <v>2832</v>
      </c>
      <c r="G27" s="2012" t="s">
        <v>2833</v>
      </c>
      <c r="H27" s="2012"/>
      <c r="I27" s="2012" t="s">
        <v>2834</v>
      </c>
      <c r="J27" s="2884"/>
      <c r="K27" s="2011" t="s">
        <v>2830</v>
      </c>
      <c r="L27" s="2012" t="s">
        <v>2831</v>
      </c>
      <c r="M27" s="2012" t="s">
        <v>2832</v>
      </c>
      <c r="N27" s="2012" t="s">
        <v>2833</v>
      </c>
      <c r="O27" s="2012"/>
      <c r="P27" s="2012" t="s">
        <v>2834</v>
      </c>
      <c r="Q27" s="2884"/>
      <c r="R27" s="2011" t="s">
        <v>2830</v>
      </c>
      <c r="S27" s="2012" t="s">
        <v>2831</v>
      </c>
      <c r="T27" s="2012" t="s">
        <v>2832</v>
      </c>
      <c r="U27" s="2012" t="s">
        <v>2833</v>
      </c>
      <c r="V27" s="2012"/>
      <c r="W27" s="2012" t="s">
        <v>2834</v>
      </c>
      <c r="X27" s="2884"/>
      <c r="Y27" s="2011" t="s">
        <v>2830</v>
      </c>
      <c r="Z27" s="2012" t="s">
        <v>2831</v>
      </c>
      <c r="AA27" s="2012" t="s">
        <v>2832</v>
      </c>
      <c r="AB27" s="2012" t="s">
        <v>2833</v>
      </c>
      <c r="AC27" s="2012"/>
      <c r="AD27" s="2012" t="s">
        <v>2834</v>
      </c>
    </row>
    <row r="28" spans="1:30" s="2887" customFormat="1" ht="13.2">
      <c r="A28" s="2885" t="s">
        <v>2835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3.2">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3.2">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3.2">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3.2">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3.2">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3.2">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3.2">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3.2">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3.2">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3.2">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3.2">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3.2">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3.2">
      <c r="A42" s="2906" t="s">
        <v>2836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3.2">
      <c r="A43" s="2906" t="s">
        <v>2837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3.2">
      <c r="A44" s="2906" t="s">
        <v>2838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3.2">
      <c r="A45" s="2906" t="s">
        <v>2839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ht="13.8" thickBot="1">
      <c r="A46" s="2919" t="s">
        <v>2825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45593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6">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2067.87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6" t="s">
        <v>927</v>
      </c>
      <c r="B5" s="3166"/>
      <c r="C5" s="3166"/>
      <c r="D5" s="3166" t="e">
        <f ca="1">结果表!D119</f>
        <v>#REF!</v>
      </c>
      <c r="E5" s="3166"/>
      <c r="F5" s="3166" t="e">
        <f ca="1">结果表!F119</f>
        <v>#REF!</v>
      </c>
      <c r="G5" s="3166"/>
      <c r="H5" s="3166" t="e">
        <f ca="1">结果表!H119</f>
        <v>#REF!</v>
      </c>
      <c r="I5" s="3166"/>
    </row>
    <row r="6" spans="1:9" ht="15.6">
      <c r="A6" s="3165" t="str">
        <f>结果表!A120</f>
        <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6">
      <c r="A8" s="3165" t="str">
        <f>结果表!A122</f>
        <v/>
      </c>
      <c r="B8" s="3165"/>
      <c r="C8" s="3165"/>
      <c r="D8" s="3165" t="e">
        <f ca="1">结果表!D122</f>
        <v>#REF!</v>
      </c>
      <c r="E8" s="3165"/>
      <c r="F8" s="3165"/>
      <c r="G8" s="3165"/>
      <c r="H8" s="3165"/>
      <c r="I8" s="3165"/>
    </row>
    <row r="9" spans="1:9" ht="15">
      <c r="A9" s="3166" t="s">
        <v>927</v>
      </c>
      <c r="B9" s="3166"/>
      <c r="C9" s="3166"/>
      <c r="D9" s="3166" t="e">
        <f ca="1">结果表!D123</f>
        <v>#REF!</v>
      </c>
      <c r="E9" s="3166"/>
      <c r="F9" s="3166"/>
      <c r="G9" s="3166"/>
      <c r="H9" s="3166"/>
      <c r="I9" s="3166"/>
    </row>
    <row r="10" spans="1:9" ht="15.6">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6">
      <c r="A12" s="3165" t="str">
        <f>结果表!A126</f>
        <v/>
      </c>
      <c r="B12" s="3165"/>
      <c r="C12" s="3165"/>
      <c r="D12" s="3165" t="str">
        <f>结果表!D126</f>
        <v>——</v>
      </c>
      <c r="E12" s="3165"/>
      <c r="F12" s="3165"/>
      <c r="G12" s="3165"/>
      <c r="H12" s="3165"/>
      <c r="I12" s="3165"/>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8" t="s">
        <v>949</v>
      </c>
      <c r="B1" s="3178"/>
      <c r="C1" s="3178"/>
      <c r="D1" s="3178"/>
    </row>
    <row r="2" spans="1:4" ht="17.399999999999999">
      <c r="A2" s="3179" t="s">
        <v>933</v>
      </c>
      <c r="B2" s="3179"/>
      <c r="C2" s="3179"/>
      <c r="D2" s="317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9" t="s">
        <v>939</v>
      </c>
      <c r="B6" s="3179"/>
      <c r="C6" s="3179"/>
      <c r="D6" s="317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0" t="s">
        <v>942</v>
      </c>
      <c r="B11" s="3172"/>
      <c r="C11" s="3172"/>
      <c r="D11" s="3172"/>
    </row>
    <row r="12" spans="1:4" ht="15.6">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45615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比较法-车位</vt:lpstr>
      <vt:lpstr>比较法-仓储</vt:lpstr>
      <vt:lpstr>土地比较法-住宅、综合</vt:lpstr>
      <vt:lpstr>土地比较法-工业</vt:lpstr>
      <vt:lpstr>典型户型修正</vt:lpstr>
      <vt:lpstr>基准地价（汇总）</vt:lpstr>
      <vt:lpstr>租金案例</vt:lpstr>
      <vt:lpstr>比较法-工业售价</vt:lpstr>
      <vt:lpstr>售价案例</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'比较法-工业售价'!工业公共部分装修</vt:lpstr>
      <vt:lpstr>工业公共部分装修</vt:lpstr>
      <vt:lpstr>'比较法-工业售价'!工业基础设施水平</vt:lpstr>
      <vt:lpstr>工业基础设施水平</vt:lpstr>
      <vt:lpstr>'比较法-工业售价'!工业建筑结构</vt:lpstr>
      <vt:lpstr>工业建筑结构</vt:lpstr>
      <vt:lpstr>'比较法-工业售价'!工业建筑类型</vt:lpstr>
      <vt:lpstr>工业建筑类型</vt:lpstr>
      <vt:lpstr>'比较法-工业售价'!工业交易情况</vt:lpstr>
      <vt:lpstr>工业交易情况</vt:lpstr>
      <vt:lpstr>'比较法-工业售价'!工业内部装修</vt:lpstr>
      <vt:lpstr>工业内部装修</vt:lpstr>
      <vt:lpstr>'比较法-工业售价'!工业物业管理</vt:lpstr>
      <vt:lpstr>工业物业管理</vt:lpstr>
      <vt:lpstr>'比较法-工业售价'!工业用途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2024-11-19T02:39:05Z</dcterms:modified>
</cp:coreProperties>
</file>