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25" yWindow="135" windowWidth="1488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车库" sheetId="80" r:id="rId22"/>
    <sheet name="收益法-办公" sheetId="15" r:id="rId23"/>
    <sheet name="收益法 (元)" sheetId="67" state="hidden" r:id="rId24"/>
    <sheet name="收益法-酒店模型" sheetId="77" state="hidden"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'收益法-办公'!$A$1:$F$43,'收益法-办公'!$H$3:$M$29,'收益法-办公'!$A$46:$F$71,'收益法-办公'!$I$46:$N$65</definedName>
    <definedName name="_xlnm.Print_Area" localSheetId="21">'收益法-车库'!$A$1:$F$43,'收益法-车库'!$H$3:$M$29,'收益法-车库'!$A$46:$F$71,'收益法-车库'!$I$46:$N$65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c r="G70" i="39" s="1"/>
  <c r="H70" i="39" s="1"/>
  <c r="I70" i="39" s="1"/>
  <c r="J70" i="39" s="1"/>
  <c r="K70" i="39" s="1"/>
  <c r="L70" i="39" s="1"/>
  <c r="M70" i="39" s="1"/>
  <c r="N70" i="39" s="1"/>
  <c r="O70" i="39" s="1"/>
  <c r="D70" i="39"/>
  <c r="E117" i="39"/>
  <c r="F117" i="39"/>
  <c r="G117" i="39" s="1"/>
  <c r="H117" i="39" s="1"/>
  <c r="D117" i="39"/>
  <c r="W20" i="1"/>
  <c r="X20" i="1" s="1"/>
  <c r="W19" i="1"/>
  <c r="W18" i="1"/>
  <c r="N6" i="1"/>
  <c r="C14" i="74" l="1"/>
  <c r="B14" i="74"/>
  <c r="E116" i="39"/>
  <c r="F116" i="39" s="1"/>
  <c r="G116" i="39" s="1"/>
  <c r="H116" i="39" s="1"/>
  <c r="D116" i="39"/>
  <c r="I38" i="39"/>
  <c r="G38" i="39"/>
  <c r="E38" i="39"/>
  <c r="C38" i="39"/>
  <c r="C11" i="39"/>
  <c r="I7" i="39"/>
  <c r="G7" i="39"/>
  <c r="E7" i="39"/>
  <c r="I5" i="39"/>
  <c r="G5" i="39"/>
  <c r="E5" i="39"/>
  <c r="I46" i="39"/>
  <c r="G46" i="39"/>
  <c r="E46" i="39"/>
  <c r="G44" i="43"/>
  <c r="D42" i="43"/>
  <c r="D40" i="43"/>
  <c r="D33" i="43"/>
  <c r="Q72" i="80"/>
  <c r="Q59" i="80"/>
  <c r="K59" i="80"/>
  <c r="P74" i="80" s="1"/>
  <c r="F59" i="80"/>
  <c r="Q58" i="80"/>
  <c r="Q51" i="80"/>
  <c r="J50" i="80"/>
  <c r="J51" i="80" s="1"/>
  <c r="M47" i="80"/>
  <c r="D46" i="80"/>
  <c r="F34" i="80"/>
  <c r="F62" i="80" s="1"/>
  <c r="F33" i="80"/>
  <c r="F61" i="80" s="1"/>
  <c r="F32" i="80"/>
  <c r="F60" i="80" s="1"/>
  <c r="F31" i="80"/>
  <c r="F28" i="80"/>
  <c r="C28" i="80" s="1"/>
  <c r="F23" i="80"/>
  <c r="D24" i="80" s="1"/>
  <c r="D23" i="80"/>
  <c r="D22" i="80"/>
  <c r="F21" i="80"/>
  <c r="M20" i="80"/>
  <c r="F20" i="80"/>
  <c r="M19" i="80"/>
  <c r="M18" i="80"/>
  <c r="F18" i="80"/>
  <c r="M17" i="80"/>
  <c r="F17" i="80"/>
  <c r="F15" i="80"/>
  <c r="G1" i="80"/>
  <c r="Y7" i="1"/>
  <c r="Y6" i="1"/>
  <c r="N14" i="1"/>
  <c r="N7" i="1"/>
  <c r="L14" i="1"/>
  <c r="L7" i="1"/>
  <c r="C76" i="80"/>
  <c r="Q71" i="80" l="1"/>
  <c r="P61" i="80"/>
  <c r="B10" i="74"/>
  <c r="M22" i="80"/>
  <c r="F6" i="80"/>
  <c r="F13" i="80"/>
  <c r="F26" i="80"/>
  <c r="F37" i="80"/>
  <c r="M28" i="80"/>
  <c r="L47" i="80"/>
  <c r="M9" i="80"/>
  <c r="F16" i="80"/>
  <c r="M29" i="80"/>
  <c r="F38" i="80"/>
  <c r="F9" i="80"/>
  <c r="F40" i="80"/>
  <c r="M23" i="80"/>
  <c r="F43" i="80"/>
  <c r="M8" i="80"/>
  <c r="J15" i="80"/>
  <c r="M27" i="80"/>
  <c r="F8" i="80"/>
  <c r="F42" i="80"/>
  <c r="M6" i="80"/>
  <c r="C14" i="80"/>
  <c r="M26" i="80"/>
  <c r="F36" i="80"/>
  <c r="F7" i="80"/>
  <c r="M24" i="80"/>
  <c r="L48" i="80"/>
  <c r="L57" i="80" l="1"/>
  <c r="L56" i="80"/>
  <c r="J53" i="80"/>
  <c r="J57" i="80"/>
  <c r="J55" i="80" s="1"/>
  <c r="J58" i="80" s="1"/>
  <c r="Q50" i="80" s="1"/>
  <c r="J59" i="80"/>
  <c r="J60" i="80"/>
  <c r="Q48" i="80" s="1"/>
  <c r="I54" i="80"/>
  <c r="L60" i="80"/>
  <c r="F68" i="80"/>
  <c r="F50" i="80"/>
  <c r="M7" i="80"/>
  <c r="J6" i="80" s="1"/>
  <c r="F66" i="80"/>
  <c r="F64" i="80"/>
  <c r="C18" i="80"/>
  <c r="C15" i="80"/>
  <c r="N59" i="80"/>
  <c r="L59" i="80"/>
  <c r="L58" i="80"/>
  <c r="M59" i="80"/>
  <c r="F51" i="80"/>
  <c r="F65" i="80"/>
  <c r="C27" i="80"/>
  <c r="C6" i="80"/>
  <c r="F71"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16" i="80"/>
  <c r="C17" i="80"/>
  <c r="C19" i="80" l="1"/>
  <c r="C49" i="80"/>
  <c r="Q60" i="80"/>
  <c r="Q73" i="80"/>
  <c r="F1" i="80"/>
  <c r="Q52" i="80"/>
  <c r="C33" i="80"/>
  <c r="C32" i="80"/>
  <c r="Q61" i="80"/>
  <c r="Q74" i="80"/>
  <c r="J19" i="80"/>
  <c r="J18" i="80"/>
  <c r="Q66" i="80"/>
  <c r="Q57" i="80"/>
  <c r="L46" i="80"/>
  <c r="C6" i="78"/>
  <c r="C7" i="78"/>
  <c r="C5" i="78"/>
  <c r="F13" i="1"/>
  <c r="D13" i="1"/>
  <c r="D12" i="1"/>
  <c r="D11" i="1"/>
  <c r="D10" i="1"/>
  <c r="D9" i="1"/>
  <c r="D8" i="1"/>
  <c r="D7" i="1"/>
  <c r="D6" i="1"/>
  <c r="C20" i="80" l="1"/>
  <c r="C26" i="80" s="1"/>
  <c r="C61" i="80"/>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L18" i="3" s="1"/>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G94" i="39" s="1"/>
  <c r="D92" i="39"/>
  <c r="E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7" i="39"/>
  <c r="J27" i="39"/>
  <c r="AC27" i="39" s="1"/>
  <c r="F27" i="39"/>
  <c r="AA27" i="39" s="1"/>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A41"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U31" i="39"/>
  <c r="J21" i="39"/>
  <c r="W21" i="39" s="1"/>
  <c r="F21" i="39"/>
  <c r="S21" i="39" s="1"/>
  <c r="H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W17" i="39"/>
  <c r="AC17" i="39"/>
  <c r="W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E11" i="76"/>
  <c r="L48" i="15"/>
  <c r="F43" i="67"/>
  <c r="F3" i="73"/>
  <c r="D3" i="73"/>
  <c r="M6" i="15"/>
  <c r="F7" i="15"/>
  <c r="D7" i="73"/>
  <c r="F26" i="15"/>
  <c r="M6" i="67"/>
  <c r="M26" i="67"/>
  <c r="F40" i="67"/>
  <c r="M22" i="15"/>
  <c r="B11" i="76"/>
  <c r="F8" i="15"/>
  <c r="F42" i="67"/>
  <c r="E2" i="69"/>
  <c r="M26" i="15"/>
  <c r="E2" i="68"/>
  <c r="L47" i="15"/>
  <c r="F38" i="15"/>
  <c r="F8" i="67"/>
  <c r="M28" i="67"/>
  <c r="F37" i="67"/>
  <c r="F38" i="67"/>
  <c r="F36" i="15"/>
  <c r="E8" i="76"/>
  <c r="E13" i="76"/>
  <c r="M23" i="15"/>
  <c r="F43" i="15"/>
  <c r="F9" i="15"/>
  <c r="F5" i="73"/>
  <c r="F4" i="73"/>
  <c r="F20" i="31"/>
  <c r="J15" i="15"/>
  <c r="B13" i="76"/>
  <c r="F16" i="15"/>
  <c r="M28" i="15"/>
  <c r="D6" i="73"/>
  <c r="L47" i="67"/>
  <c r="M9" i="15"/>
  <c r="F16" i="67"/>
  <c r="F42" i="15"/>
  <c r="F37" i="15"/>
  <c r="D5" i="73"/>
  <c r="M29" i="15"/>
  <c r="F7" i="67"/>
  <c r="F26" i="67"/>
  <c r="F13" i="15"/>
  <c r="L48" i="67"/>
  <c r="J15" i="67"/>
  <c r="F7" i="73"/>
  <c r="C76" i="15"/>
  <c r="E7" i="76"/>
  <c r="E12" i="76"/>
  <c r="E10" i="76"/>
  <c r="M8" i="67"/>
  <c r="AO13" i="1"/>
  <c r="F6" i="15"/>
  <c r="B12" i="76"/>
  <c r="B8" i="76"/>
  <c r="B7" i="76"/>
  <c r="M23" i="67"/>
  <c r="F9" i="67"/>
  <c r="F6" i="67"/>
  <c r="M29" i="67"/>
  <c r="M24" i="67"/>
  <c r="F6" i="73"/>
  <c r="M9" i="67"/>
  <c r="D4" i="73"/>
  <c r="F36" i="67"/>
  <c r="B9" i="76"/>
  <c r="M24" i="15"/>
  <c r="F13" i="67"/>
  <c r="F40" i="15"/>
  <c r="B10" i="76"/>
  <c r="C76" i="67"/>
  <c r="M8" i="15"/>
  <c r="M22" i="67"/>
  <c r="AA21" i="39" l="1"/>
  <c r="S42" i="39"/>
  <c r="S40" i="39"/>
  <c r="U40" i="39"/>
  <c r="U41" i="39"/>
  <c r="W40" i="39"/>
  <c r="U32" i="39"/>
  <c r="AB34" i="39"/>
  <c r="U36" i="39"/>
  <c r="W36" i="39"/>
  <c r="W27" i="39"/>
  <c r="AB27" i="39"/>
  <c r="S27" i="39"/>
  <c r="U25" i="39"/>
  <c r="J23" i="39"/>
  <c r="S23" i="39"/>
  <c r="F92" i="39"/>
  <c r="G92" i="39" s="1"/>
  <c r="J19" i="39"/>
  <c r="U19" i="39"/>
  <c r="S11" i="39"/>
  <c r="C21" i="68"/>
  <c r="C40" i="69"/>
  <c r="G5" i="3"/>
  <c r="B3" i="3" s="1"/>
  <c r="E85" i="3" s="1"/>
  <c r="BA18" i="3"/>
  <c r="AZ18" i="3" s="1"/>
  <c r="BA5" i="3"/>
  <c r="G28" i="6"/>
  <c r="F29" i="6"/>
  <c r="BL5" i="3"/>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511" i="3"/>
  <c r="E519" i="3"/>
  <c r="E457" i="3"/>
  <c r="E433" i="3"/>
  <c r="E279" i="3"/>
  <c r="E567" i="3"/>
  <c r="E271" i="3"/>
  <c r="E585" i="3"/>
  <c r="E478" i="3"/>
  <c r="E477" i="3"/>
  <c r="AS6" i="3"/>
  <c r="E44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359" i="3"/>
  <c r="E285" i="3"/>
  <c r="E97"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C23" i="39" l="1"/>
  <c r="W23" i="39"/>
  <c r="AC19" i="39"/>
  <c r="W19" i="39"/>
  <c r="N94" i="46"/>
  <c r="J26" i="43"/>
  <c r="F11" i="80"/>
  <c r="M11" i="80"/>
  <c r="J10" i="80" s="1"/>
  <c r="J5" i="80" s="1"/>
  <c r="E44" i="3"/>
  <c r="E331" i="3"/>
  <c r="E186" i="3"/>
  <c r="E27" i="3"/>
  <c r="E476" i="3"/>
  <c r="E505" i="3"/>
  <c r="E414" i="3"/>
  <c r="E515" i="3"/>
  <c r="E107" i="3"/>
  <c r="E269" i="3"/>
  <c r="E318" i="3"/>
  <c r="E111" i="3"/>
  <c r="E571" i="3"/>
  <c r="E458" i="3"/>
  <c r="E45" i="3"/>
  <c r="E77"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26" i="43"/>
  <c r="H26" i="43"/>
  <c r="P6" i="1"/>
  <c r="C13" i="12" s="1"/>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143" i="3"/>
  <c r="E337" i="3"/>
  <c r="E410" i="3"/>
  <c r="E555" i="3"/>
  <c r="E388" i="3"/>
  <c r="E508" i="3"/>
  <c r="E305" i="3"/>
  <c r="E343" i="3"/>
  <c r="E530" i="3"/>
  <c r="E175" i="3"/>
  <c r="E29" i="3"/>
  <c r="AM6" i="3"/>
  <c r="E317" i="3"/>
  <c r="E291" i="3"/>
  <c r="E272" i="3"/>
  <c r="E126" i="3"/>
  <c r="E92" i="3"/>
  <c r="E71" i="3"/>
  <c r="E546" i="3"/>
  <c r="E403" i="3"/>
  <c r="E547" i="3"/>
  <c r="E367" i="3"/>
  <c r="E432" i="3"/>
  <c r="E548" i="3"/>
  <c r="E411" i="3"/>
  <c r="U6" i="3"/>
  <c r="E379" i="3"/>
  <c r="E145" i="3"/>
  <c r="E207" i="3"/>
  <c r="E549" i="3"/>
  <c r="E31" i="3"/>
  <c r="E351" i="3"/>
  <c r="E150" i="3"/>
  <c r="E72" i="3"/>
  <c r="E450" i="3"/>
  <c r="E562" i="3"/>
  <c r="E527" i="3"/>
  <c r="E573" i="3"/>
  <c r="E193" i="3"/>
  <c r="E99" i="3"/>
  <c r="E314" i="3"/>
  <c r="E453"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26" i="3"/>
  <c r="E524" i="3"/>
  <c r="E101"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365" i="3"/>
  <c r="E22" i="3"/>
  <c r="E83" i="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0"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J26" i="80" l="1"/>
  <c r="J24" i="80"/>
  <c r="C24" i="80"/>
  <c r="C23" i="80"/>
  <c r="C53" i="80"/>
  <c r="C48" i="80" s="1"/>
  <c r="C10" i="80"/>
  <c r="C5" i="8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0"/>
  <c r="F41" i="15"/>
  <c r="M27" i="67"/>
  <c r="M27" i="15"/>
  <c r="F69" i="80" l="1"/>
  <c r="J29" i="80"/>
  <c r="C29" i="80"/>
  <c r="C36" i="80" s="1"/>
  <c r="C38" i="80"/>
  <c r="C66" i="80"/>
  <c r="C60" i="80"/>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57" i="80" l="1"/>
  <c r="C64" i="80" s="1"/>
  <c r="Q49" i="80"/>
  <c r="J14" i="80"/>
  <c r="J22" i="80" s="1"/>
  <c r="C13" i="80"/>
  <c r="C75" i="80" s="1"/>
  <c r="J13" i="80"/>
  <c r="J23" i="80"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56" i="80" l="1"/>
  <c r="C65" i="80" s="1"/>
  <c r="Q70" i="80"/>
  <c r="C37" i="8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F35" i="15"/>
  <c r="M21" i="67"/>
  <c r="M21" i="80"/>
  <c r="M21" i="15"/>
  <c r="F35" i="67"/>
  <c r="J20" i="80" l="1"/>
  <c r="J17" i="80" s="1"/>
  <c r="J16" i="80" s="1"/>
  <c r="J25" i="80" s="1"/>
  <c r="F63" i="80"/>
  <c r="C62" i="80" s="1"/>
  <c r="C59" i="80" s="1"/>
  <c r="C58" i="80" s="1"/>
  <c r="C67" i="80" s="1"/>
  <c r="C68" i="80" s="1"/>
  <c r="C34" i="80"/>
  <c r="C31" i="80" s="1"/>
  <c r="C30" i="80" s="1"/>
  <c r="C39"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0" l="1"/>
  <c r="Q68" i="80" s="1"/>
  <c r="C40" i="80"/>
  <c r="C46" i="80" s="1"/>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1" i="80"/>
  <c r="Q67" i="80" l="1"/>
  <c r="Q47" i="80"/>
  <c r="Q53" i="80" s="1"/>
  <c r="B2" i="80"/>
  <c r="B3" i="80" s="1"/>
  <c r="Q65" i="80"/>
  <c r="Q75" i="80" s="1"/>
  <c r="Q56" i="80"/>
  <c r="Q62" i="80" s="1"/>
  <c r="C43" i="80"/>
  <c r="C83" i="80"/>
  <c r="C82" i="80"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8" i="1"/>
  <c r="AO11" i="1"/>
  <c r="AO7" i="1"/>
  <c r="AO12"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l="1"/>
  <c r="C5" i="68" s="1"/>
  <c r="C23" i="68" l="1"/>
  <c r="C20" i="68"/>
  <c r="C28" i="68" l="1"/>
  <c r="C27" i="68" s="1"/>
  <c r="C25" i="68"/>
  <c r="C22" i="68" s="1"/>
  <c r="C31" i="68" l="1"/>
  <c r="C52" i="68" s="1"/>
  <c r="B2" i="68" l="1"/>
  <c r="C57" i="68"/>
  <c r="C56" i="68" s="1"/>
  <c r="C19" i="9"/>
  <c r="C21" i="9" l="1"/>
  <c r="C102" i="9"/>
  <c r="D22" i="9"/>
  <c r="G19" i="9"/>
  <c r="G21" i="9" s="1"/>
  <c r="B3" i="68"/>
  <c r="D34" i="9"/>
  <c r="C20" i="9"/>
  <c r="D35" i="9"/>
  <c r="C103" i="9" l="1"/>
  <c r="G20" i="9"/>
  <c r="C32" i="9" s="1"/>
  <c r="C35" i="9" s="1"/>
  <c r="C34" i="9" s="1"/>
  <c r="D118" i="9" l="1"/>
  <c r="D4" i="52" s="1"/>
  <c r="B47" i="72" s="1"/>
  <c r="F118" i="9"/>
  <c r="F4" i="52" s="1"/>
  <c r="B51" i="72" s="1"/>
  <c r="H118" i="9"/>
  <c r="H4" i="52" l="1"/>
  <c r="D14" i="74"/>
  <c r="H101" i="9"/>
  <c r="H107" i="9" s="1"/>
  <c r="M49" i="9" s="1"/>
  <c r="I118" i="9"/>
  <c r="I4" i="52" s="1"/>
  <c r="D119" i="9"/>
  <c r="D5" i="52" s="1"/>
  <c r="B49" i="72" s="1"/>
  <c r="F119" i="9"/>
  <c r="F5" i="52" s="1"/>
  <c r="B53" i="72" s="1"/>
  <c r="G118" i="9"/>
  <c r="G4" i="52" s="1"/>
  <c r="B52" i="72" s="1"/>
  <c r="H102" i="9"/>
  <c r="H119" i="9"/>
  <c r="H5" i="52" s="1"/>
  <c r="C104" i="9"/>
  <c r="C105" i="9" l="1"/>
  <c r="E14" i="74"/>
  <c r="B5" i="74"/>
  <c r="D5" i="74" s="1"/>
  <c r="F14" i="74"/>
  <c r="D5" i="53"/>
  <c r="D6" i="53" s="1"/>
  <c r="B22" i="72" s="1"/>
  <c r="D122" i="9"/>
  <c r="E118" i="9"/>
  <c r="E4" i="52" s="1"/>
  <c r="B48" i="72" s="1"/>
  <c r="M48" i="9"/>
  <c r="D45" i="9"/>
  <c r="D52" i="9" s="1"/>
  <c r="D13" i="53"/>
  <c r="B30" i="72" s="1"/>
  <c r="C5" i="74"/>
  <c r="D7" i="53"/>
  <c r="B21" i="72" s="1"/>
  <c r="B20" i="72"/>
  <c r="D8" i="52"/>
  <c r="H108" i="9"/>
  <c r="L65" i="9"/>
  <c r="M65" i="9" s="1"/>
  <c r="L68" i="9"/>
  <c r="M68" i="9" s="1"/>
  <c r="L66" i="9"/>
  <c r="M66" i="9" s="1"/>
  <c r="L63" i="9"/>
  <c r="M63" i="9" s="1"/>
  <c r="L67" i="9"/>
  <c r="M67" i="9" s="1"/>
  <c r="L64" i="9"/>
  <c r="M64" i="9" s="1"/>
  <c r="D123" i="9" l="1"/>
  <c r="D9" i="52" s="1"/>
  <c r="G14" i="74"/>
  <c r="B6" i="74" s="1"/>
  <c r="D6" i="74" s="1"/>
  <c r="C64" i="9"/>
  <c r="C63" i="9" s="1"/>
  <c r="C67" i="9" s="1"/>
  <c r="D59" i="9" s="1"/>
  <c r="M55" i="9" s="1"/>
  <c r="D14" i="53"/>
  <c r="B32" i="72" s="1"/>
  <c r="D55" i="9"/>
  <c r="M53" i="9" s="1"/>
  <c r="C93" i="9"/>
  <c r="C86" i="9" s="1"/>
  <c r="D53" i="9"/>
  <c r="C85" i="9"/>
  <c r="C78" i="9"/>
  <c r="C73" i="9" s="1"/>
  <c r="C72" i="9"/>
  <c r="M69" i="9"/>
  <c r="N69" i="9" s="1"/>
  <c r="C6" i="74"/>
  <c r="D15" i="53"/>
  <c r="B31" i="72" s="1"/>
  <c r="C68" i="9" l="1"/>
  <c r="D54" i="9" s="1"/>
  <c r="C95" i="9"/>
  <c r="C96" i="9" s="1"/>
  <c r="E96" i="9" s="1"/>
  <c r="E97" i="9" s="1"/>
  <c r="C79" i="9"/>
  <c r="C97" i="9"/>
  <c r="D58" i="9" s="1"/>
  <c r="D56" i="9" s="1"/>
  <c r="M54" i="9" s="1"/>
  <c r="N57" i="9" s="1"/>
  <c r="P57"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<sst xmlns="http://schemas.openxmlformats.org/spreadsheetml/2006/main" count="8921" uniqueCount="3755">
  <si>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</si>
  <si>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</si>
  <si>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</si>
  <si>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</si>
  <si>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</si>
  <si>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</si>
  <si>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</si>
  <si>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</si>
  <si>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</si>
  <si>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</si>
  <si>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</si>
  <si>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</si>
  <si>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</si>
  <si>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</si>
  <si>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</si>
  <si>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</si>
  <si>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</si>
  <si>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</si>
  <si>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</si>
  <si>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</si>
  <si>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</si>
  <si>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</si>
  <si>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</si>
  <si>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</si>
  <si>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</si>
  <si>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</si>
  <si>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</si>
  <si>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</si>
  <si>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</si>
  <si>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</si>
  <si>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</si>
  <si>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</si>
  <si>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</si>
  <si>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</si>
  <si>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</si>
  <si>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</si>
  <si>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</si>
  <si>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</si>
  <si>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</si>
  <si>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</si>
  <si>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</si>
  <si>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</si>
  <si>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</si>
  <si>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</si>
  <si>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</si>
  <si>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</si>
  <si>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</si>
  <si>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</si>
  <si>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</si>
  <si>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</si>
  <si>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</si>
  <si>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</si>
  <si>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</si>
  <si>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</si>
  <si>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</si>
  <si>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</si>
  <si>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</si>
  <si>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</si>
  <si>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</si>
  <si>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</si>
  <si>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</si>
  <si>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</si>
  <si>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</si>
  <si>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</si>
  <si>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</si>
  <si>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</si>
  <si>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</si>
  <si>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</si>
  <si>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</si>
  <si>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</si>
  <si>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</si>
  <si>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</si>
  <si>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</si>
  <si>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</si>
  <si>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</si>
  <si>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</si>
  <si>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</si>
  <si>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</si>
  <si>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</si>
  <si>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</si>
  <si>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</si>
  <si>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</si>
  <si>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</si>
  <si>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</si>
  <si>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</si>
  <si>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</si>
  <si>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</si>
  <si>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</si>
  <si>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</si>
  <si>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</si>
  <si>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</si>
  <si>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</si>
  <si>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</si>
  <si>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</si>
  <si>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</si>
  <si>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</si>
  <si>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</si>
  <si>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</si>
  <si>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</si>
  <si>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</si>
  <si>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</si>
  <si>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</si>
  <si>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</si>
  <si>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</si>
  <si>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</si>
  <si>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</si>
  <si>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</si>
  <si>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</si>
  <si>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</si>
  <si>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</si>
  <si>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</si>
  <si>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</si>
  <si>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</si>
  <si>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</si>
  <si>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</si>
  <si>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</si>
  <si>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</si>
  <si>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</si>
  <si>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</si>
  <si>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</si>
  <si>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</si>
  <si>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</si>
  <si>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</si>
  <si>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</si>
  <si>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</si>
  <si>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</si>
  <si>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</si>
  <si>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</si>
  <si>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</si>
  <si>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</si>
  <si>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</si>
  <si>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</si>
  <si>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</si>
  <si>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</si>
  <si>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</si>
  <si>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</si>
  <si>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</si>
  <si>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</si>
  <si>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</si>
  <si>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</si>
  <si>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</si>
  <si>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</si>
  <si>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</si>
  <si>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</si>
  <si>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</si>
  <si>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</si>
  <si>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</si>
  <si>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</si>
  <si>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</si>
  <si>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</si>
  <si>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</si>
  <si>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</si>
  <si>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</si>
  <si>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</si>
  <si>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</si>
  <si>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</si>
  <si>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</si>
  <si>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</si>
  <si>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</si>
  <si>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</si>
  <si>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</si>
  <si>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</si>
  <si>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</si>
  <si>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</si>
  <si>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</si>
  <si>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</si>
  <si>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</si>
  <si>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</si>
  <si>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</si>
  <si>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</si>
  <si>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</si>
  <si>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</si>
  <si>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</si>
  <si>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</si>
  <si>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</si>
  <si>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</si>
  <si>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</si>
  <si>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</si>
  <si>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</si>
  <si>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</si>
  <si>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</si>
  <si>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</si>
  <si>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</si>
  <si>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</si>
  <si>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</si>
  <si>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</si>
  <si>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</si>
  <si>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</si>
  <si>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</si>
  <si>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</si>
  <si>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</si>
  <si>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</si>
  <si>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</si>
  <si>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</si>
  <si>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</si>
  <si>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</si>
  <si>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</si>
  <si>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</si>
  <si>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</si>
  <si>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</si>
  <si>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</si>
  <si>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</si>
  <si>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</si>
  <si>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</si>
  <si>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</si>
  <si>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</si>
  <si>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</si>
  <si>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</si>
  <si>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</si>
  <si>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</si>
  <si>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</si>
  <si>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</si>
  <si>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</si>
  <si>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</si>
  <si>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</si>
  <si>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</si>
  <si>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</si>
  <si>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</si>
  <si>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</si>
  <si>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</si>
  <si>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</si>
  <si>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</si>
  <si>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</si>
  <si>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</si>
  <si>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</si>
  <si>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</si>
  <si>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</si>
  <si>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</si>
  <si>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</si>
  <si>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</si>
  <si>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</si>
  <si>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</si>
  <si>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</si>
  <si>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</si>
  <si>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</si>
  <si>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</si>
  <si>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</si>
  <si>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</si>
  <si>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</si>
  <si>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</si>
  <si>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</si>
  <si>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</si>
  <si>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</si>
  <si>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</si>
  <si>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</si>
  <si>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</si>
  <si>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</si>
  <si>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</si>
  <si>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</si>
  <si>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</si>
  <si>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</si>
  <si>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</si>
  <si>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</si>
  <si>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</si>
  <si>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</si>
  <si>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</si>
  <si>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</si>
  <si>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</si>
  <si>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</si>
  <si>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</si>
  <si>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</si>
  <si>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</si>
  <si>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</si>
  <si>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</si>
  <si>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</si>
  <si>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</si>
  <si>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</si>
  <si>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</si>
  <si>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</si>
  <si>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</si>
  <si>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</si>
  <si>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</si>
  <si>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</si>
  <si>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</si>
  <si>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</si>
  <si>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</si>
  <si>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</si>
  <si>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</si>
  <si>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</si>
  <si>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</si>
  <si>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</si>
  <si>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</si>
  <si>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</si>
  <si>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</si>
  <si>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</si>
  <si>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</si>
  <si>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</si>
  <si>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</si>
  <si>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</si>
  <si>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</si>
  <si>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</si>
  <si>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</si>
  <si>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</si>
  <si>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</si>
  <si>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</si>
  <si>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</si>
  <si>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</si>
  <si>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</si>
  <si>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</si>
  <si>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</si>
  <si>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</si>
  <si>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</si>
  <si>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</si>
  <si>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</si>
  <si>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</si>
  <si>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</si>
  <si>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</si>
  <si>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</si>
  <si>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</si>
  <si>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</si>
  <si>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</si>
  <si>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</si>
  <si>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</si>
  <si>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</si>
  <si>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</si>
  <si>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</si>
  <si>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</si>
  <si>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</si>
  <si>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</si>
  <si>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</si>
  <si>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</si>
  <si>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</si>
  <si>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</si>
  <si>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</si>
  <si>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</si>
  <si>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</si>
  <si>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</si>
  <si>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</si>
  <si>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</si>
  <si>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</si>
  <si>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</si>
  <si>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</si>
  <si>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</si>
  <si>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</si>
  <si>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</si>
  <si>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</si>
  <si>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</si>
  <si>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</si>
  <si>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</si>
  <si>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</si>
  <si>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</si>
  <si>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</si>
  <si>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</si>
  <si>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</si>
  <si>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</si>
  <si>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</si>
  <si>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</si>
  <si>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</si>
  <si>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</si>
  <si>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</si>
  <si>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</si>
  <si>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</si>
  <si>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</si>
  <si>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</si>
  <si>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</si>
  <si>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</si>
  <si>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</si>
  <si>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</si>
  <si>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</si>
  <si>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</si>
  <si>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</si>
  <si>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</si>
  <si>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</si>
  <si>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</si>
  <si>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</si>
  <si>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</si>
  <si>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</si>
  <si>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</si>
  <si>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</si>
  <si>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</si>
  <si>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</si>
  <si>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</si>
  <si>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</si>
  <si>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</si>
  <si>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</si>
  <si>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</si>
  <si>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</si>
  <si>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</si>
  <si>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</si>
  <si>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</si>
  <si>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</si>
  <si>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</si>
  <si>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</si>
  <si>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</si>
  <si>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</si>
  <si>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</si>
  <si>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</si>
  <si>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</si>
  <si>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</si>
  <si>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</si>
  <si>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</si>
  <si>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</si>
  <si>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</si>
  <si>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</si>
  <si>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</si>
  <si>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</si>
  <si>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</si>
  <si>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</si>
  <si>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</si>
  <si>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</si>
  <si>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</si>
  <si>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</si>
  <si>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</si>
  <si>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</si>
  <si>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</si>
  <si>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</si>
  <si>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</si>
  <si>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</si>
  <si>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</si>
  <si>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</si>
  <si>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</si>
  <si>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</si>
  <si>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</si>
  <si>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</si>
  <si>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</si>
  <si>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</si>
  <si>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</si>
  <si>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</si>
  <si>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</si>
  <si>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</si>
  <si>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</si>
  <si>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</si>
  <si>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</si>
  <si>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</si>
  <si>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</si>
  <si>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</si>
  <si>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</si>
  <si>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</si>
  <si>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</si>
  <si>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</si>
  <si>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</si>
  <si>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</si>
  <si>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</si>
  <si>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</si>
  <si>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</si>
  <si>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</si>
  <si>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</si>
  <si>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</si>
  <si>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</si>
  <si>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</si>
  <si>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</si>
  <si>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</si>
  <si>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</si>
  <si>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</si>
  <si>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</si>
  <si>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</si>
  <si>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</si>
  <si>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</si>
  <si>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</si>
  <si>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</si>
  <si>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</si>
  <si>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</si>
  <si>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</si>
  <si>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</si>
  <si>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</si>
  <si>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</si>
  <si>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</si>
  <si>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</si>
  <si>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</si>
  <si>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</si>
  <si>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</si>
  <si>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</si>
  <si>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</si>
  <si>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</si>
  <si>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</si>
  <si>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</si>
  <si>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</si>
  <si>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</si>
  <si>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</si>
  <si>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</si>
  <si>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</si>
  <si>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</si>
  <si>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</si>
  <si>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</si>
  <si>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</si>
  <si>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</si>
  <si>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</si>
  <si>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</si>
  <si>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</si>
  <si>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</si>
  <si>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</si>
  <si>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</si>
  <si>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</si>
  <si>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</si>
  <si>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</si>
  <si>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</si>
  <si>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</si>
  <si>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</si>
  <si>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</si>
  <si>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</si>
  <si>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</si>
  <si>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</si>
  <si>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</si>
  <si>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</si>
  <si>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</si>
  <si>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</si>
  <si>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</si>
  <si>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</si>
  <si>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</si>
  <si>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</si>
  <si>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</si>
  <si>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</si>
  <si>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</si>
  <si>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</si>
  <si>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</si>
  <si>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</si>
  <si>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</si>
  <si>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</si>
  <si>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</si>
  <si>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</si>
  <si>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</si>
  <si>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</si>
  <si>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</si>
  <si>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</si>
  <si>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</si>
  <si>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</si>
  <si>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</si>
  <si>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</si>
  <si>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</si>
  <si>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</si>
  <si>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</si>
  <si>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</si>
  <si>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</si>
  <si>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</si>
  <si>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</si>
  <si>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</si>
  <si>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</si>
  <si>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</si>
  <si>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</si>
  <si>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</si>
  <si>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</si>
  <si>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</si>
  <si>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</si>
  <si>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</si>
  <si>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</si>
  <si>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</si>
  <si>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</si>
  <si>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</si>
  <si>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</si>
  <si>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</si>
  <si>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</si>
  <si>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</si>
  <si>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</si>
  <si>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</si>
  <si>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</si>
  <si>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</si>
  <si>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</si>
  <si>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</si>
  <si>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</si>
  <si>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</si>
  <si>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</si>
  <si>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</si>
  <si>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</si>
  <si>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</si>
  <si>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</si>
  <si>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</si>
  <si>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</si>
  <si>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</si>
  <si>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</si>
  <si>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</si>
  <si>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</si>
  <si>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</si>
  <si>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</si>
  <si>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</si>
  <si>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</si>
  <si>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</si>
  <si>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</si>
  <si>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</si>
  <si>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</si>
  <si>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</si>
  <si>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</si>
  <si>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</si>
  <si>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</si>
  <si>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</si>
  <si>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</si>
  <si>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</si>
  <si>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</si>
  <si>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</si>
  <si>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</si>
  <si>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</si>
  <si>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</si>
  <si>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</si>
  <si>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</si>
  <si>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</si>
  <si>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</si>
  <si>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</si>
  <si>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</si>
  <si>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</si>
  <si>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</si>
  <si>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</si>
  <si>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</si>
  <si>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</si>
  <si>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</si>
  <si>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</si>
  <si>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</si>
  <si>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</si>
  <si>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</si>
  <si>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</si>
  <si>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</si>
  <si>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</si>
  <si>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</si>
  <si>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</si>
  <si>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</si>
  <si>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</si>
  <si>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</si>
  <si>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</si>
  <si>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</si>
  <si>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</si>
  <si>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</si>
  <si>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</si>
  <si>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</si>
  <si>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</si>
  <si>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</si>
  <si>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</si>
  <si>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</si>
  <si>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</si>
  <si>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</si>
  <si>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</si>
  <si>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</si>
  <si>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</si>
  <si>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</si>
  <si>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</si>
  <si>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</si>
  <si>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</si>
  <si>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</si>
  <si>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</si>
  <si>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</si>
  <si>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</si>
  <si>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</si>
  <si>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</si>
  <si>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</si>
  <si>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</si>
  <si>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</si>
  <si>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</si>
  <si>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</si>
  <si>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</si>
  <si>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</si>
  <si>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</si>
  <si>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</si>
  <si>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</si>
  <si>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</si>
  <si>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</si>
  <si>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</si>
  <si>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</si>
  <si>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</si>
  <si>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</si>
  <si>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</si>
  <si>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</si>
  <si>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</si>
  <si>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</si>
  <si>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</si>
  <si>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</si>
  <si>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</si>
  <si>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</si>
  <si>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</si>
  <si>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</si>
  <si>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</si>
  <si>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</si>
  <si>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</si>
  <si>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</si>
  <si>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</si>
  <si>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</si>
  <si>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</si>
  <si>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</si>
  <si>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</si>
  <si>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</si>
  <si>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</si>
  <si>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</si>
  <si>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</si>
  <si>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</si>
  <si>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</si>
  <si>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</si>
  <si>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</si>
  <si>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</si>
  <si>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</si>
  <si>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</si>
  <si>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</si>
  <si>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</si>
  <si>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</si>
  <si>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</si>
  <si>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</si>
  <si>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</si>
  <si>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</si>
  <si>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</si>
  <si>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</si>
  <si>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</si>
  <si>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</si>
  <si>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</si>
  <si>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</si>
  <si>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</si>
  <si>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</si>
  <si>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</si>
  <si>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</si>
  <si>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</si>
  <si>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</si>
  <si>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</si>
  <si>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</si>
  <si>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</si>
  <si>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</si>
  <si>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</si>
  <si>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</si>
  <si>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</si>
  <si>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</si>
  <si>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</si>
  <si>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</si>
  <si>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</si>
  <si>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</si>
  <si>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</si>
  <si>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</si>
  <si>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</si>
  <si>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</si>
  <si>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</si>
  <si>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</si>
  <si>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</si>
  <si>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</si>
  <si>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</si>
  <si>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</si>
  <si>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</si>
  <si>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</si>
  <si>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</si>
  <si>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</si>
  <si>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</si>
  <si>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</si>
  <si>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</si>
  <si>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</si>
  <si>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</si>
  <si>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</si>
  <si>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</si>
  <si>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</si>
  <si>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</si>
  <si>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</si>
  <si>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</si>
  <si>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</si>
  <si>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</si>
  <si>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</si>
  <si>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</si>
  <si>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</si>
  <si>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</si>
  <si>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</si>
  <si>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</si>
  <si>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</si>
  <si>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</si>
  <si>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</si>
  <si>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</si>
  <si>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</si>
  <si>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</si>
  <si>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</si>
  <si>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</si>
  <si>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</si>
  <si>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</si>
  <si>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</si>
  <si>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</si>
  <si>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</si>
  <si>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</si>
  <si>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</si>
  <si>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</si>
  <si>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</si>
  <si>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</si>
  <si>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</si>
  <si>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</si>
  <si>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</si>
  <si>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</si>
  <si>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</si>
  <si>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</si>
  <si>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</si>
  <si>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</si>
  <si>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</si>
  <si>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</si>
  <si>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</si>
  <si>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</si>
  <si>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</si>
  <si>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</si>
  <si>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</si>
  <si>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</si>
  <si>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</si>
  <si>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</si>
  <si>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</si>
  <si>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</si>
  <si>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</si>
  <si>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</si>
  <si>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</si>
  <si>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</si>
  <si>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</si>
  <si>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</si>
  <si>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</si>
  <si>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</si>
  <si>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</si>
  <si>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</si>
  <si>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</si>
  <si>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</si>
  <si>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</si>
  <si>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</si>
  <si>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</si>
  <si>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</si>
  <si>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</si>
  <si>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</si>
  <si>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</si>
  <si>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</si>
  <si>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</si>
  <si>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</si>
  <si>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</si>
  <si>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</si>
  <si>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</si>
  <si>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</si>
  <si>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</si>
  <si>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</si>
  <si>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</si>
  <si>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</si>
  <si>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</si>
  <si>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</si>
  <si>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</si>
  <si>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</si>
  <si>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</si>
  <si>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</si>
  <si>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</si>
  <si>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</si>
  <si>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</si>
  <si>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</si>
  <si>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</si>
  <si>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</si>
  <si>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</si>
  <si>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</si>
  <si>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</si>
  <si>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</si>
  <si>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</si>
  <si>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</si>
  <si>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</si>
  <si>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</si>
  <si>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</si>
  <si>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</si>
  <si>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</si>
  <si>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</si>
  <si>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</si>
  <si>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</si>
  <si>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</si>
  <si>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</si>
  <si>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</si>
  <si>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</si>
  <si>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</si>
  <si>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</si>
  <si>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</si>
  <si>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</si>
  <si>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</si>
  <si>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</si>
  <si>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</si>
  <si>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</si>
  <si>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</si>
  <si>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</si>
  <si>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</si>
  <si>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</si>
  <si>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</si>
  <si>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</si>
  <si>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</si>
  <si>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</si>
  <si>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</si>
  <si>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</si>
  <si>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</si>
  <si>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</si>
  <si>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</si>
  <si>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</si>
  <si>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</si>
  <si>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</si>
  <si>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</si>
  <si>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</si>
  <si>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</si>
  <si>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</si>
  <si>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</si>
  <si>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</si>
  <si>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</si>
  <si>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</si>
  <si>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</si>
  <si>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</si>
  <si>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</si>
  <si>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</si>
  <si>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</si>
  <si>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</si>
  <si>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</si>
  <si>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</si>
  <si>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</si>
  <si>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</si>
  <si>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</si>
  <si>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</si>
  <si>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</si>
  <si>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</si>
  <si>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</si>
  <si>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</si>
  <si>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</si>
  <si>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</si>
  <si>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</si>
  <si>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</si>
  <si>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</si>
  <si>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</si>
  <si>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</si>
  <si>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</si>
  <si>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</si>
  <si>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</si>
  <si>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</si>
  <si>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</si>
  <si>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</si>
  <si>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</si>
  <si>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</si>
  <si>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</si>
  <si>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</si>
  <si>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</si>
  <si>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</si>
  <si>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</si>
  <si>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</si>
  <si>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</si>
  <si>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</si>
  <si>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</si>
  <si>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</si>
  <si>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</si>
  <si>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</si>
  <si>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</si>
  <si>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</si>
  <si>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</si>
  <si>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</si>
  <si>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</si>
  <si>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</si>
  <si>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</si>
  <si>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</si>
  <si>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</si>
  <si>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</si>
  <si>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</si>
  <si>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</si>
  <si>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</si>
  <si>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</si>
  <si>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</si>
  <si>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</si>
  <si>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</si>
  <si>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</si>
  <si>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</si>
  <si>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</si>
  <si>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</si>
  <si>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</si>
  <si>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</si>
  <si>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</si>
  <si>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</si>
  <si>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</si>
  <si>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</si>
  <si>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</si>
  <si>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</si>
  <si>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</si>
  <si>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</si>
  <si>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</si>
  <si>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</si>
  <si>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</si>
  <si>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</si>
  <si>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</si>
  <si>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</si>
  <si>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</si>
  <si>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</si>
  <si>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</si>
  <si>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</si>
  <si>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</si>
  <si>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</si>
  <si>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</si>
  <si>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</si>
  <si>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</si>
  <si>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</si>
  <si>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</si>
  <si>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</si>
  <si>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</si>
  <si>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</si>
  <si>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</si>
  <si>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</si>
  <si>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</si>
  <si>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</si>
  <si>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</si>
  <si>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</si>
  <si>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</si>
  <si>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</si>
  <si>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</si>
  <si>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</si>
  <si>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</si>
  <si>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</si>
  <si>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</si>
  <si>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</si>
  <si>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</si>
  <si>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</si>
  <si>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</si>
  <si>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</si>
  <si>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</si>
  <si>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</si>
  <si>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</si>
  <si>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</si>
  <si>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</si>
  <si>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</si>
  <si>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</si>
  <si>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</si>
  <si>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</si>
  <si>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</si>
  <si>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</si>
  <si>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</si>
  <si>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</si>
  <si>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</si>
  <si>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</si>
  <si>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</si>
  <si>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</si>
  <si>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</si>
  <si>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</si>
  <si>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</si>
  <si>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</si>
  <si>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</si>
  <si>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</si>
  <si>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</si>
  <si>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</si>
  <si>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</si>
  <si>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</si>
  <si>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</si>
  <si>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</si>
  <si>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</si>
  <si>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</si>
  <si>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</si>
  <si>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</si>
  <si>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</si>
  <si>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</si>
  <si>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</si>
  <si>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</si>
  <si>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</si>
  <si>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</si>
  <si>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</si>
  <si>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</si>
  <si>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</si>
  <si>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</si>
  <si>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</si>
  <si>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</si>
  <si>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</si>
  <si>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</si>
  <si>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</si>
  <si>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</si>
  <si>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</si>
  <si>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</si>
  <si>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</si>
  <si>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</si>
  <si>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</si>
  <si>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</si>
  <si>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</si>
  <si>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</si>
  <si>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</si>
  <si>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</si>
  <si>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</si>
  <si>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</si>
  <si>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</si>
  <si>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</si>
  <si>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</si>
  <si>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</si>
  <si>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</si>
  <si>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</si>
  <si>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</si>
  <si>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</si>
  <si>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</si>
  <si>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</si>
  <si>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</si>
  <si>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</si>
  <si>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</si>
  <si>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</si>
  <si>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</si>
  <si>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</si>
  <si>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</si>
  <si>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</si>
  <si>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</si>
  <si>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</si>
  <si>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</si>
  <si>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</si>
  <si>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</si>
  <si>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</si>
  <si>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</si>
  <si>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</si>
  <si>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</si>
  <si>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</si>
  <si>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</si>
  <si>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</si>
  <si>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</si>
  <si>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</si>
  <si>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</si>
  <si>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</si>
  <si>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</si>
  <si>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</si>
  <si>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</si>
  <si>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</si>
  <si>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</si>
  <si>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</si>
  <si>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</si>
  <si>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</si>
  <si>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</si>
  <si>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</si>
  <si>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</si>
  <si>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</si>
  <si>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</si>
  <si>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</si>
  <si>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</si>
  <si>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</si>
  <si>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</si>
  <si>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</si>
  <si>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</si>
  <si>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</si>
  <si>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</si>
  <si>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</si>
  <si>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</si>
  <si>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</si>
  <si>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</si>
  <si>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</si>
  <si>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</si>
  <si>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</si>
  <si>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</si>
  <si>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</si>
  <si>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</si>
  <si>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</si>
  <si>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</si>
  <si>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</si>
  <si>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</si>
  <si>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</si>
  <si>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</si>
  <si>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</si>
  <si>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</si>
  <si>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</si>
  <si>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</si>
  <si>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</si>
  <si>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</si>
  <si>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</si>
  <si>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</si>
  <si>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</si>
  <si>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</si>
  <si>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</si>
  <si>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</si>
  <si>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</si>
  <si>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</si>
  <si>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</si>
  <si>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</si>
  <si>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</si>
  <si>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</si>
  <si>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</si>
  <si>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</si>
  <si>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</si>
  <si>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</si>
  <si>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</si>
  <si>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</si>
  <si>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</si>
  <si>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</si>
  <si>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</si>
  <si>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</si>
  <si>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</si>
  <si>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</si>
  <si>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</si>
  <si>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</si>
  <si>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</si>
  <si>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</si>
  <si>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</si>
  <si>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</si>
  <si>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</si>
  <si>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</si>
  <si>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</si>
  <si>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</si>
  <si>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</si>
  <si>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</si>
  <si>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</si>
  <si>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</si>
  <si>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</si>
  <si>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</si>
  <si>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</si>
  <si>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</si>
  <si>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</si>
  <si>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</si>
  <si>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</si>
  <si>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</si>
  <si>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</si>
  <si>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</si>
  <si>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</si>
  <si>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</si>
  <si>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</si>
  <si>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</si>
  <si>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</si>
  <si>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</si>
  <si>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</si>
  <si>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</si>
  <si>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</si>
  <si>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</si>
  <si>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</si>
  <si>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</si>
  <si>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</si>
  <si>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</si>
  <si>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</si>
  <si>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</si>
  <si>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</si>
  <si>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</si>
  <si>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</si>
  <si>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</si>
  <si>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</si>
  <si>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</si>
  <si>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</si>
  <si>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</si>
  <si>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</si>
  <si>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</si>
  <si>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</si>
  <si>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</si>
  <si>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</si>
  <si>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</si>
  <si>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</si>
  <si>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</si>
  <si>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</si>
  <si>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</si>
  <si>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</si>
  <si>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</si>
  <si>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</si>
  <si>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</si>
  <si>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</si>
  <si>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</si>
  <si>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</si>
  <si>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</si>
  <si>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</si>
  <si>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</si>
  <si>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</si>
  <si>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</si>
  <si>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</si>
  <si>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</si>
  <si>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</si>
  <si>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</si>
  <si>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</si>
  <si>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</si>
  <si>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</si>
  <si>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</si>
  <si>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</si>
  <si>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</si>
  <si>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</si>
  <si>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</si>
  <si>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</si>
  <si>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</si>
  <si>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</si>
  <si>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</si>
  <si>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</si>
  <si>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</si>
  <si>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</si>
  <si>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</si>
  <si>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</si>
  <si>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</si>
  <si>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</si>
  <si>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</si>
  <si>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</si>
  <si>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</si>
  <si>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</si>
  <si>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</si>
  <si>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</si>
  <si>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</si>
  <si>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</si>
  <si>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</si>
  <si>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</si>
  <si>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</si>
  <si>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</si>
  <si>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</si>
  <si>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</si>
  <si>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</si>
  <si>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</si>
  <si>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</si>
  <si>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</si>
  <si>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</si>
  <si>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</si>
  <si>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</si>
  <si>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</si>
  <si>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</si>
  <si>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</si>
  <si>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</si>
  <si>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</si>
  <si>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</si>
  <si>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</si>
  <si>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</si>
  <si>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</si>
  <si>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</si>
  <si>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</si>
  <si>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</si>
  <si>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</si>
  <si>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</si>
  <si>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</si>
  <si>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</si>
  <si>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</si>
  <si>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</si>
  <si>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</si>
  <si>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</si>
  <si>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</si>
  <si>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</si>
  <si>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</si>
  <si>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</si>
  <si>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</si>
  <si>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</si>
  <si>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</si>
  <si>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</si>
  <si>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</si>
  <si>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</si>
  <si>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</si>
  <si>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</si>
  <si>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</si>
  <si>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</si>
  <si>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</si>
  <si>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</si>
  <si>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</si>
  <si>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</si>
  <si>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</si>
  <si>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</si>
  <si>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</si>
  <si>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</si>
  <si>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</si>
  <si>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</si>
  <si>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</si>
  <si>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</si>
  <si>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</si>
  <si>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</si>
  <si>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</si>
  <si>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</si>
  <si>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</si>
  <si>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</si>
  <si>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</si>
  <si>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</si>
  <si>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</si>
  <si>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</si>
  <si>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</si>
  <si>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</si>
  <si>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</si>
  <si>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</si>
  <si>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</si>
  <si>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</si>
  <si>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</si>
  <si>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</si>
  <si>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</si>
  <si>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</si>
  <si>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</si>
  <si>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</si>
  <si>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</si>
  <si>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</si>
  <si>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</si>
  <si>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</si>
  <si>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</si>
  <si>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</si>
  <si>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</si>
  <si>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</si>
  <si>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</si>
  <si>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</si>
  <si>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</si>
  <si>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</si>
  <si>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</si>
  <si>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</si>
  <si>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</si>
  <si>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</si>
  <si>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</si>
  <si>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</si>
  <si>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</si>
  <si>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</si>
  <si>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</si>
  <si>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</si>
  <si>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</si>
  <si>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</si>
  <si>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</si>
  <si>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</si>
  <si>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</si>
  <si>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</si>
  <si>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</si>
  <si>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</si>
  <si>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</si>
  <si>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</si>
  <si>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</si>
  <si>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</si>
  <si>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</si>
  <si>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</si>
  <si>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</si>
  <si>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</si>
  <si>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</si>
  <si>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</si>
  <si>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</si>
  <si>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</si>
  <si>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</si>
  <si>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</si>
  <si>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</si>
  <si>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</si>
  <si>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</si>
  <si>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</si>
  <si>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</si>
  <si>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</si>
  <si>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</si>
  <si>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</si>
  <si>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</si>
  <si>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</si>
  <si>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</si>
  <si>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</si>
  <si>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</si>
  <si>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</si>
  <si>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</si>
  <si>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</si>
  <si>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</si>
  <si>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</si>
  <si>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</si>
  <si>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</si>
  <si>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</si>
  <si>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</si>
  <si>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</si>
  <si>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</si>
  <si>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</si>
  <si>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</si>
  <si>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</si>
  <si>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</si>
  <si>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</si>
  <si>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</si>
  <si>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</si>
  <si>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</si>
  <si>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</si>
  <si>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</si>
  <si>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</si>
  <si>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</si>
  <si>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</si>
  <si>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</si>
  <si>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</si>
  <si>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</si>
  <si>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</si>
  <si>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</si>
  <si>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</si>
  <si>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</si>
  <si>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</si>
  <si>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</si>
  <si>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</si>
  <si>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</si>
  <si>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</si>
  <si>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</si>
  <si>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</si>
  <si>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</si>
  <si>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</si>
  <si>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</si>
  <si>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</si>
  <si>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</si>
  <si>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</si>
  <si>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</si>
  <si>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</si>
  <si>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</si>
  <si>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</si>
  <si>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</si>
  <si>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</si>
  <si>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</si>
  <si>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</si>
  <si>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</si>
  <si>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</si>
  <si>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</si>
  <si>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</si>
  <si>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</si>
  <si>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</si>
  <si>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</si>
  <si>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</si>
  <si>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</si>
  <si>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</si>
  <si>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</si>
  <si>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</si>
  <si>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</si>
  <si>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</si>
  <si>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</si>
  <si>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</si>
  <si>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</si>
  <si>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</si>
  <si>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</si>
  <si>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</si>
  <si>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</si>
  <si>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</si>
  <si>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</si>
  <si>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</si>
  <si>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</si>
  <si>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</si>
  <si>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</si>
  <si>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</si>
  <si>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</si>
  <si>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</si>
  <si>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</si>
  <si>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</si>
  <si>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</si>
  <si>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</si>
  <si>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</si>
  <si>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</si>
  <si>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</si>
  <si>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</si>
  <si>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</si>
  <si>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</si>
  <si>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</si>
  <si>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</si>
  <si>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</si>
  <si>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</si>
  <si>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</si>
  <si>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</si>
  <si>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</si>
  <si>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</si>
  <si>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</si>
  <si>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</si>
  <si>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</si>
  <si>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</si>
  <si>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</si>
  <si>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</si>
  <si>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</si>
  <si>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</si>
  <si>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</si>
  <si>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</si>
  <si>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</si>
  <si>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</si>
  <si>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</si>
  <si>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</si>
  <si>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</si>
  <si>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</si>
  <si>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</si>
  <si>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</si>
  <si>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</si>
  <si>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</si>
  <si>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</si>
  <si>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</si>
  <si>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</si>
  <si>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</si>
  <si>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</si>
  <si>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</si>
  <si>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</si>
  <si>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</si>
  <si>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</si>
  <si>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</si>
  <si>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</si>
  <si>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</si>
  <si>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</si>
  <si>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</si>
  <si>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</si>
  <si>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</si>
  <si>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</si>
  <si>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</si>
  <si>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</si>
  <si>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</si>
  <si>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</si>
  <si>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</si>
  <si>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</si>
  <si>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</si>
  <si>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</si>
  <si>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</si>
  <si>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</si>
  <si>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</si>
  <si>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</si>
  <si>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</si>
  <si>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</si>
  <si>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</si>
  <si>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</si>
  <si>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</si>
  <si>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</si>
  <si>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</si>
  <si>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</si>
  <si>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</si>
  <si>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</si>
  <si>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</si>
  <si>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</si>
  <si>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</si>
  <si>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</si>
  <si>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</si>
  <si>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</si>
  <si>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</si>
  <si>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</si>
  <si>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</si>
  <si>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</si>
  <si>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</si>
  <si>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</si>
  <si>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</si>
  <si>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</si>
  <si>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</si>
  <si>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</si>
  <si>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</si>
  <si>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</si>
  <si>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</si>
  <si>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</si>
  <si>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</si>
  <si>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</si>
  <si>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</si>
  <si>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</si>
  <si>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</si>
  <si>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</si>
  <si>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</si>
  <si>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</si>
  <si>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</si>
  <si>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</si>
  <si>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</si>
  <si>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</si>
  <si>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</si>
  <si>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</si>
  <si>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</si>
  <si>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</si>
  <si>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</si>
  <si>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</si>
  <si>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</si>
  <si>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</si>
  <si>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</si>
  <si>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</si>
  <si>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</si>
  <si>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</si>
  <si>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</si>
  <si>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</si>
  <si>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</si>
  <si>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</si>
  <si>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</si>
  <si>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</si>
  <si>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</si>
  <si>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</si>
  <si>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</si>
  <si>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</si>
  <si>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</si>
  <si>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</si>
  <si>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</si>
  <si>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</si>
  <si>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</si>
  <si>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</si>
  <si>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</si>
  <si>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</si>
  <si>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</si>
  <si>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</si>
  <si>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</si>
  <si>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</si>
  <si>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</si>
  <si>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</si>
  <si>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</si>
  <si>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</si>
  <si>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</si>
  <si>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</si>
  <si>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</si>
  <si>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</si>
  <si>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</si>
  <si>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</si>
  <si>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</si>
  <si>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</si>
  <si>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</si>
  <si>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</si>
  <si>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</si>
  <si>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</si>
  <si>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</si>
  <si>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</si>
  <si>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</si>
  <si>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</si>
  <si>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</si>
  <si>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</si>
  <si>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</si>
  <si>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</si>
  <si>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</si>
  <si>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</si>
  <si>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</si>
  <si>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</si>
  <si>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</si>
  <si>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</si>
  <si>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</si>
  <si>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</si>
  <si>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</si>
  <si>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</si>
  <si>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</si>
  <si>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</si>
  <si>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</si>
  <si>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</si>
  <si>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</si>
  <si>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</si>
  <si>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</si>
  <si>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</si>
  <si>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</si>
  <si>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</si>
  <si>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</si>
  <si>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</si>
  <si>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</si>
  <si>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</si>
  <si>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</si>
  <si>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</si>
  <si>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</si>
  <si>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</si>
  <si>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</si>
  <si>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</si>
  <si>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</si>
  <si>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</si>
  <si>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</si>
  <si>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</si>
  <si>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</si>
  <si>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</si>
  <si>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</si>
  <si>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</si>
  <si>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</si>
  <si>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</si>
  <si>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</si>
  <si>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</si>
  <si>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</si>
  <si>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</si>
  <si>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</si>
  <si>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</si>
  <si>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</si>
  <si>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</si>
  <si>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</si>
  <si>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</si>
  <si>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</si>
  <si>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</si>
  <si>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</si>
  <si>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</si>
  <si>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</si>
  <si>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</si>
  <si>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</si>
  <si>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</si>
  <si>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</si>
  <si>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</si>
  <si>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</si>
  <si>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</si>
  <si>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</si>
  <si>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</si>
  <si>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</si>
  <si>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</si>
  <si>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</si>
  <si>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</si>
  <si>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</si>
  <si>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</si>
  <si>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</si>
  <si>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</si>
  <si>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</si>
  <si>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</si>
  <si>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</si>
  <si>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</si>
  <si>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</si>
  <si>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</si>
  <si>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</si>
  <si>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</si>
  <si>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</si>
  <si>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</si>
  <si>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</si>
  <si>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</si>
  <si>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</si>
  <si>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</si>
  <si>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</si>
  <si>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</si>
  <si>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</si>
  <si>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</si>
  <si>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</si>
  <si>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</si>
  <si>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</si>
  <si>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</si>
  <si>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</si>
  <si>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</si>
  <si>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</si>
  <si>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</si>
  <si>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</si>
  <si>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</si>
  <si>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</si>
  <si>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</si>
  <si>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</si>
  <si>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</si>
  <si>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</si>
  <si>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</si>
  <si>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</si>
  <si>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</si>
  <si>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</si>
  <si>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</si>
  <si>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</si>
  <si>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</si>
  <si>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</si>
  <si>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</si>
  <si>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</si>
  <si>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</si>
  <si>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</si>
  <si>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</si>
  <si>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</si>
  <si>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</si>
  <si>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</si>
  <si>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</si>
  <si>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</si>
  <si>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</si>
  <si>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</si>
  <si>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</si>
  <si>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</si>
  <si>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</si>
  <si>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</si>
  <si>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</si>
  <si>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</si>
  <si>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</si>
  <si>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</si>
  <si>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</si>
  <si>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</si>
  <si>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</si>
  <si>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</si>
  <si>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</si>
  <si>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</si>
  <si>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</si>
  <si>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</si>
  <si>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</si>
  <si>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</si>
  <si>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</si>
  <si>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</si>
  <si>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</si>
  <si>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</si>
  <si>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</si>
  <si>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</si>
  <si>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</si>
  <si>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</si>
  <si>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</si>
  <si>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</si>
  <si>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</si>
  <si>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</si>
  <si>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</si>
  <si>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</si>
  <si>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</si>
  <si>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</si>
  <si>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</si>
  <si>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</si>
  <si>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</si>
  <si>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</si>
  <si>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</si>
  <si>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</si>
  <si>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</si>
  <si>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</si>
  <si>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</si>
  <si>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</si>
  <si>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</si>
  <si>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</si>
  <si>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</si>
  <si>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</si>
  <si>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</si>
  <si>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</si>
  <si>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</si>
  <si>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</si>
  <si>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</si>
  <si>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</si>
  <si>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</si>
  <si>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</si>
  <si>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</si>
  <si>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</si>
  <si>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</si>
  <si>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</si>
  <si>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</si>
  <si>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</si>
  <si>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</si>
  <si>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</si>
  <si>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</si>
  <si>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</si>
  <si>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</si>
  <si>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</si>
  <si>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</si>
  <si>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</si>
  <si>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</si>
  <si>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</si>
  <si>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</si>
  <si>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</si>
  <si>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</si>
  <si>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</si>
  <si>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</si>
  <si>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</si>
  <si>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</si>
  <si>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</si>
  <si>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</si>
  <si>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</si>
  <si>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</si>
  <si>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</si>
  <si>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</si>
  <si>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</si>
  <si>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</si>
  <si>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</si>
  <si>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</si>
  <si>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</si>
  <si>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</si>
  <si>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</si>
  <si>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</si>
  <si>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</si>
  <si>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</si>
  <si>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</si>
  <si>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</si>
  <si>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</si>
  <si>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</si>
  <si>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</si>
  <si>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</si>
  <si>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</si>
  <si>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</si>
  <si>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</si>
  <si>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</si>
  <si>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</si>
  <si>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</si>
  <si>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</si>
  <si>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</si>
  <si>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</si>
  <si>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</si>
  <si>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</si>
  <si>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</si>
  <si>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</si>
  <si>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</si>
  <si>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</si>
  <si>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</si>
  <si>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</si>
  <si>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</si>
  <si>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</si>
  <si>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</si>
  <si>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</si>
  <si>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</si>
  <si>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</si>
  <si>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</si>
  <si>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</si>
  <si>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</si>
  <si>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</si>
  <si>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</si>
  <si>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</si>
  <si>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</si>
  <si>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</si>
  <si>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</si>
  <si>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</si>
  <si>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</si>
  <si>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</si>
  <si>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</si>
  <si>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</si>
  <si>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</si>
  <si>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</si>
  <si>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</si>
  <si>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</si>
  <si>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</si>
  <si>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</si>
  <si>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</si>
  <si>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</si>
  <si>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</si>
  <si>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</si>
  <si>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</si>
  <si>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</si>
  <si>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</si>
  <si>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</si>
  <si>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</si>
  <si>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</si>
  <si>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</si>
  <si>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</si>
  <si>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</si>
  <si>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</si>
  <si>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</si>
  <si>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</si>
  <si>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</si>
  <si>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</si>
  <si>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</si>
  <si>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</si>
  <si>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</si>
  <si>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</si>
  <si>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</si>
  <si>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</si>
  <si>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</si>
  <si>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</si>
  <si>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</si>
  <si>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</si>
  <si>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</si>
  <si>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</si>
  <si>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</si>
  <si>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</si>
  <si>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</si>
  <si>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</si>
  <si>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</si>
  <si>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</si>
  <si>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</si>
  <si>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</si>
  <si>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</si>
  <si>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</si>
  <si>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</si>
  <si>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</si>
  <si>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</si>
  <si>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</si>
  <si>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</si>
  <si>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</si>
  <si>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</si>
  <si>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</si>
  <si>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</si>
  <si>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</si>
  <si>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</si>
  <si>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</si>
  <si>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</si>
  <si>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</si>
  <si>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</si>
  <si>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</si>
  <si>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</si>
  <si>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</si>
  <si>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</si>
  <si>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</si>
  <si>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</si>
  <si>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</si>
  <si>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</si>
  <si>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</si>
  <si>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</si>
  <si>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</si>
  <si>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</si>
  <si>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</si>
  <si>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</si>
  <si>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</si>
  <si>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</si>
  <si>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</si>
  <si>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</si>
  <si>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</si>
  <si>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</si>
  <si>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</si>
  <si>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</si>
  <si>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</si>
  <si>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</si>
  <si>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</si>
  <si>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</si>
  <si>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</si>
  <si>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</si>
  <si>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</si>
  <si>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</si>
  <si>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</si>
  <si>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</si>
  <si>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</si>
  <si>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</si>
  <si>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</si>
  <si>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</si>
  <si>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</si>
  <si>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</si>
  <si>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</si>
  <si>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</si>
  <si>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</si>
  <si>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</si>
  <si>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</si>
  <si>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</si>
  <si>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</si>
  <si>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</si>
  <si>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</si>
  <si>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</si>
  <si>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</si>
  <si>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</si>
  <si>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</si>
  <si>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</si>
  <si>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</si>
  <si>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</si>
  <si>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</si>
  <si>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</si>
  <si>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</si>
  <si>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</si>
  <si>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</si>
  <si>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</si>
  <si>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</si>
  <si>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</si>
  <si>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</si>
  <si>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</si>
  <si>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</si>
  <si>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</si>
  <si>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</si>
  <si>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</si>
  <si>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</si>
  <si>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</si>
  <si>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</si>
  <si>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</si>
  <si>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</si>
  <si>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</si>
  <si>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</si>
  <si>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</si>
  <si>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</si>
  <si>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</si>
  <si>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</si>
  <si>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</si>
  <si>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</si>
  <si>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</si>
  <si>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</si>
  <si>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</si>
  <si>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</si>
  <si>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</si>
  <si>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</si>
  <si>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</si>
  <si>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</si>
  <si>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</si>
  <si>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</si>
  <si>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</si>
  <si>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</si>
  <si>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</si>
  <si>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</si>
  <si>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</si>
  <si>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</si>
  <si>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</si>
  <si>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</si>
  <si>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</si>
  <si>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</si>
  <si>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</si>
  <si>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</si>
  <si>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</si>
  <si>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</si>
  <si>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</si>
  <si>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</si>
  <si>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</si>
  <si>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</si>
  <si>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</si>
  <si>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</si>
  <si>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</si>
  <si>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</si>
  <si>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</si>
  <si>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</si>
  <si>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</si>
  <si>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</si>
  <si>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</si>
  <si>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</si>
  <si>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</si>
  <si>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</si>
  <si>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</si>
  <si>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</si>
  <si>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</si>
  <si>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</si>
  <si>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</si>
  <si>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</si>
  <si>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</si>
  <si>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</si>
  <si>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</si>
  <si>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</si>
  <si>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</si>
  <si>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</si>
  <si>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</si>
  <si>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</si>
  <si>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</si>
  <si>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</si>
  <si>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</si>
  <si>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</si>
  <si>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</si>
  <si>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</si>
  <si>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</si>
  <si>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</si>
  <si>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</si>
  <si>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</si>
  <si>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</si>
  <si>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</si>
  <si>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</si>
  <si>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</si>
  <si>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</si>
  <si>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</si>
  <si>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</si>
  <si>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</si>
  <si>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</si>
  <si>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</si>
  <si>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</si>
  <si>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</si>
  <si>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</si>
  <si>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</si>
  <si>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</si>
  <si>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</si>
  <si>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</si>
  <si>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</si>
  <si>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</si>
  <si>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</si>
  <si>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</si>
  <si>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</si>
  <si>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</si>
  <si>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</si>
  <si>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</si>
  <si>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</si>
  <si>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</si>
  <si>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</si>
  <si>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</si>
  <si>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</si>
  <si>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</si>
  <si>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</si>
  <si>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</si>
  <si>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</si>
  <si>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</si>
  <si>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</si>
  <si>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</si>
  <si>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</si>
  <si>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</si>
  <si>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</si>
  <si>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</si>
  <si>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</si>
  <si>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</si>
  <si>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</si>
  <si>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</si>
  <si>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</si>
  <si>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</si>
  <si>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</si>
  <si>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</si>
  <si>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</si>
  <si>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</si>
  <si>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</si>
  <si>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</si>
  <si>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</si>
  <si>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</si>
  <si>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</si>
  <si>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</si>
  <si>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</si>
  <si>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</si>
  <si>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</si>
  <si>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</si>
  <si>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</si>
  <si>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</si>
  <si>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</si>
  <si>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</si>
  <si>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</si>
  <si>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</si>
  <si>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</si>
  <si>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</si>
  <si>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</si>
  <si>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</si>
  <si>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</si>
  <si>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</si>
  <si>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</si>
  <si>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</si>
  <si>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</si>
  <si>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</si>
  <si>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</si>
  <si>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</si>
  <si>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</si>
  <si>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</si>
  <si>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</si>
  <si>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</si>
  <si>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</si>
  <si>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</si>
  <si>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</si>
  <si>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</si>
  <si>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</si>
  <si>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</si>
  <si>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</si>
  <si>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</si>
  <si>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</si>
  <si>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</si>
  <si>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</si>
  <si>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</si>
  <si>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</si>
  <si>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</si>
  <si>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</si>
  <si>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</si>
  <si>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</si>
  <si>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</si>
  <si>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</si>
  <si>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</si>
  <si>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</si>
  <si>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</si>
  <si>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</si>
  <si>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</si>
  <si>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</si>
  <si>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</si>
  <si>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</si>
  <si>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</si>
  <si>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</si>
  <si>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</si>
  <si>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</si>
  <si>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</si>
  <si>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</si>
  <si>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</si>
  <si>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</si>
  <si>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</si>
  <si>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</si>
  <si>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</si>
  <si>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</si>
  <si>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</si>
  <si>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</si>
  <si>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</si>
  <si>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</si>
  <si>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</si>
  <si>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</si>
  <si>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</si>
  <si>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</si>
  <si>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</si>
  <si>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</si>
  <si>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</si>
  <si>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</si>
  <si>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</si>
  <si>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</si>
  <si>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</si>
  <si>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</si>
  <si>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</si>
  <si>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</si>
  <si>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</si>
  <si>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</si>
  <si>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</si>
  <si>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</si>
  <si>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</si>
  <si>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</si>
  <si>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</si>
  <si>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</si>
  <si>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</si>
  <si>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</si>
  <si>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</si>
  <si>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</si>
  <si>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</si>
  <si>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</si>
  <si>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</si>
  <si>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</si>
  <si>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</si>
  <si>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</si>
  <si>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</si>
  <si>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</si>
  <si>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</si>
  <si>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</si>
  <si>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</si>
  <si>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</si>
  <si>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</si>
  <si>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</si>
  <si>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</si>
  <si>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</si>
  <si>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</si>
  <si>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</si>
  <si>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</si>
  <si>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</si>
  <si>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</si>
  <si>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</si>
  <si>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</si>
  <si>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</si>
  <si>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</si>
  <si>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</si>
  <si>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</si>
  <si>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</si>
  <si>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</si>
  <si>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</si>
  <si>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</si>
  <si>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</si>
  <si>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</si>
  <si>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</si>
  <si>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</si>
  <si>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</si>
  <si>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</si>
  <si>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</si>
  <si>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</si>
  <si>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</si>
  <si>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</si>
  <si>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</si>
  <si>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</si>
  <si>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</si>
  <si>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</si>
  <si>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</si>
  <si>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</si>
  <si>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</si>
  <si>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</si>
  <si>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</si>
  <si>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</si>
  <si>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</si>
  <si>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</si>
  <si>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</si>
  <si>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</si>
  <si>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</si>
  <si>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</si>
  <si>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</si>
  <si>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</si>
  <si>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</si>
  <si>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</si>
  <si>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</si>
  <si>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</si>
  <si>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</si>
  <si>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</si>
  <si>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</si>
  <si>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</si>
  <si>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</si>
  <si>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</si>
  <si>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</si>
  <si>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</si>
  <si>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</si>
  <si>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</si>
  <si>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</si>
  <si>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</si>
  <si>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</si>
  <si>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</si>
  <si>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</si>
  <si>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</si>
  <si>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</si>
  <si>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</si>
  <si>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</si>
  <si>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</si>
  <si>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</si>
  <si>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</si>
  <si>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</si>
  <si>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</si>
  <si>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</si>
  <si>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</si>
  <si>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</si>
  <si>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</si>
  <si>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</si>
  <si>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</si>
  <si>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</si>
  <si>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</si>
  <si>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</si>
  <si>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</si>
  <si>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</si>
  <si>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</si>
  <si>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</si>
  <si>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</si>
  <si>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</si>
  <si>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</si>
  <si>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</si>
  <si>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</si>
  <si>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</si>
  <si>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</si>
  <si>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</si>
  <si>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</si>
  <si>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</si>
  <si>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</si>
  <si>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</si>
  <si>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</si>
  <si>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</si>
  <si>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</si>
  <si>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</si>
  <si>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</si>
  <si>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</si>
  <si>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</si>
  <si>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</si>
  <si>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</si>
  <si>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</si>
  <si>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</si>
  <si>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</si>
  <si>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</si>
  <si>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</si>
  <si>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</si>
  <si>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</si>
  <si>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</si>
  <si>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</si>
  <si>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</si>
  <si>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</si>
  <si>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</si>
  <si>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</si>
  <si>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</si>
  <si>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</si>
  <si>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</si>
  <si>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</si>
  <si>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</si>
  <si>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</si>
  <si>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</si>
  <si>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</si>
  <si>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</si>
  <si>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</si>
  <si>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</si>
  <si>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</si>
  <si>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</si>
  <si>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</si>
  <si>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</si>
  <si>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</si>
  <si>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</si>
  <si>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</si>
  <si>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</si>
  <si>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</si>
  <si>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</si>
  <si>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</si>
  <si>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</si>
  <si>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</si>
  <si>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</si>
  <si>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</si>
  <si>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</si>
  <si>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</si>
  <si>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</si>
  <si>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</si>
  <si>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</si>
  <si>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</si>
  <si>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</si>
  <si>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</si>
  <si>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</si>
  <si>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</si>
  <si>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</si>
  <si>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</si>
  <si>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</si>
  <si>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</si>
  <si>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</si>
  <si>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</si>
  <si>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</si>
  <si>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</si>
  <si>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</si>
  <si>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</si>
  <si>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</si>
  <si>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</si>
  <si>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</si>
  <si>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</si>
  <si>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</si>
  <si>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</si>
  <si>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</si>
  <si>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</si>
  <si>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</si>
  <si>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</si>
  <si>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</si>
  <si>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</si>
  <si>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</si>
  <si>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</si>
  <si>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</si>
  <si>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</si>
  <si>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</si>
  <si>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</si>
  <si>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</si>
  <si>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</si>
  <si>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</si>
  <si>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</si>
  <si>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</si>
  <si>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</si>
  <si>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</si>
  <si>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</si>
  <si>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</si>
  <si>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</si>
  <si>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</si>
  <si>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</si>
  <si>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</si>
  <si>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</si>
  <si>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</si>
  <si>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</si>
  <si>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</si>
  <si>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</si>
  <si>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</si>
  <si>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</si>
  <si>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</si>
  <si>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</si>
  <si>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</si>
  <si>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</si>
  <si>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</si>
  <si>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</si>
  <si>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</si>
  <si>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</si>
  <si>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</si>
  <si>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</si>
  <si>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</si>
  <si>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</si>
  <si>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</si>
  <si>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</si>
  <si>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</si>
  <si>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</si>
  <si>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</si>
  <si>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</si>
  <si>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</si>
  <si>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</si>
  <si>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</si>
  <si>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</si>
  <si>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</si>
  <si>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</si>
  <si>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</si>
  <si>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</si>
  <si>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</si>
  <si>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</si>
  <si>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</si>
  <si>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</si>
  <si>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</si>
  <si>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</si>
  <si>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</si>
  <si>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</si>
  <si>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</si>
  <si>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</si>
  <si>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</si>
  <si>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</si>
  <si>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</si>
  <si>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</si>
  <si>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</si>
  <si>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</si>
  <si>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</si>
  <si>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</si>
  <si>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</si>
  <si>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</si>
  <si>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</si>
  <si>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</si>
  <si>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</si>
  <si>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</si>
  <si>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</si>
  <si>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</si>
  <si>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</si>
  <si>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</si>
  <si>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</si>
  <si>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</si>
  <si>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</si>
  <si>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</si>
  <si>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</si>
  <si>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</si>
  <si>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</si>
  <si>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</si>
  <si>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</si>
  <si>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</si>
  <si>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</si>
  <si>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</si>
  <si>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</si>
  <si>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</si>
  <si>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</si>
  <si>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</si>
  <si>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</si>
  <si>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</si>
  <si>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</si>
  <si>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</si>
  <si>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</si>
  <si>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</si>
  <si>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</si>
  <si>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</si>
  <si>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</si>
  <si>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</si>
  <si>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</si>
  <si>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</si>
  <si>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</si>
  <si>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</si>
  <si>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</si>
  <si>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</si>
  <si>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</si>
  <si>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</si>
  <si>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</si>
  <si>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</si>
  <si>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</si>
  <si>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</si>
  <si>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</si>
  <si>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</si>
  <si>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</si>
  <si>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</si>
  <si>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</si>
  <si>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</si>
  <si>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</si>
  <si>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</si>
  <si>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</si>
  <si>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</si>
  <si>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</si>
  <si>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</si>
  <si>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</si>
  <si>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</si>
  <si>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</si>
  <si>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</si>
  <si>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</si>
  <si>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</si>
  <si>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</si>
  <si>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</si>
  <si>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</si>
  <si>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</si>
  <si>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</si>
  <si>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</si>
  <si>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</si>
  <si>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</si>
  <si>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</si>
  <si>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</si>
  <si>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</si>
  <si>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</si>
  <si>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</si>
  <si>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</si>
  <si>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</si>
  <si>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</si>
  <si>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</si>
  <si>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</si>
  <si>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</si>
  <si>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</si>
  <si>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</si>
  <si>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</si>
  <si>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</si>
  <si>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</si>
  <si>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</si>
  <si>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</si>
  <si>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</si>
  <si>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</si>
  <si>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</si>
  <si>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</si>
  <si>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</si>
  <si>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</si>
  <si>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</si>
  <si>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</si>
  <si>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</si>
  <si>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</si>
  <si>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</si>
  <si>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</si>
  <si>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</si>
  <si>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</si>
  <si>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</si>
  <si>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</si>
  <si>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</si>
  <si>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</si>
  <si>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</si>
  <si>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</si>
  <si>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</si>
  <si>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</si>
  <si>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</si>
  <si>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</si>
  <si>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</si>
  <si>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</si>
  <si>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</si>
  <si>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</si>
  <si>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</si>
  <si>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</si>
  <si>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</si>
  <si>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</si>
  <si>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</si>
  <si>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</si>
  <si>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</si>
  <si>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</si>
  <si>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</si>
  <si>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</si>
  <si>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</si>
  <si>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</si>
  <si>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</si>
  <si>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</si>
  <si>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</si>
  <si>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</si>
  <si>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</si>
  <si>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</si>
  <si>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</si>
  <si>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</si>
  <si>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</si>
  <si>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</si>
  <si>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</si>
  <si>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</si>
  <si>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</si>
  <si>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</si>
  <si>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</si>
  <si>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</si>
  <si>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</si>
  <si>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</si>
  <si>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</si>
  <si>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</si>
  <si>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</si>
  <si>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</si>
  <si>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</si>
  <si>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</si>
  <si>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</si>
  <si>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</si>
  <si>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</si>
  <si>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</si>
  <si>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</si>
  <si>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</si>
  <si>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</si>
  <si>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</si>
  <si>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</si>
  <si>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</si>
  <si>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</si>
  <si>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</si>
  <si>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</si>
  <si>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</si>
  <si>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</si>
  <si>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</si>
  <si>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</si>
  <si>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</si>
  <si>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</si>
  <si>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</si>
  <si>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</si>
  <si>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</si>
  <si>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</si>
  <si>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</si>
  <si>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</si>
  <si>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</si>
  <si>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</si>
  <si>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</si>
  <si>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</si>
  <si>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</si>
  <si>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</si>
  <si>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</si>
  <si>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</si>
  <si>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</si>
  <si>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</si>
  <si>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</si>
  <si>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</si>
  <si>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</si>
  <si>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</si>
  <si>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</si>
  <si>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</si>
  <si>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</si>
  <si>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</si>
  <si>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</si>
  <si>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</si>
  <si>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</si>
  <si>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</si>
  <si>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</si>
  <si>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</si>
  <si>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</si>
  <si>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</si>
  <si>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</si>
  <si>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</si>
  <si>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</si>
  <si>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</si>
  <si>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</si>
  <si>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</si>
  <si>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</si>
  <si>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</si>
  <si>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</si>
  <si>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</si>
  <si>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</si>
  <si>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</si>
  <si>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</si>
  <si>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</si>
  <si>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</si>
  <si>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</si>
  <si>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</si>
  <si>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</si>
  <si>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</si>
  <si>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</si>
  <si>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</si>
  <si>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</si>
  <si>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</si>
  <si>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</si>
  <si>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</si>
  <si>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</si>
  <si>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</si>
  <si>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</si>
  <si>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</si>
  <si>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</si>
  <si>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</si>
  <si>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</si>
  <si>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</si>
  <si>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</si>
  <si>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</si>
  <si>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</si>
  <si>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</si>
  <si>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</si>
  <si>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</si>
  <si>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</si>
  <si>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</si>
  <si>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</si>
  <si>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</si>
  <si>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</si>
  <si>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</si>
  <si>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</si>
  <si>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</si>
  <si>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</si>
  <si>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</si>
  <si>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</si>
  <si>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</si>
  <si>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</si>
  <si>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</si>
  <si>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</si>
  <si>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</si>
  <si>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</si>
  <si>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</si>
  <si>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</si>
  <si>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</si>
  <si>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</si>
  <si>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</si>
  <si>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</si>
  <si>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</si>
  <si>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</si>
  <si>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</si>
  <si>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</si>
  <si>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</si>
  <si>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</si>
  <si>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</si>
  <si>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</si>
  <si>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</si>
  <si>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</si>
  <si>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</si>
  <si>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</si>
  <si>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</si>
  <si>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</si>
  <si>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</si>
  <si>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</si>
  <si>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</si>
  <si>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</si>
  <si>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</si>
  <si>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</si>
  <si>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</si>
  <si>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</si>
  <si>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</si>
  <si>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</si>
  <si>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</si>
  <si>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</si>
  <si>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</si>
  <si>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</si>
  <si>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</si>
  <si>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</si>
  <si>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</si>
  <si>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</si>
  <si>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</si>
  <si>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</si>
  <si>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</si>
  <si>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</si>
  <si>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</si>
  <si>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</si>
  <si>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</si>
  <si>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</si>
  <si>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</si>
  <si>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</si>
  <si>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</si>
  <si>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</si>
  <si>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</si>
  <si>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</si>
  <si>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</si>
  <si>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</si>
  <si>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</si>
  <si>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</si>
  <si>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</si>
  <si>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</si>
  <si>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</si>
  <si>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</si>
  <si>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</si>
  <si>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</si>
  <si>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</si>
  <si>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</si>
  <si>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</si>
  <si>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</si>
  <si>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</si>
  <si>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</si>
  <si>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</si>
  <si>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</si>
  <si>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</si>
  <si>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</si>
  <si>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</si>
  <si>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</si>
  <si>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</si>
  <si>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</si>
  <si>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</si>
  <si>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</si>
  <si>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</si>
  <si>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</si>
  <si>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</si>
  <si>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</si>
  <si>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</si>
  <si>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</si>
  <si>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</si>
  <si>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</si>
  <si>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</si>
  <si>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</si>
  <si>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</si>
  <si>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</si>
  <si>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</si>
  <si>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</si>
  <si>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</si>
  <si>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</si>
  <si>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</si>
  <si>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</si>
  <si>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</si>
  <si>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</si>
  <si>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</si>
  <si>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</si>
  <si>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</si>
  <si>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</si>
  <si>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</si>
  <si>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</si>
  <si>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</si>
  <si>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</si>
  <si>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</si>
  <si>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</si>
  <si>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</si>
  <si>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</si>
  <si>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</si>
  <si>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</si>
  <si>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</si>
  <si>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</si>
  <si>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</si>
  <si>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</si>
  <si>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</si>
  <si>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</si>
  <si>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</si>
  <si>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</si>
  <si>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</si>
  <si>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</si>
  <si>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</si>
  <si>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</si>
  <si>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</si>
  <si>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</si>
  <si>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</si>
  <si>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</si>
  <si>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</si>
  <si>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</si>
  <si>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</si>
  <si>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</si>
  <si>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</si>
  <si>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</si>
  <si>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</si>
  <si>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</si>
  <si>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</si>
  <si>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</si>
  <si>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</si>
  <si>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</si>
  <si>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</si>
  <si>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</si>
  <si>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</si>
  <si>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</si>
  <si>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</si>
  <si>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</si>
  <si>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</si>
  <si>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</si>
  <si>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</si>
  <si>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</si>
  <si>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</si>
  <si>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</si>
  <si>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</si>
  <si>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</si>
  <si>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</si>
  <si>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</si>
  <si>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</si>
  <si>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</si>
  <si>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</si>
  <si>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</si>
  <si>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</si>
  <si>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</si>
  <si>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</si>
  <si>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</si>
  <si>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</si>
  <si>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</si>
  <si>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</si>
  <si>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</si>
  <si>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</si>
  <si>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</si>
  <si>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</si>
  <si>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</si>
  <si>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</si>
  <si>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</si>
  <si>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</si>
  <si>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</si>
  <si>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</si>
  <si>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</si>
  <si>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</si>
  <si>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</si>
  <si>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</si>
  <si>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</si>
  <si>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</si>
  <si>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</si>
  <si>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</si>
  <si>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</si>
  <si>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</si>
  <si>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</si>
  <si>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</si>
  <si>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</si>
  <si>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</si>
  <si>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</si>
  <si>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</si>
  <si>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</si>
  <si>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</si>
  <si>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</si>
  <si>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</si>
  <si>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</si>
  <si>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</si>
  <si>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</si>
  <si>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</si>
  <si>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</si>
  <si>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</si>
  <si>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</si>
  <si>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</si>
  <si>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</si>
  <si>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</si>
  <si>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</si>
  <si>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</si>
  <si>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</si>
  <si>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</si>
  <si>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</si>
  <si>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</si>
  <si>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</si>
  <si>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</si>
  <si>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</si>
  <si>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</si>
  <si>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</si>
  <si>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</si>
  <si>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</si>
  <si>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</si>
  <si>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</si>
  <si>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</si>
  <si>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</si>
  <si>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</si>
  <si>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</si>
  <si>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</si>
  <si>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</si>
  <si>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</si>
  <si>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</si>
  <si>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</si>
  <si>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</si>
  <si>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</si>
  <si>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</si>
  <si>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</si>
  <si>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</si>
  <si>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</si>
  <si>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</si>
  <si>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</si>
  <si>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</si>
  <si>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</si>
  <si>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</si>
  <si>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</si>
  <si>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</si>
  <si>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</si>
  <si>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</si>
  <si>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</si>
  <si>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</si>
  <si>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</si>
  <si>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</si>
  <si>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</si>
  <si>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</si>
  <si>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</si>
  <si>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</si>
  <si>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</si>
  <si>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</si>
  <si>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</si>
  <si>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</si>
  <si>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</si>
  <si>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</si>
  <si>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</si>
  <si>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</si>
  <si>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</si>
  <si>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</si>
  <si>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</si>
  <si>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</si>
  <si>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</si>
  <si>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</si>
  <si>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</si>
  <si>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</si>
  <si>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</si>
  <si>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</si>
  <si>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</si>
  <si>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</si>
  <si>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</si>
  <si>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</si>
  <si>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</si>
  <si>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</si>
  <si>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</si>
  <si>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</si>
  <si>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</si>
  <si>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</si>
  <si>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</si>
  <si>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</si>
  <si>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</si>
  <si>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</si>
  <si>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</si>
  <si>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</si>
  <si>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</si>
  <si>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</si>
  <si>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</si>
  <si>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</si>
  <si>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</si>
  <si>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</si>
  <si>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</si>
  <si>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</si>
  <si>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</si>
  <si>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</si>
  <si>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</si>
  <si>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</si>
  <si>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</si>
  <si>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</si>
  <si>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</si>
  <si>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</si>
  <si>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</si>
  <si>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</si>
  <si>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</si>
  <si>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</si>
  <si>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</si>
  <si>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</si>
  <si>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</si>
  <si>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</si>
  <si>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</si>
  <si>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</si>
  <si>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</si>
  <si>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</si>
  <si>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</si>
  <si>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</si>
  <si>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</si>
  <si>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</si>
  <si>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</si>
  <si>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</si>
  <si>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</si>
  <si>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</si>
  <si>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</si>
  <si>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</si>
  <si>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</si>
  <si>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</si>
  <si>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</si>
  <si>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</si>
  <si>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</si>
  <si>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</si>
  <si>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</si>
  <si>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</si>
  <si>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</si>
  <si>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</si>
  <si>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</si>
  <si>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</si>
  <si>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</si>
  <si>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</si>
  <si>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</si>
  <si>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</si>
  <si>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</si>
  <si>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</si>
  <si>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</si>
  <si>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</si>
  <si>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</si>
  <si>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</si>
  <si>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</si>
  <si>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</si>
  <si>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</si>
  <si>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</si>
  <si>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</si>
  <si>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</si>
  <si>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</si>
  <si>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</si>
  <si>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</si>
  <si>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</si>
  <si>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</si>
  <si>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</si>
  <si>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</si>
  <si>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</si>
  <si>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</si>
  <si>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</si>
  <si>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</si>
  <si>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</si>
  <si>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</si>
  <si>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</si>
  <si>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</si>
  <si>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</si>
  <si>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</si>
  <si>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</si>
  <si>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</si>
  <si>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</si>
  <si>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</si>
  <si>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</si>
  <si>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</si>
  <si>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</si>
  <si>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</si>
  <si>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</si>
  <si>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</si>
  <si>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</si>
  <si>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</si>
  <si>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</si>
  <si>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</si>
  <si>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</si>
  <si>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</si>
  <si>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</si>
  <si>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</si>
  <si>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</si>
  <si>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</si>
  <si>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</si>
  <si>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</si>
  <si>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</si>
  <si>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</si>
  <si>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</si>
  <si>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</si>
  <si>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</si>
  <si>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</si>
  <si>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</si>
  <si>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</si>
  <si>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</si>
  <si>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</si>
  <si>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</si>
  <si>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</si>
  <si>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</si>
  <si>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</si>
  <si>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</si>
  <si>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</si>
  <si>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</si>
  <si>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</si>
  <si>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</si>
  <si>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</si>
  <si>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</si>
  <si>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</si>
  <si>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</si>
  <si>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</si>
  <si>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</si>
  <si>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</si>
  <si>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</si>
  <si>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</si>
  <si>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</si>
  <si>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</si>
  <si>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</si>
  <si>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</si>
  <si>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</si>
  <si>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</si>
  <si>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</si>
  <si>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</si>
  <si>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</si>
  <si>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</si>
  <si>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</si>
  <si>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</si>
  <si>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</si>
  <si>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</si>
  <si>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</si>
  <si>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</si>
  <si>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</si>
  <si>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</si>
  <si>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</si>
  <si>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</si>
  <si>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</si>
  <si>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</si>
  <si>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</si>
  <si>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</si>
  <si>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</si>
  <si>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</si>
  <si>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</si>
  <si>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</si>
  <si>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</si>
  <si>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</si>
  <si>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</si>
  <si>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</si>
  <si>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</si>
  <si>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</si>
  <si>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</si>
  <si>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</si>
  <si>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</si>
  <si>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</si>
  <si>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</si>
  <si>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</si>
  <si>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</si>
  <si>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</si>
  <si>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</si>
  <si>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</si>
  <si>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</si>
  <si>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</si>
  <si>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</si>
  <si>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</si>
  <si>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</si>
  <si>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</si>
  <si>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</si>
  <si>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</si>
  <si>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</si>
  <si>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</si>
  <si>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</si>
  <si>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</si>
  <si>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</si>
  <si>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</si>
  <si>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</si>
  <si>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</si>
  <si>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</si>
  <si>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</si>
  <si>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</si>
  <si>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</si>
  <si>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</si>
  <si>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</si>
  <si>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</si>
  <si>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</si>
  <si>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</si>
  <si>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</si>
  <si>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</si>
  <si>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</si>
  <si>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</si>
  <si>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</si>
  <si>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</si>
  <si>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</si>
  <si>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</si>
  <si>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</si>
  <si>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</si>
  <si>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</si>
  <si>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</si>
  <si>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</si>
  <si>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</si>
  <si>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</si>
  <si>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</si>
  <si>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</si>
  <si>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</si>
  <si>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</si>
  <si>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</si>
  <si>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</si>
  <si>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</si>
  <si>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</si>
  <si>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</si>
  <si>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</si>
  <si>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</si>
  <si>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</si>
  <si>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</si>
  <si>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</si>
  <si>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</si>
  <si>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</si>
  <si>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</si>
  <si>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</si>
  <si>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</si>
  <si>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</si>
  <si>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</si>
  <si>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</si>
  <si>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</si>
  <si>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</si>
  <si>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</si>
  <si>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</si>
  <si>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</si>
  <si>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</si>
  <si>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</si>
  <si>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</si>
  <si>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</si>
  <si>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</si>
  <si>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</si>
  <si>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</si>
  <si>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</si>
  <si>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</si>
  <si>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</si>
  <si>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</si>
  <si>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</si>
  <si>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</si>
  <si>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</si>
  <si>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</si>
  <si>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</si>
  <si>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</si>
  <si>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</si>
  <si>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</si>
  <si>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</si>
  <si>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</si>
  <si>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</si>
  <si>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</si>
  <si>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</si>
  <si>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</si>
  <si>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</si>
  <si>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</si>
  <si>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</si>
  <si>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</si>
  <si>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</si>
  <si>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</si>
  <si>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</si>
  <si>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</si>
  <si>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</si>
  <si>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</si>
  <si>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</si>
  <si>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</si>
  <si>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</si>
  <si>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</si>
  <si>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</si>
  <si>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</si>
  <si>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</si>
  <si>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</si>
  <si>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</si>
  <si>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</si>
  <si>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</si>
  <si>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</si>
  <si>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</si>
  <si>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</si>
  <si>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</si>
  <si>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</si>
  <si>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</si>
  <si>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</si>
  <si>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</si>
  <si>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</si>
  <si>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</si>
  <si>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</si>
  <si>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</si>
  <si>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</si>
  <si>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</si>
  <si>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</si>
  <si>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</si>
  <si>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</si>
  <si>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</si>
  <si>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</si>
  <si>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</si>
  <si>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</si>
  <si>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t>9</t>
    </r>
    <r>
      <rPr>
        <sz val="10"/>
        <color indexed="8"/>
        <rFont val="宋体"/>
        <family val="3"/>
        <charset val="134"/>
      </rPr>
      <t>号院</t>
    </r>
    <r>
      <rPr>
        <sz val="10"/>
        <color indexed="8"/>
        <rFont val="Arial"/>
        <family val="2"/>
      </rPr>
      <t>1</t>
    </r>
    <r>
      <rPr>
        <sz val="10"/>
        <color indexed="8"/>
        <rFont val="宋体"/>
        <family val="3"/>
        <charset val="134"/>
      </rPr>
      <t>号楼</t>
    </r>
    <phoneticPr fontId="3" type="noConversion"/>
  </si>
  <si>
    <t>是</t>
  </si>
  <si>
    <r>
      <t>9</t>
    </r>
    <r>
      <rPr>
        <sz val="10"/>
        <color indexed="8"/>
        <rFont val="宋体"/>
        <family val="3"/>
        <charset val="134"/>
      </rPr>
      <t>号院</t>
    </r>
    <r>
      <rPr>
        <sz val="10"/>
        <color indexed="8"/>
        <rFont val="Arial"/>
        <family val="2"/>
      </rPr>
      <t>2号楼</t>
    </r>
    <r>
      <rPr>
        <sz val="10"/>
        <color indexed="8"/>
        <rFont val="宋体"/>
        <family val="3"/>
        <charset val="134"/>
      </rPr>
      <t/>
    </r>
  </si>
  <si>
    <r>
      <t>9</t>
    </r>
    <r>
      <rPr>
        <sz val="10"/>
        <color indexed="8"/>
        <rFont val="宋体"/>
        <family val="3"/>
        <charset val="134"/>
      </rPr>
      <t>号院</t>
    </r>
    <r>
      <rPr>
        <sz val="10"/>
        <color indexed="8"/>
        <rFont val="Arial"/>
        <family val="2"/>
      </rPr>
      <t>4</t>
    </r>
    <r>
      <rPr>
        <sz val="10"/>
        <color indexed="8"/>
        <rFont val="宋体"/>
        <family val="3"/>
        <charset val="134"/>
      </rPr>
      <t>号楼</t>
    </r>
    <phoneticPr fontId="3" type="noConversion"/>
  </si>
  <si>
    <r>
      <t>9</t>
    </r>
    <r>
      <rPr>
        <sz val="10"/>
        <color indexed="8"/>
        <rFont val="宋体"/>
        <family val="3"/>
        <charset val="134"/>
      </rPr>
      <t>号院</t>
    </r>
    <r>
      <rPr>
        <sz val="10"/>
        <color indexed="8"/>
        <rFont val="Arial"/>
        <family val="2"/>
      </rPr>
      <t>5号楼</t>
    </r>
    <r>
      <rPr>
        <sz val="10"/>
        <color indexed="8"/>
        <rFont val="宋体"/>
        <family val="3"/>
        <charset val="134"/>
      </rPr>
      <t/>
    </r>
  </si>
  <si>
    <t>地下室</t>
    <phoneticPr fontId="3" type="noConversion"/>
  </si>
  <si>
    <r>
      <t>9</t>
    </r>
    <r>
      <rPr>
        <sz val="10"/>
        <color indexed="8"/>
        <rFont val="宋体"/>
        <family val="3"/>
        <charset val="134"/>
      </rPr>
      <t>号院</t>
    </r>
    <r>
      <rPr>
        <sz val="10"/>
        <color indexed="8"/>
        <rFont val="Arial"/>
        <family val="2"/>
      </rPr>
      <t>3</t>
    </r>
    <r>
      <rPr>
        <sz val="10"/>
        <color indexed="8"/>
        <rFont val="宋体"/>
        <family val="3"/>
        <charset val="134"/>
      </rPr>
      <t>号楼</t>
    </r>
    <phoneticPr fontId="3" type="noConversion"/>
  </si>
  <si>
    <t>否</t>
  </si>
  <si>
    <r>
      <t>9</t>
    </r>
    <r>
      <rPr>
        <sz val="10"/>
        <color indexed="8"/>
        <rFont val="宋体"/>
        <family val="3"/>
        <charset val="134"/>
      </rPr>
      <t>号院</t>
    </r>
    <r>
      <rPr>
        <sz val="10"/>
        <color indexed="8"/>
        <rFont val="Arial"/>
        <family val="2"/>
      </rPr>
      <t>6</t>
    </r>
    <r>
      <rPr>
        <sz val="10"/>
        <color indexed="8"/>
        <rFont val="宋体"/>
        <family val="3"/>
        <charset val="134"/>
      </rPr>
      <t>号楼</t>
    </r>
    <phoneticPr fontId="3" type="noConversion"/>
  </si>
  <si>
    <t>地上</t>
  </si>
  <si>
    <t>办公楼</t>
  </si>
  <si>
    <t>地下</t>
  </si>
  <si>
    <t>办公</t>
    <phoneticPr fontId="3" type="noConversion"/>
  </si>
  <si>
    <t>车库</t>
    <phoneticPr fontId="3" type="noConversion"/>
  </si>
  <si>
    <t>利息：取LPR加浮动点数</t>
  </si>
  <si>
    <t>成新度</t>
  </si>
  <si>
    <t>收益法-办公</t>
  </si>
  <si>
    <t>收益法-办公</t>
    <phoneticPr fontId="16" type="noConversion"/>
  </si>
  <si>
    <t>收益法-车库</t>
  </si>
  <si>
    <t>收益法-车库</t>
    <phoneticPr fontId="16" type="noConversion"/>
  </si>
  <si>
    <t>押一</t>
  </si>
  <si>
    <t>钢混</t>
  </si>
  <si>
    <t>非生产用房</t>
  </si>
  <si>
    <t>自定义</t>
  </si>
  <si>
    <t>成本法</t>
  </si>
  <si>
    <t>收益法（汇总）</t>
  </si>
  <si>
    <t>宗地容积率</t>
  </si>
  <si>
    <t>不临65条商业街</t>
  </si>
  <si>
    <t>与级别开发程度不一致</t>
  </si>
  <si>
    <t>通路</t>
  </si>
  <si>
    <t>通电</t>
  </si>
  <si>
    <t>通讯</t>
  </si>
  <si>
    <t>通上水</t>
  </si>
  <si>
    <t>通下水</t>
  </si>
  <si>
    <t>通热</t>
  </si>
  <si>
    <t>平整</t>
  </si>
  <si>
    <t>地块名称</t>
  </si>
  <si>
    <t>地块编号</t>
  </si>
  <si>
    <t>区县</t>
  </si>
  <si>
    <t>板块</t>
  </si>
  <si>
    <t>土地位置</t>
  </si>
  <si>
    <t>用地性质</t>
  </si>
  <si>
    <t>建设用地面积(㎡)</t>
  </si>
  <si>
    <t>规划建筑面积(㎡)</t>
  </si>
  <si>
    <t>容积率</t>
  </si>
  <si>
    <t>详细规划</t>
  </si>
  <si>
    <t>限制高度</t>
  </si>
  <si>
    <t>推出特殊政策</t>
  </si>
  <si>
    <t>成交日期</t>
  </si>
  <si>
    <t>受让单位</t>
  </si>
  <si>
    <t>拿地企业</t>
  </si>
  <si>
    <t>成交价(万元)</t>
  </si>
  <si>
    <t>成交每亩价(万元/亩)</t>
  </si>
  <si>
    <t>成交楼面价(元/㎡)</t>
  </si>
  <si>
    <t>溢价率(%)</t>
  </si>
  <si>
    <t>出让年限(年)</t>
  </si>
  <si>
    <t>北京市海淀区西北旺镇永丰产业基地(新)HD00-0403-009地块F3其他类多功能用地</t>
  </si>
  <si>
    <t>京土储挂(海)[2022]063号</t>
  </si>
  <si>
    <t xml:space="preserve"> 海淀区</t>
  </si>
  <si>
    <t xml:space="preserve"> 温泉</t>
  </si>
  <si>
    <t xml:space="preserve"> 海淀区永丰产业基地</t>
  </si>
  <si>
    <t xml:space="preserve"> 商业/办公用地</t>
  </si>
  <si>
    <t xml:space="preserve"> F3其他类多功能用地</t>
  </si>
  <si>
    <t xml:space="preserve"> --</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</si>
  <si>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</si>
  <si>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</si>
  <si>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</si>
  <si>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</si>
  <si>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</si>
  <si>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</si>
  <si>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北京市通州经济开发区西区南扩区 三、五、六期棚户区改造项目 FZX-1102-6002地块 F3其他类多功能用地</t>
  </si>
  <si>
    <t>京土储挂(通)〔2022〕041号</t>
  </si>
  <si>
    <t xml:space="preserve"> 通州区</t>
  </si>
  <si>
    <t xml:space="preserve"> 张家湾</t>
  </si>
  <si>
    <t xml:space="preserve"> 通州区张家湾镇</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</si>
  <si>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</si>
  <si>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</si>
  <si>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</si>
  <si>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</si>
  <si>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</si>
  <si>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</si>
  <si>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</si>
  <si>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</si>
  <si>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</si>
  <si>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</si>
  <si>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</si>
  <si>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≤2.8</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</si>
  <si>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</si>
  <si>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</si>
  <si>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</si>
  <si>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</si>
  <si>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</si>
  <si>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</si>
  <si>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</si>
  <si>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华夏银行股份有限公司  </t>
  </si>
  <si>
    <t xml:space="preserve"> 商业40年,办公50年</t>
  </si>
  <si>
    <t>北京市海淀区西北旺镇永丰产业基地(新)HD00-0403-024地块F3其他类多功能用地</t>
  </si>
  <si>
    <t>京土整储挂(海)[2021] 082号</t>
  </si>
  <si>
    <t xml:space="preserve"> 海淀区永丰产业基地(新)一级开发组团J地块内</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</si>
  <si>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</si>
  <si>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</si>
  <si>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</si>
  <si>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</si>
  <si>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</si>
  <si>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</si>
  <si>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</si>
  <si>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</si>
  <si>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</si>
  <si>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</si>
  <si>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石景山区</t>
  </si>
  <si>
    <t xml:space="preserve"> 苹果园、八角、金顶街</t>
  </si>
  <si>
    <t xml:space="preserve"> 石景山区古城南街东侧</t>
  </si>
  <si>
    <t xml:space="preserve"> B4综合性商业金融服务业用地</t>
  </si>
  <si>
    <t xml:space="preserve"> 北京首鹰置业有限公司  </t>
  </si>
  <si>
    <t xml:space="preserve"> 北京首鹰置业有限公司</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</si>
  <si>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</si>
  <si>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</si>
  <si>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</si>
  <si>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</si>
  <si>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</si>
  <si>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</si>
  <si>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</si>
  <si>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</si>
  <si>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</si>
  <si>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</si>
  <si>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</si>
  <si>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</si>
  <si>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</si>
  <si>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</si>
  <si>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</si>
  <si>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</si>
  <si>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</si>
  <si>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</si>
  <si>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</si>
  <si>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北京市石景山区中关村科技园石景山园北Ⅱ区西井地块土地一级开发项目1606-034地块B1商业用地</t>
  </si>
  <si>
    <t>京土整储挂(石)[2020]045号</t>
  </si>
  <si>
    <t xml:space="preserve"> 石景山区苹果园地区</t>
  </si>
  <si>
    <t xml:space="preserve"> ≤4.0</t>
  </si>
  <si>
    <t xml:space="preserve"> B1商业用地</t>
  </si>
  <si>
    <t xml:space="preserve"> ≤45米</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</si>
  <si>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</si>
  <si>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</si>
  <si>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</si>
  <si>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</si>
  <si>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</si>
  <si>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</si>
  <si>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</si>
  <si>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</si>
  <si>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中国电建地产集团有限公司  </t>
  </si>
  <si>
    <t xml:space="preserve"> 电建地产</t>
  </si>
  <si>
    <t>北京市朝阳区望京花家地西里三组团配套综合楼1006-605地块B4商业金融用地</t>
  </si>
  <si>
    <t>京土整储挂(朝)[2020]004号</t>
  </si>
  <si>
    <t xml:space="preserve"> 朝阳区</t>
  </si>
  <si>
    <t xml:space="preserve"> 望京、酒仙桥</t>
  </si>
  <si>
    <t xml:space="preserve"> 朝阳区望京花家地</t>
  </si>
  <si>
    <t xml:space="preserve"> ≤3</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</si>
  <si>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</si>
  <si>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</si>
  <si>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</si>
  <si>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</si>
  <si>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</si>
  <si>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</si>
  <si>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</si>
  <si>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</si>
  <si>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≤60米</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</si>
  <si>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</si>
  <si>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</si>
  <si>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</si>
  <si>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</si>
  <si>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</si>
  <si>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</si>
  <si>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</si>
  <si>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</si>
  <si>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</si>
  <si>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</si>
  <si>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</si>
  <si>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</si>
  <si>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</si>
  <si>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</si>
  <si>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</si>
  <si>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</si>
  <si>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</si>
  <si>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</si>
  <si>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</si>
  <si>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</si>
  <si>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</si>
  <si>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</si>
  <si>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</si>
  <si>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</si>
  <si>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</si>
  <si>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</si>
  <si>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</si>
  <si>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</si>
  <si>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</si>
  <si>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北京市海淀区西三旗1811-L04地块B4综合性商业金融服务业用地</t>
  </si>
  <si>
    <t>京土整储挂(海)[2019]015号</t>
  </si>
  <si>
    <t xml:space="preserve"> 西三旗</t>
  </si>
  <si>
    <t xml:space="preserve"> 海淀区西三旗</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</si>
  <si>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</si>
  <si>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</si>
  <si>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</si>
  <si>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</si>
  <si>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海淀区西北旺镇</t>
  </si>
  <si>
    <t xml:space="preserve"> &lt;60米</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</si>
  <si>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</si>
  <si>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</si>
  <si>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</si>
  <si>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</si>
  <si>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</si>
  <si>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</si>
  <si>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</si>
  <si>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</si>
  <si>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</si>
  <si>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</si>
  <si>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</si>
  <si>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详见挂牌文件</t>
  </si>
  <si>
    <t xml:space="preserve"> 北京北辰实业集团有限责任公司  </t>
  </si>
  <si>
    <t xml:space="preserve"> 北辰实业</t>
  </si>
  <si>
    <t>北京市石景山区中关村科技园区石景山园北I区1605-636地块B23研发设计用地</t>
  </si>
  <si>
    <t>京土整储挂(石)[2017]098号</t>
  </si>
  <si>
    <t xml:space="preserve"> 石景山区中关村科技园区石景山园北I区</t>
  </si>
  <si>
    <t xml:space="preserve"> B23研发设计用地</t>
  </si>
  <si>
    <t xml:space="preserve"> ≤18</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</si>
  <si>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</si>
  <si>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</si>
  <si>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</si>
  <si>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</si>
  <si>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</si>
  <si>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≤36</t>
  </si>
  <si>
    <t xml:space="preserve"> 含租赁住房用地</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</si>
  <si>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</si>
  <si>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</si>
  <si>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</si>
  <si>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</si>
  <si>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</si>
  <si>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</si>
  <si>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</si>
  <si>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鲁谷、八宝山</t>
  </si>
  <si>
    <t xml:space="preserve"> 石景山区鲁谷地区</t>
  </si>
  <si>
    <t xml:space="preserve"> ≤80</t>
  </si>
  <si>
    <t xml:space="preserve"> 天安人寿保险股份有限公司 、北京保险产业园投资控股有限责任公司联合体  </t>
  </si>
  <si>
    <t>通州区马驹桥镇YZ00-0606-0014地块</t>
  </si>
  <si>
    <t>京土整储挂(通)[2017]033号</t>
  </si>
  <si>
    <t xml:space="preserve"> 马驹桥</t>
  </si>
  <si>
    <t xml:space="preserve"> 北京通州物流基地内</t>
  </si>
  <si>
    <t xml:space="preserve"> 北京北建通成国际物流有限公司  </t>
  </si>
  <si>
    <t>顺义区高丽营镇02-08-01、02-08-02地块</t>
  </si>
  <si>
    <t>京土整储挂(顺)[2017]032号</t>
  </si>
  <si>
    <t xml:space="preserve"> 顺义区</t>
  </si>
  <si>
    <t xml:space="preserve"> 高丽营</t>
  </si>
  <si>
    <t xml:space="preserve"> 顺义区高丽营镇西北部</t>
  </si>
  <si>
    <t xml:space="preserve"> 北京首都开发股份有限公司 、北京富力通达房地产开发有限公司联合体  </t>
  </si>
  <si>
    <t xml:space="preserve"> 首开股份,富力地产</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</si>
  <si>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</si>
  <si>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</si>
  <si>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</si>
  <si>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</si>
  <si>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</si>
  <si>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</si>
  <si>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</si>
  <si>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</si>
  <si>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</si>
  <si>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</si>
  <si>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</si>
  <si>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天津金地华府置业有限公司  </t>
  </si>
  <si>
    <t xml:space="preserve"> 金地集团</t>
  </si>
  <si>
    <t>朝阳区金盏乡楼梓庄村1113-603地块</t>
  </si>
  <si>
    <t>京土整储挂(朝)[2017]006号</t>
  </si>
  <si>
    <t xml:space="preserve"> 朝阳区金盏乡楼梓庄村</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</si>
  <si>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</si>
  <si>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</si>
  <si>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</si>
  <si>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</si>
  <si>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</si>
  <si>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</si>
  <si>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石景山区实兴大街(中关村科技园区石景山园北I区)1605-639、649地块</t>
  </si>
  <si>
    <t>京土整储挂(石)[2016]025号</t>
  </si>
  <si>
    <t xml:space="preserve"> 石景山区实兴大街范围内</t>
  </si>
  <si>
    <t xml:space="preserve"> 北京保险产业园投资控股有限责任公司  </t>
  </si>
  <si>
    <t>石景山区实兴大街(中关村科技园区石景山园北I区)1605-637、641地块</t>
  </si>
  <si>
    <t>京土整储挂(石)[2016]024号</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</si>
  <si>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</si>
  <si>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</si>
  <si>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</si>
  <si>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</si>
  <si>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</si>
  <si>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</si>
  <si>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</si>
  <si>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“海淀北部地区整体开发”范围内</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</si>
  <si>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</si>
  <si>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</si>
  <si>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</si>
  <si>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</si>
  <si>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</si>
  <si>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</si>
  <si>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北京城建投资发展股份有限公司 、北京新奥集团有限公司联合体  </t>
  </si>
  <si>
    <t>顺义区李桥镇SY00-0029-6012地块</t>
  </si>
  <si>
    <t>京土整储挂(顺)[2015]079号</t>
  </si>
  <si>
    <t xml:space="preserve"> 天竺</t>
  </si>
  <si>
    <t xml:space="preserve"> 顺义区李桥镇</t>
  </si>
  <si>
    <t xml:space="preserve"> 深耕拓展投资(北京)有限公司  </t>
  </si>
  <si>
    <t xml:space="preserve"> 当代置业</t>
  </si>
  <si>
    <t>石景山区苹果园交通枢纽M、N地块</t>
  </si>
  <si>
    <t>京土整储挂(石)[2015]061号</t>
  </si>
  <si>
    <t xml:space="preserve"> 石景山区苹果园</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</si>
  <si>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</si>
  <si>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</si>
  <si>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</si>
  <si>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</si>
  <si>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北七家</t>
  </si>
  <si>
    <t xml:space="preserve"> 昌平区北七家镇</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</si>
  <si>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</si>
  <si>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</si>
  <si>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</si>
  <si>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</si>
  <si>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海淀区“海淀北部地区整体开发”范围内</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</si>
  <si>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</si>
  <si>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</si>
  <si>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</si>
  <si>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</si>
  <si>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</si>
  <si>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</si>
  <si>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</si>
  <si>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</si>
  <si>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 xml:space="preserve"> 石景山区实兴大街</t>
  </si>
  <si>
    <t>朝阳区黑庄户乡黑庄户村32-125地块</t>
  </si>
  <si>
    <t>京土整储挂(朝)[2015]032号</t>
  </si>
  <si>
    <t xml:space="preserve"> 豆各庄、黑庄户</t>
  </si>
  <si>
    <t xml:space="preserve"> 朝阳区黑庄户乡黑庄户村</t>
  </si>
  <si>
    <t xml:space="preserve"> 北京农产品中央物流园有限公司  </t>
  </si>
  <si>
    <t>通州区宋庄镇0301-1201地块</t>
  </si>
  <si>
    <t>京土整储挂(通)[2015]012号</t>
  </si>
  <si>
    <t xml:space="preserve"> 宋庄</t>
  </si>
  <si>
    <t xml:space="preserve"> 通州区宋庄镇</t>
  </si>
  <si>
    <t xml:space="preserve"> F3其它类多功能用地</t>
  </si>
  <si>
    <t xml:space="preserve"> 北京市文化置业有限公司  </t>
  </si>
  <si>
    <t xml:space="preserve"> 商业40年、综合50年</t>
  </si>
  <si>
    <t>顺义区赵全营镇板桥村F2-01地块</t>
  </si>
  <si>
    <t>京土整储挂(顺)[2015]006号</t>
  </si>
  <si>
    <t xml:space="preserve"> 赵全营</t>
  </si>
  <si>
    <t xml:space="preserve"> 顺义区赵全营镇板桥村</t>
  </si>
  <si>
    <t xml:space="preserve"> 北京郎园置业有限公司  </t>
  </si>
  <si>
    <t xml:space="preserve"> 首创置业</t>
  </si>
  <si>
    <t>顺义区顺义新城26街区SY00-0026-6001、6003地块</t>
  </si>
  <si>
    <t>京土整储挂(顺)[2015]005号</t>
  </si>
  <si>
    <t xml:space="preserve"> 南法信</t>
  </si>
  <si>
    <t xml:space="preserve"> 顺义新城第26街区</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</si>
  <si>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</si>
  <si>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</si>
  <si>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</si>
  <si>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r>
      <t>B23</t>
    </r>
    <r>
      <rPr>
        <sz val="11"/>
        <rFont val="宋体"/>
        <family val="3"/>
        <charset val="134"/>
      </rPr>
      <t>研发</t>
    </r>
    <phoneticPr fontId="30" type="noConversion"/>
  </si>
  <si>
    <r>
      <t>F3</t>
    </r>
    <r>
      <rPr>
        <sz val="11"/>
        <rFont val="宋体"/>
        <family val="3"/>
        <charset val="134"/>
      </rPr>
      <t>其他多功能</t>
    </r>
    <phoneticPr fontId="30" type="noConversion"/>
  </si>
  <si>
    <t>B23研发</t>
  </si>
  <si>
    <t>正常</t>
  </si>
  <si>
    <t>F3其他多功能</t>
  </si>
  <si>
    <t>综合</t>
  </si>
  <si>
    <t>较好</t>
  </si>
  <si>
    <t>一般</t>
  </si>
  <si>
    <t>好</t>
  </si>
  <si>
    <t>七通</t>
  </si>
  <si>
    <t>较规则</t>
  </si>
  <si>
    <t>较规则</t>
    <phoneticPr fontId="30" type="noConversion"/>
  </si>
  <si>
    <t>较适宜</t>
  </si>
  <si>
    <t>较适宜</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</si>
  <si>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</si>
  <si>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</si>
  <si>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</si>
  <si>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</si>
  <si>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</si>
  <si>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</si>
  <si>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</si>
  <si>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全部缴纳</t>
  </si>
  <si>
    <t>已包含在土地取得成本中</t>
  </si>
  <si>
    <t>总价</t>
  </si>
  <si>
    <t>成本比率</t>
  </si>
  <si>
    <r>
      <t>2021</t>
    </r>
    <r>
      <rPr>
        <b/>
        <sz val="10"/>
        <color theme="5" tint="0.79998168889431442"/>
        <rFont val="宋体"/>
        <family val="3"/>
        <charset val="134"/>
      </rPr>
      <t>年报告</t>
    </r>
    <phoneticPr fontId="8" type="noConversion"/>
  </si>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</sst>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b/>
      <sz val="10"/>
      <color theme="5" tint="0.79998168889431442"/>
      <name val="Arial"/>
      <family val="2"/>
    </font>
    <font>
      <b/>
      <sz val="10"/>
      <color theme="5" tint="0.7999816888943144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270" fillId="0" borderId="0" xfId="0" applyNumberFormat="1" applyFont="1" applyAlignment="1"/>
    <xf numFmtId="14" fontId="271" fillId="0" borderId="0" xfId="0" applyNumberFormat="1" applyFont="1" applyAlignment="1"/>
    <xf numFmtId="0" fontId="271" fillId="0" borderId="0" xfId="0" applyNumberFormat="1" applyFont="1" applyAlignment="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2" fillId="7"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估价对象为北京市房地产，为所有。根据《国有土地使用证》[]，估价对象（分摊）出让国有建设用地使用权面积为41486.36平方米，建筑面积为131855.63平方米。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估价对象为北京市房地产,属开发建设的，该项目尚在开发建设中。根据《国有土地使用证》[]，估价对象（分摊）出让国有建设用地使用权面积为41486.36平方米，规划建筑面积为131855.63平方米。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2023年1月3日（评估专业人员实地查勘之日）</v>
      </c>
    </row>
    <row r="13" spans="1:2" s="1202" customFormat="1">
      <c r="A13" s="1200" t="s">
        <v>529</v>
      </c>
      <c r="B13" s="1201"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221170</v>
      </c>
    </row>
    <row r="21" spans="1:2" s="1202" customFormat="1">
      <c r="A21" s="1200" t="s">
        <v>537</v>
      </c>
      <c r="B21" s="1201">
        <f ca="1">'预评函-2'!D7</f>
        <v>16774</v>
      </c>
    </row>
    <row r="22" spans="1:2" s="1202" customFormat="1">
      <c r="A22" s="1200" t="s">
        <v>538</v>
      </c>
      <c r="B22" s="1201" t="str">
        <f ca="1">'预评函-2'!D6</f>
        <v>贰拾贰亿壹仟壹佰柒拾万元整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221170</v>
      </c>
    </row>
    <row r="31" spans="1:2" s="1202" customFormat="1">
      <c r="A31" s="1200" t="s">
        <v>576</v>
      </c>
      <c r="B31" s="1201">
        <f ca="1">'预评函-2'!D15</f>
        <v>16774</v>
      </c>
    </row>
    <row r="32" spans="1:2" s="1202" customFormat="1">
      <c r="A32" s="1200" t="s">
        <v>543</v>
      </c>
      <c r="B32" s="1201" t="str">
        <f ca="1">'预评函-2'!D14</f>
        <v>贰拾贰亿壹仟壹佰柒拾万元整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131855.63</v>
      </c>
    </row>
    <row r="44" spans="1:2" s="1202" customFormat="1">
      <c r="A44" s="1200" t="s">
        <v>575</v>
      </c>
      <c r="B44" s="1201" t="str">
        <f>'预评函-3'!C2</f>
        <v>(分摊)土地面积</v>
      </c>
    </row>
    <row r="45" spans="1:2" s="1202" customFormat="1">
      <c r="A45" s="1200" t="s">
        <v>547</v>
      </c>
      <c r="B45" s="1201">
        <f>'预评函-3'!C4</f>
        <v>41486.36</v>
      </c>
    </row>
    <row r="46" spans="1:2" s="1202" customFormat="1">
      <c r="A46" s="1200" t="s">
        <v>573</v>
      </c>
      <c r="B46" s="1201" t="str">
        <f>'预评函-3'!D2</f>
        <v>出让国有建设用地使用权价值</v>
      </c>
    </row>
    <row r="47" spans="1:2" s="1202" customFormat="1">
      <c r="A47" s="1200" t="s">
        <v>548</v>
      </c>
      <c r="B47" s="1201">
        <f ca="1">'预评函-3'!D4</f>
        <v>161233</v>
      </c>
    </row>
    <row r="48" spans="1:2" s="1202" customFormat="1">
      <c r="A48" s="1200" t="s">
        <v>549</v>
      </c>
      <c r="B48" s="1201">
        <f ca="1">'预评函-3'!E4</f>
        <v>12228</v>
      </c>
    </row>
    <row r="49" spans="1:2" s="1202" customFormat="1">
      <c r="A49" s="1200" t="s">
        <v>550</v>
      </c>
      <c r="B49" s="1201" t="str">
        <f ca="1">'预评函-3'!D5</f>
        <v>壹拾陆亿壹仟贰佰叁拾叁万元整</v>
      </c>
    </row>
    <row r="50" spans="1:2" s="1202" customFormat="1">
      <c r="A50" s="1200" t="s">
        <v>574</v>
      </c>
      <c r="B50" s="1201" t="str">
        <f>'预评函-3'!F2</f>
        <v>在建建筑物价值</v>
      </c>
    </row>
    <row r="51" spans="1:2" s="1202" customFormat="1">
      <c r="A51" s="1200" t="s">
        <v>551</v>
      </c>
      <c r="B51" s="1201">
        <f ca="1">'预评函-3'!F4</f>
        <v>59937</v>
      </c>
    </row>
    <row r="52" spans="1:2" s="1202" customFormat="1">
      <c r="A52" s="1200" t="s">
        <v>552</v>
      </c>
      <c r="B52" s="1201">
        <f ca="1">'预评函-3'!G4</f>
        <v>4546</v>
      </c>
    </row>
    <row r="53" spans="1:2" s="1202" customFormat="1">
      <c r="A53" s="1200" t="s">
        <v>580</v>
      </c>
      <c r="B53" s="1201" t="str">
        <f ca="1">'预评函-3'!F5</f>
        <v>伍亿玖仟玖佰叁拾柒万元整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1" activeCellId="1" sqref="E26 H4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3394</v>
      </c>
      <c r="C5" s="1546" t="s">
        <v>318</v>
      </c>
      <c r="F5" s="1547" t="s">
        <v>1015</v>
      </c>
      <c r="G5" s="1547">
        <v>70</v>
      </c>
      <c r="H5" s="1547" t="s">
        <v>1016</v>
      </c>
      <c r="I5" s="1547" t="s">
        <v>3347</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3348</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3349</v>
      </c>
    </row>
    <row r="8" spans="1:23">
      <c r="A8" s="1545" t="s">
        <v>1025</v>
      </c>
      <c r="B8" s="1545" t="s">
        <v>1026</v>
      </c>
      <c r="C8" s="1546" t="s">
        <v>319</v>
      </c>
      <c r="F8" s="1547" t="s">
        <v>1027</v>
      </c>
      <c r="H8" s="1547" t="s">
        <v>2578</v>
      </c>
      <c r="I8" s="1547" t="s">
        <v>3350</v>
      </c>
    </row>
    <row r="9" spans="1:23">
      <c r="A9" s="1545" t="s">
        <v>1028</v>
      </c>
      <c r="B9" s="1545" t="s">
        <v>1029</v>
      </c>
      <c r="C9" s="1546" t="s">
        <v>320</v>
      </c>
      <c r="F9" s="1547" t="s">
        <v>1030</v>
      </c>
      <c r="H9" s="1547"/>
      <c r="I9" s="1550" t="s">
        <v>3351</v>
      </c>
    </row>
    <row r="10" spans="1:23">
      <c r="A10" s="1545" t="s">
        <v>1031</v>
      </c>
      <c r="B10" s="1545" t="s">
        <v>1032</v>
      </c>
      <c r="C10" s="1546" t="s">
        <v>321</v>
      </c>
      <c r="F10" s="1547" t="s">
        <v>2579</v>
      </c>
      <c r="I10" s="1550" t="s">
        <v>3352</v>
      </c>
    </row>
    <row r="11" spans="1:23">
      <c r="A11" s="1545" t="s">
        <v>1033</v>
      </c>
      <c r="B11" s="1545" t="s">
        <v>1034</v>
      </c>
      <c r="C11" s="1546" t="s">
        <v>322</v>
      </c>
      <c r="F11" s="1547" t="s">
        <v>13</v>
      </c>
      <c r="I11" s="1550" t="s">
        <v>3353</v>
      </c>
    </row>
    <row r="12" spans="1:23">
      <c r="A12" s="1545" t="s">
        <v>1035</v>
      </c>
      <c r="B12" s="1545" t="s">
        <v>1036</v>
      </c>
      <c r="C12" s="1546" t="s">
        <v>323</v>
      </c>
      <c r="I12" s="1550" t="s">
        <v>3354</v>
      </c>
    </row>
    <row r="13" spans="1:23">
      <c r="A13" s="1545" t="s">
        <v>1037</v>
      </c>
      <c r="B13" s="1545" t="s">
        <v>1038</v>
      </c>
      <c r="C13" s="1546" t="s">
        <v>324</v>
      </c>
      <c r="I13" s="1550" t="s">
        <v>3355</v>
      </c>
    </row>
    <row r="14" spans="1:23">
      <c r="A14" s="1545" t="s">
        <v>1039</v>
      </c>
      <c r="B14" s="1545" t="s">
        <v>1040</v>
      </c>
      <c r="C14" s="1547" t="s">
        <v>13</v>
      </c>
      <c r="I14" s="1550" t="s">
        <v>3356</v>
      </c>
    </row>
    <row r="15" spans="1:23">
      <c r="A15" s="1545" t="s">
        <v>1041</v>
      </c>
      <c r="B15" s="1545" t="s">
        <v>1042</v>
      </c>
      <c r="C15" s="1546"/>
      <c r="I15" s="1550" t="s">
        <v>3357</v>
      </c>
    </row>
    <row r="16" spans="1:23">
      <c r="A16" s="1545" t="s">
        <v>1043</v>
      </c>
      <c r="B16" s="1545" t="s">
        <v>312</v>
      </c>
      <c r="C16" s="1546"/>
    </row>
    <row r="17" spans="1:3">
      <c r="A17" s="1545" t="s">
        <v>1044</v>
      </c>
      <c r="B17" s="1545" t="s">
        <v>2291</v>
      </c>
      <c r="C17" s="1546"/>
    </row>
    <row r="18" spans="1:3">
      <c r="A18" s="1545" t="s">
        <v>1045</v>
      </c>
      <c r="B18" s="1545" t="s">
        <v>2434</v>
      </c>
      <c r="C18" s="1546"/>
    </row>
    <row r="19" spans="1:3">
      <c r="A19" s="1545" t="s">
        <v>1046</v>
      </c>
      <c r="B19" s="1548" t="s">
        <v>3396</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8" t="s">
        <v>2594</v>
      </c>
      <c r="J1" s="3226"/>
      <c r="K1" s="3226"/>
      <c r="L1" s="3226"/>
      <c r="M1" s="3226"/>
      <c r="N1" s="3439"/>
      <c r="O1" s="3439"/>
      <c r="P1" s="3439"/>
      <c r="Q1" s="3439"/>
      <c r="R1" s="3439"/>
    </row>
    <row r="2" spans="1:18">
      <c r="A2" s="3016"/>
      <c r="B2" s="3017"/>
      <c r="C2" s="3017"/>
      <c r="D2" s="3017"/>
      <c r="E2" s="3017"/>
      <c r="F2" s="3018"/>
      <c r="I2" s="3510" t="s">
        <v>2581</v>
      </c>
      <c r="J2" s="3510"/>
      <c r="K2" s="3510"/>
      <c r="L2" s="3510"/>
      <c r="M2" s="3510"/>
      <c r="N2" s="3510"/>
      <c r="O2" s="3510"/>
      <c r="P2" s="3510"/>
      <c r="Q2" s="3510"/>
      <c r="R2" s="3510"/>
    </row>
    <row r="3" spans="1:18">
      <c r="A3" s="3019" t="s">
        <v>2502</v>
      </c>
      <c r="B3" s="3020">
        <f>项目基本情况!D3</f>
        <v>44929</v>
      </c>
      <c r="C3" s="3022"/>
      <c r="D3" s="3022"/>
      <c r="E3" s="3022"/>
      <c r="F3" s="3018"/>
      <c r="I3" s="3440"/>
      <c r="J3" s="3440" t="s">
        <v>2585</v>
      </c>
      <c r="K3" s="3440" t="s">
        <v>2586</v>
      </c>
      <c r="L3" s="3440" t="s">
        <v>2587</v>
      </c>
      <c r="M3" s="3440" t="s">
        <v>2588</v>
      </c>
      <c r="N3" s="3441" t="s">
        <v>2589</v>
      </c>
      <c r="O3" s="3441" t="s">
        <v>2590</v>
      </c>
      <c r="P3" s="3441" t="s">
        <v>2591</v>
      </c>
      <c r="Q3" s="3441" t="s">
        <v>2592</v>
      </c>
      <c r="R3" s="3441" t="s">
        <v>2593</v>
      </c>
    </row>
    <row r="4" spans="1:18">
      <c r="A4" s="3019" t="s">
        <v>2503</v>
      </c>
      <c r="B4" s="3022" t="s">
        <v>2504</v>
      </c>
      <c r="C4" s="3022" t="s">
        <v>2505</v>
      </c>
      <c r="D4" s="3022" t="s">
        <v>2506</v>
      </c>
      <c r="E4" s="3022" t="s">
        <v>2507</v>
      </c>
      <c r="F4" s="3018"/>
      <c r="I4" s="3440" t="s">
        <v>2582</v>
      </c>
      <c r="J4" s="3440">
        <v>80</v>
      </c>
      <c r="K4" s="3440">
        <v>70</v>
      </c>
      <c r="L4" s="3440">
        <v>20</v>
      </c>
      <c r="M4" s="3440">
        <v>30</v>
      </c>
      <c r="N4" s="3022">
        <v>45</v>
      </c>
      <c r="O4" s="3022">
        <v>60</v>
      </c>
      <c r="P4" s="3022">
        <v>50</v>
      </c>
      <c r="Q4" s="3022">
        <v>20</v>
      </c>
      <c r="R4" s="3022">
        <v>375</v>
      </c>
    </row>
    <row r="5" spans="1:18">
      <c r="A5" s="3023">
        <v>40</v>
      </c>
      <c r="B5" s="3020">
        <v>46375</v>
      </c>
      <c r="C5" s="3022">
        <f>ROUNDDOWN(MIN((B5-B3)/365,A5),2)</f>
        <v>3.96</v>
      </c>
      <c r="D5" s="3024">
        <f>IF(ISERROR(ROUND(POWER(1+E5,A5-C5)*(POWER(1+E5,C5)-1)/(POWER(1+E5,A5)-1),3)),0,ROUND(POWER(1+E5,A5-C5)*(POWER(1+E5,C5)-1)/(POWER(1+E5,A5)-1),4))</f>
        <v>0.1817</v>
      </c>
      <c r="E5" s="3025">
        <v>0.04</v>
      </c>
      <c r="F5" s="3018"/>
      <c r="I5" s="3440" t="s">
        <v>2583</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2584</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9" sqref="J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v>44929</v>
      </c>
      <c r="C3" s="2373" t="s">
        <v>2169</v>
      </c>
      <c r="D3" s="2372">
        <v>44929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3373</v>
      </c>
      <c r="C8" s="2389"/>
      <c r="D8" s="3522" t="s">
        <v>2175</v>
      </c>
      <c r="E8" s="2390" t="s">
        <v>3374</v>
      </c>
      <c r="F8" s="2391"/>
      <c r="G8" s="2662"/>
      <c r="H8" s="2662"/>
      <c r="I8" s="2662"/>
      <c r="J8" s="2438"/>
      <c r="K8" s="2613"/>
      <c r="L8" s="2612"/>
      <c r="M8" s="2612"/>
      <c r="N8" s="2438"/>
      <c r="O8" s="2449"/>
      <c r="P8" s="2438"/>
      <c r="Q8" s="2438"/>
      <c r="R8" s="2438"/>
    </row>
    <row r="9" spans="1:30" ht="13.5" thickBot="1">
      <c r="A9" s="2392" t="s">
        <v>2176</v>
      </c>
      <c r="B9" s="2393" t="s">
        <v>3374</v>
      </c>
      <c r="C9" s="2394"/>
      <c r="D9" s="3523"/>
      <c r="E9" s="2393"/>
      <c r="F9" s="2395"/>
      <c r="G9" s="2664"/>
      <c r="H9" s="2664"/>
      <c r="I9" s="2664"/>
      <c r="J9" s="2438"/>
      <c r="K9" s="2615"/>
      <c r="L9" s="2612"/>
      <c r="M9" s="2612"/>
      <c r="N9" s="2438"/>
      <c r="O9" s="2449"/>
      <c r="P9" s="2438"/>
      <c r="Q9" s="2438"/>
      <c r="R9" s="2438"/>
    </row>
    <row r="10" spans="1:30" ht="13.5" thickTop="1">
      <c r="A10" s="2396" t="s">
        <v>2177</v>
      </c>
      <c r="B10" s="2397" t="s">
        <v>3375</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3376</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2577</v>
      </c>
      <c r="J12" s="3061"/>
      <c r="K12" s="2612"/>
      <c r="L12" s="2612"/>
      <c r="M12" s="2438"/>
      <c r="N12" s="2449"/>
      <c r="O12" s="2438"/>
      <c r="P12" s="2438"/>
      <c r="Q12" s="2438"/>
      <c r="AD12" s="1744"/>
    </row>
    <row r="13" spans="1:30">
      <c r="A13" s="3424" t="s">
        <v>3339</v>
      </c>
      <c r="B13" s="2406" t="s">
        <v>2188</v>
      </c>
      <c r="C13" s="856"/>
      <c r="D13" s="856"/>
      <c r="E13" s="856">
        <v>60490</v>
      </c>
      <c r="F13" s="856">
        <v>60490</v>
      </c>
      <c r="G13" s="856"/>
      <c r="H13" s="856"/>
      <c r="I13" s="856"/>
      <c r="J13" s="3061"/>
      <c r="K13" s="2612"/>
      <c r="L13" s="2612"/>
      <c r="M13" s="2438"/>
      <c r="N13" s="2449"/>
      <c r="O13" s="2438"/>
      <c r="P13" s="2438"/>
      <c r="Q13" s="2438"/>
      <c r="AD13" s="1744"/>
    </row>
    <row r="14" spans="1:30">
      <c r="A14" s="1081"/>
      <c r="B14" s="2406" t="s">
        <v>2189</v>
      </c>
      <c r="C14" s="2407"/>
      <c r="D14" s="2407"/>
      <c r="E14" s="2407">
        <v>50</v>
      </c>
      <c r="F14" s="2407">
        <v>50</v>
      </c>
      <c r="G14" s="2407"/>
      <c r="H14" s="2407"/>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f>IF(A13="出让",IF(E13="","",ROUNDDOWN(MIN((E13-$D$3)/365,E14),2)),E14)</f>
        <v>42.63</v>
      </c>
      <c r="F15" s="2409">
        <f>IF(A13="出让",IF(F13="","",ROUNDDOWN(MIN((F13-$D$3)/365,F14),2)),F14)</f>
        <v>42.63</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29"/>
      <c r="C16" s="3530"/>
      <c r="D16" s="3531"/>
      <c r="E16" s="2412" t="s">
        <v>2192</v>
      </c>
      <c r="F16" s="3532"/>
      <c r="G16" s="3533"/>
      <c r="H16" s="3533"/>
      <c r="I16" s="3534"/>
      <c r="J16" s="2438"/>
      <c r="K16" s="2616"/>
      <c r="L16" s="2450"/>
      <c r="M16" s="2450"/>
      <c r="N16" s="2508"/>
      <c r="O16" s="2450"/>
      <c r="P16" s="2508"/>
      <c r="Q16" s="2438"/>
      <c r="R16" s="2438"/>
    </row>
    <row r="17" spans="1:28">
      <c r="A17" s="313" t="s">
        <v>2193</v>
      </c>
      <c r="B17" s="302" t="s">
        <v>2194</v>
      </c>
      <c r="C17" s="8">
        <f>'数据-汇总表'!E3</f>
        <v>131855.63</v>
      </c>
      <c r="D17" s="2321" t="s">
        <v>2195</v>
      </c>
      <c r="E17" s="3535" t="s">
        <v>2196</v>
      </c>
      <c r="F17" s="3536"/>
      <c r="G17" s="3536"/>
      <c r="H17" s="3536"/>
      <c r="I17" s="3537"/>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41486.36</v>
      </c>
      <c r="D18" s="1092" t="s">
        <v>2199</v>
      </c>
      <c r="E18" s="3538" t="s">
        <v>2200</v>
      </c>
      <c r="F18" s="3539"/>
      <c r="G18" s="3539"/>
      <c r="H18" s="3539"/>
      <c r="I18" s="3540"/>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25" t="s">
        <v>2204</v>
      </c>
      <c r="C20" s="3526"/>
      <c r="D20" s="3527" t="s">
        <v>2205</v>
      </c>
      <c r="E20" s="3528"/>
      <c r="F20" s="2646" t="s">
        <v>1055</v>
      </c>
      <c r="G20" s="2663"/>
      <c r="H20" s="2663"/>
      <c r="I20" s="2663"/>
      <c r="J20" s="2438"/>
      <c r="K20" s="3524"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2"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2"/>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2"/>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3"/>
      <c r="B30" s="302" t="s">
        <v>2216</v>
      </c>
      <c r="C30" s="3514"/>
      <c r="D30" s="3515"/>
      <c r="E30" s="2663"/>
      <c r="F30" s="2663"/>
      <c r="G30" s="2663"/>
      <c r="H30" s="2663"/>
      <c r="I30" s="2663"/>
      <c r="J30" s="2438"/>
      <c r="K30" s="2615"/>
      <c r="L30" s="2612"/>
      <c r="M30" s="2612"/>
      <c r="N30" s="2438"/>
      <c r="O30" s="2449"/>
      <c r="P30" s="2438"/>
      <c r="Q30" s="2438"/>
      <c r="R30" s="2438"/>
      <c r="S30" s="2438"/>
      <c r="T30" s="2438"/>
      <c r="U30" s="2438"/>
      <c r="V30" s="2438"/>
    </row>
    <row r="31" spans="1:28">
      <c r="A31" s="3516"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11" t="s">
        <v>2226</v>
      </c>
      <c r="T34" s="2427" t="str">
        <f>NUMBERSTRING(7-K34,1)&amp;"通"</f>
        <v>七通</v>
      </c>
      <c r="U34" s="2438"/>
      <c r="V34" s="2438"/>
    </row>
    <row r="35" spans="1:30">
      <c r="A35" s="2428"/>
      <c r="B35" s="3518" t="s">
        <v>2227</v>
      </c>
      <c r="C35" s="3518"/>
      <c r="D35" s="3518"/>
      <c r="E35" s="351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2580</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304</v>
      </c>
      <c r="D37" s="2430" t="s">
        <v>304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285</v>
      </c>
      <c r="D38" s="2431" t="s">
        <v>285</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hidden="1" customWidth="1"/>
    <col min="11" max="11" width="11" style="1572" customWidth="1"/>
    <col min="12" max="12" width="9.5" style="1572" hidden="1" customWidth="1"/>
    <col min="13" max="13" width="9.5" style="1572" customWidth="1"/>
    <col min="14"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56732.22</v>
      </c>
      <c r="B3" s="11">
        <f>IF(C3="否",G5-AT5,G5)</f>
        <v>180311.38</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180311.38</v>
      </c>
      <c r="H5" s="13">
        <f t="shared" ref="H5:AT5" si="0">SUM(H13:H656)</f>
        <v>172670.81</v>
      </c>
      <c r="I5" s="13">
        <f t="shared" si="0"/>
        <v>122974.56</v>
      </c>
      <c r="J5" s="13">
        <f t="shared" si="0"/>
        <v>0</v>
      </c>
      <c r="K5" s="13">
        <f t="shared" si="0"/>
        <v>32607.03</v>
      </c>
      <c r="L5" s="13">
        <f t="shared" si="0"/>
        <v>0</v>
      </c>
      <c r="M5" s="13">
        <f t="shared" si="0"/>
        <v>17089.22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7640.5700000000006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1768.01</v>
      </c>
      <c r="AM5" s="13">
        <f t="shared" si="0"/>
        <v>0</v>
      </c>
      <c r="AN5" s="13">
        <f t="shared" si="0"/>
        <v>5872.5599999999995</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131855.63</v>
      </c>
      <c r="BA5" s="15">
        <f t="shared" si="1"/>
        <v>127752.53</v>
      </c>
      <c r="BB5" s="15">
        <f t="shared" si="1"/>
        <v>78056.28</v>
      </c>
      <c r="BC5" s="15">
        <f t="shared" si="1"/>
        <v>32607.03</v>
      </c>
      <c r="BD5" s="15">
        <f t="shared" si="1"/>
        <v>17089.22</v>
      </c>
      <c r="BE5" s="15">
        <f t="shared" si="1"/>
        <v>0</v>
      </c>
      <c r="BF5" s="15">
        <f t="shared" si="1"/>
        <v>0</v>
      </c>
      <c r="BG5" s="15">
        <f t="shared" si="1"/>
        <v>0</v>
      </c>
      <c r="BH5" s="15">
        <f t="shared" si="1"/>
        <v>0</v>
      </c>
      <c r="BI5" s="15">
        <f t="shared" si="1"/>
        <v>0</v>
      </c>
      <c r="BJ5" s="15">
        <f t="shared" si="1"/>
        <v>0</v>
      </c>
      <c r="BK5" s="15">
        <f t="shared" si="1"/>
        <v>0</v>
      </c>
      <c r="BL5" s="15">
        <f t="shared" si="1"/>
        <v>4103.1000000000004</v>
      </c>
      <c r="BM5" s="15">
        <f t="shared" si="1"/>
        <v>0</v>
      </c>
      <c r="BN5" s="15">
        <f t="shared" si="1"/>
        <v>0</v>
      </c>
      <c r="BO5" s="15">
        <f t="shared" si="1"/>
        <v>0</v>
      </c>
      <c r="BP5" s="15">
        <f t="shared" si="1"/>
        <v>0</v>
      </c>
      <c r="BQ5" s="15">
        <f t="shared" si="1"/>
        <v>968.61</v>
      </c>
      <c r="BR5" s="15">
        <f t="shared" si="1"/>
        <v>3134.4900000000002</v>
      </c>
      <c r="BS5" s="15">
        <f t="shared" si="1"/>
        <v>0</v>
      </c>
      <c r="BT5" s="16">
        <f t="shared" si="1"/>
        <v>0</v>
      </c>
    </row>
    <row r="6" spans="1:72" s="1588" customFormat="1" ht="12.75">
      <c r="A6" s="12" t="s">
        <v>1071</v>
      </c>
      <c r="B6" s="1585"/>
      <c r="C6" s="1585"/>
      <c r="D6" s="1586"/>
      <c r="E6" s="13">
        <f>H6+AC6+AT6</f>
        <v>56732.219999999994</v>
      </c>
      <c r="F6" s="13" t="s">
        <v>0</v>
      </c>
      <c r="G6" s="13" t="s">
        <v>1</v>
      </c>
      <c r="H6" s="17">
        <f>SUMIF(I$12:AB$12,"总值",I6:AB6)</f>
        <v>54328.229999999996</v>
      </c>
      <c r="I6" s="13">
        <f t="shared" ref="I6:AB6" si="2">ROUND($A$3*I5/$B$3,2)</f>
        <v>38692.07</v>
      </c>
      <c r="J6" s="13">
        <f t="shared" si="2"/>
        <v>0</v>
      </c>
      <c r="K6" s="13">
        <f t="shared" si="2"/>
        <v>10259.299999999999</v>
      </c>
      <c r="L6" s="13">
        <f t="shared" si="2"/>
        <v>0</v>
      </c>
      <c r="M6" s="13">
        <f t="shared" si="2"/>
        <v>5376.86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2403.9899999999998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556.28</v>
      </c>
      <c r="AM6" s="13">
        <f t="shared" si="3"/>
        <v>0</v>
      </c>
      <c r="AN6" s="13">
        <f t="shared" si="3"/>
        <v>1847.71</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41486.36</v>
      </c>
      <c r="AZ6" s="13" t="s">
        <v>2</v>
      </c>
      <c r="BA6" s="13">
        <f>ROUND($AY$6*BA5/$AZ$5,2)</f>
        <v>40195.379999999997</v>
      </c>
      <c r="BB6" s="13">
        <f>ROUND($AY$6*BB5/$AZ$5,2)</f>
        <v>24559.22</v>
      </c>
      <c r="BC6" s="13">
        <f t="shared" ref="BC6:BH6" si="4">ROUND($AY$6*BC5/$AZ$5,2)</f>
        <v>10259.299999999999</v>
      </c>
      <c r="BD6" s="13">
        <f t="shared" si="4"/>
        <v>5376.86</v>
      </c>
      <c r="BE6" s="13">
        <f t="shared" si="4"/>
        <v>0</v>
      </c>
      <c r="BF6" s="13">
        <f t="shared" si="4"/>
        <v>0</v>
      </c>
      <c r="BG6" s="13">
        <f t="shared" si="4"/>
        <v>0</v>
      </c>
      <c r="BH6" s="13">
        <f t="shared" si="4"/>
        <v>0</v>
      </c>
      <c r="BI6" s="13">
        <f t="shared" ref="BI6:BT6" si="5">ROUND($AY$6*BI5/$AZ$5,2)</f>
        <v>0</v>
      </c>
      <c r="BJ6" s="13">
        <f t="shared" si="5"/>
        <v>0</v>
      </c>
      <c r="BK6" s="13">
        <f t="shared" si="5"/>
        <v>0</v>
      </c>
      <c r="BL6" s="13">
        <f t="shared" si="5"/>
        <v>1290.98</v>
      </c>
      <c r="BM6" s="13">
        <f t="shared" si="5"/>
        <v>0</v>
      </c>
      <c r="BN6" s="13">
        <f t="shared" si="5"/>
        <v>0</v>
      </c>
      <c r="BO6" s="13">
        <f t="shared" si="5"/>
        <v>0</v>
      </c>
      <c r="BP6" s="13">
        <f t="shared" si="5"/>
        <v>0</v>
      </c>
      <c r="BQ6" s="13">
        <f t="shared" si="5"/>
        <v>304.76</v>
      </c>
      <c r="BR6" s="13">
        <f t="shared" si="5"/>
        <v>986.22</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3386</v>
      </c>
      <c r="J9" s="809"/>
      <c r="K9" s="1602" t="s">
        <v>3388</v>
      </c>
      <c r="L9" s="809"/>
      <c r="M9" s="1602" t="s">
        <v>3388</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3340</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t="s">
        <v>3340</v>
      </c>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t="str">
        <f>K11</f>
        <v>办公楼</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3377</v>
      </c>
      <c r="D13" s="1624" t="s">
        <v>3378</v>
      </c>
      <c r="E13" s="13">
        <f>IF($C$3="是",ROUND($A$3*G13/$B$3,2),ROUND($A$3*(G13-AT13)/$B$3,2))</f>
        <v>4711.04</v>
      </c>
      <c r="F13" s="29"/>
      <c r="G13" s="30">
        <f>H13+AC13+AT13</f>
        <v>14973.039999999999</v>
      </c>
      <c r="H13" s="17">
        <f>SUMIF(I$12:AB$12,"总值",I13:AB13)</f>
        <v>13912.96</v>
      </c>
      <c r="I13" s="1625">
        <v>13912.96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1060.08</v>
      </c>
      <c r="AD13" s="1626"/>
      <c r="AE13" s="1626"/>
      <c r="AF13" s="1626"/>
      <c r="AG13" s="1626"/>
      <c r="AH13" s="1626"/>
      <c r="AI13" s="1626"/>
      <c r="AJ13" s="1626"/>
      <c r="AK13" s="1626"/>
      <c r="AL13" s="1626">
        <v>138.71</v>
      </c>
      <c r="AM13" s="1626"/>
      <c r="AN13" s="1626">
        <v>921.37</v>
      </c>
      <c r="AO13" s="1626"/>
      <c r="AP13" s="1626"/>
      <c r="AQ13" s="1626"/>
      <c r="AR13" s="1626"/>
      <c r="AS13" s="1626"/>
      <c r="AT13" s="1627"/>
      <c r="AU13" s="1628"/>
      <c r="AV13" s="8">
        <f t="shared" ref="AV13:AX17" si="6">A13</f>
        <v>0</v>
      </c>
      <c r="AW13" s="8">
        <f t="shared" si="6"/>
        <v>0</v>
      </c>
      <c r="AX13" s="8" t="str">
        <f t="shared" si="6"/>
        <v>9号院1号楼</v>
      </c>
      <c r="AY13" s="1348">
        <f>ROUND($AY$6*AZ13/$AZ$5,2)</f>
        <v>4711.04</v>
      </c>
      <c r="AZ13" s="13">
        <f>BA13+BL13</f>
        <v>14973.039999999999</v>
      </c>
      <c r="BA13" s="13">
        <f>SUM(BB13:BK13)</f>
        <v>13912.96</v>
      </c>
      <c r="BB13" s="13">
        <f>IF($D13="是",I13-J13,0)</f>
        <v>13912.96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1060.08</v>
      </c>
      <c r="BM13" s="13">
        <f>IF($D13="是",AD13-AE13,0)</f>
        <v>0</v>
      </c>
      <c r="BN13" s="13">
        <f>IF($D13="是",AF13-AG13,0)</f>
        <v>0</v>
      </c>
      <c r="BO13" s="13">
        <f>IF($D13="是",AH13-AI13,0)</f>
        <v>0</v>
      </c>
      <c r="BP13" s="13">
        <f>IF($D13="是",AJ13-AK13,0)</f>
        <v>0</v>
      </c>
      <c r="BQ13" s="13">
        <f>IF($D13="是",AL13-AM13,0)</f>
        <v>138.71</v>
      </c>
      <c r="BR13" s="13">
        <f>IF($D13="是",AN13-AO13,0)</f>
        <v>921.37</v>
      </c>
      <c r="BS13" s="13">
        <f>IF($D13="是",AP13-AQ13,0)</f>
        <v>0</v>
      </c>
      <c r="BT13" s="19">
        <f>IF($D13="是",AR13-AS13,0)</f>
        <v>0</v>
      </c>
    </row>
    <row r="14" spans="1:72" s="1578" customFormat="1" ht="12.75">
      <c r="A14" s="1051"/>
      <c r="B14" s="1051"/>
      <c r="C14" s="1051" t="s">
        <v>3379</v>
      </c>
      <c r="D14" s="1624" t="s">
        <v>3378</v>
      </c>
      <c r="E14" s="13">
        <f>IF($C$3="是",ROUND($A$3*G14/$B$3,2),ROUND($A$3*(G14-AT14)/$B$3,2))</f>
        <v>10464.25</v>
      </c>
      <c r="F14" s="29"/>
      <c r="G14" s="30">
        <f>H14+AC14+AT14</f>
        <v>33258.400000000001</v>
      </c>
      <c r="H14" s="17">
        <f>SUMIF(I$12:AB$12,"总值",I14:AB14)</f>
        <v>31643.040000000001</v>
      </c>
      <c r="I14" s="1625">
        <v>31643.040000000001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1615.3600000000001</v>
      </c>
      <c r="AD14" s="1626"/>
      <c r="AE14" s="1626"/>
      <c r="AF14" s="1626"/>
      <c r="AG14" s="1626"/>
      <c r="AH14" s="1626"/>
      <c r="AI14" s="1626"/>
      <c r="AJ14" s="1626"/>
      <c r="AK14" s="1626"/>
      <c r="AL14" s="1626">
        <v>466.87</v>
      </c>
      <c r="AM14" s="1626"/>
      <c r="AN14" s="1626">
        <v>1148.49</v>
      </c>
      <c r="AO14" s="1626"/>
      <c r="AP14" s="1626"/>
      <c r="AQ14" s="1626"/>
      <c r="AR14" s="1626"/>
      <c r="AS14" s="1626"/>
      <c r="AT14" s="1627"/>
      <c r="AU14" s="1628"/>
      <c r="AV14" s="8">
        <f t="shared" si="6"/>
        <v>0</v>
      </c>
      <c r="AW14" s="8">
        <f t="shared" si="6"/>
        <v>0</v>
      </c>
      <c r="AX14" s="8" t="str">
        <f t="shared" si="6"/>
        <v>9号院2号楼</v>
      </c>
      <c r="AY14" s="1348">
        <f>ROUND($AY$6*AZ14/$AZ$5,2)</f>
        <v>10464.25</v>
      </c>
      <c r="AZ14" s="13">
        <f>BA14+BL14</f>
        <v>33258.400000000001</v>
      </c>
      <c r="BA14" s="13">
        <f>SUM(BB14:BK14)</f>
        <v>31643.040000000001</v>
      </c>
      <c r="BB14" s="13">
        <f>IF($D14="是",I14-J14,0)</f>
        <v>31643.040000000001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1615.3600000000001</v>
      </c>
      <c r="BM14" s="13">
        <f>IF($D14="是",AD14-AE14,0)</f>
        <v>0</v>
      </c>
      <c r="BN14" s="13">
        <f>IF($D14="是",AF14-AG14,0)</f>
        <v>0</v>
      </c>
      <c r="BO14" s="13">
        <f>IF($D14="是",AH14-AI14,0)</f>
        <v>0</v>
      </c>
      <c r="BP14" s="13">
        <f>IF($D14="是",AJ14-AK14,0)</f>
        <v>0</v>
      </c>
      <c r="BQ14" s="13">
        <f>IF($D14="是",AL14-AM14,0)</f>
        <v>466.87</v>
      </c>
      <c r="BR14" s="13">
        <f>IF($D14="是",AN14-AO14,0)</f>
        <v>1148.49</v>
      </c>
      <c r="BS14" s="13">
        <f>IF($D14="是",AP14-AQ14,0)</f>
        <v>0</v>
      </c>
      <c r="BT14" s="19">
        <f>IF($D14="是",AR14-AS14,0)</f>
        <v>0</v>
      </c>
    </row>
    <row r="15" spans="1:72" s="1578" customFormat="1" ht="12.75">
      <c r="A15" s="1051"/>
      <c r="B15" s="1051"/>
      <c r="C15" s="1051" t="s">
        <v>3380</v>
      </c>
      <c r="D15" s="1624" t="s">
        <v>3378</v>
      </c>
      <c r="E15" s="13">
        <f>IF($C$3="是",ROUND($A$3*G15/$B$3,2),ROUND($A$3*(G15-AT15)/$B$3,2))</f>
        <v>5918.87</v>
      </c>
      <c r="F15" s="29"/>
      <c r="G15" s="30">
        <f>H15+AC15+AT15</f>
        <v>18811.879999999997</v>
      </c>
      <c r="H15" s="17">
        <f>SUMIF(I$12:AB$12,"总值",I15:AB15)</f>
        <v>18587.96</v>
      </c>
      <c r="I15" s="1625">
        <v>18587.96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223.92</v>
      </c>
      <c r="AD15" s="1626"/>
      <c r="AE15" s="1626"/>
      <c r="AF15" s="1626"/>
      <c r="AG15" s="1626"/>
      <c r="AH15" s="1626"/>
      <c r="AI15" s="1626"/>
      <c r="AJ15" s="1626"/>
      <c r="AK15" s="1626"/>
      <c r="AL15" s="1626">
        <v>223.92</v>
      </c>
      <c r="AM15" s="1626"/>
      <c r="AN15" s="1626"/>
      <c r="AO15" s="1626"/>
      <c r="AP15" s="1626"/>
      <c r="AQ15" s="1626"/>
      <c r="AR15" s="1626"/>
      <c r="AS15" s="1626"/>
      <c r="AT15" s="1627"/>
      <c r="AU15" s="1628"/>
      <c r="AV15" s="8">
        <f t="shared" si="6"/>
        <v>0</v>
      </c>
      <c r="AW15" s="8">
        <f t="shared" si="6"/>
        <v>0</v>
      </c>
      <c r="AX15" s="8" t="str">
        <f t="shared" si="6"/>
        <v>9号院4号楼</v>
      </c>
      <c r="AY15" s="1348">
        <f>ROUND($AY$6*AZ15/$AZ$5,2)</f>
        <v>5918.87</v>
      </c>
      <c r="AZ15" s="13">
        <f>BA15+BL15</f>
        <v>18811.879999999997</v>
      </c>
      <c r="BA15" s="13">
        <f>SUM(BB15:BK15)</f>
        <v>18587.96</v>
      </c>
      <c r="BB15" s="13">
        <f>IF($D15="是",I15-J15,0)</f>
        <v>18587.96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223.92</v>
      </c>
      <c r="BM15" s="13">
        <f>IF($D15="是",AD15-AE15,0)</f>
        <v>0</v>
      </c>
      <c r="BN15" s="13">
        <f>IF($D15="是",AF15-AG15,0)</f>
        <v>0</v>
      </c>
      <c r="BO15" s="13">
        <f>IF($D15="是",AH15-AI15,0)</f>
        <v>0</v>
      </c>
      <c r="BP15" s="13">
        <f>IF($D15="是",AJ15-AK15,0)</f>
        <v>0</v>
      </c>
      <c r="BQ15" s="13">
        <f>IF($D15="是",AL15-AM15,0)</f>
        <v>223.92</v>
      </c>
      <c r="BR15" s="13">
        <f>IF($D15="是",AN15-AO15,0)</f>
        <v>0</v>
      </c>
      <c r="BS15" s="13">
        <f>IF($D15="是",AP15-AQ15,0)</f>
        <v>0</v>
      </c>
      <c r="BT15" s="19">
        <f>IF($D15="是",AR15-AS15,0)</f>
        <v>0</v>
      </c>
    </row>
    <row r="16" spans="1:72" s="1578" customFormat="1" ht="12.75">
      <c r="A16" s="1051"/>
      <c r="B16" s="1051"/>
      <c r="C16" s="1051" t="s">
        <v>3381</v>
      </c>
      <c r="D16" s="1624" t="s">
        <v>3378</v>
      </c>
      <c r="E16" s="13">
        <f>IF($C$3="是",ROUND($A$3*G16/$B$3,2),ROUND($A$3*(G16-AT16)/$B$3,2))</f>
        <v>4756.04</v>
      </c>
      <c r="F16" s="29"/>
      <c r="G16" s="30">
        <f>H16+AC16+AT16</f>
        <v>15116.06</v>
      </c>
      <c r="H16" s="17">
        <f>SUMIF(I$12:AB$12,"总值",I16:AB16)</f>
        <v>13912.32</v>
      </c>
      <c r="I16" s="1625">
        <v>13912.32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1203.7400000000002</v>
      </c>
      <c r="AD16" s="1626"/>
      <c r="AE16" s="1626"/>
      <c r="AF16" s="1626"/>
      <c r="AG16" s="1626"/>
      <c r="AH16" s="1626"/>
      <c r="AI16" s="1626"/>
      <c r="AJ16" s="1626"/>
      <c r="AK16" s="1626"/>
      <c r="AL16" s="1626">
        <v>139.11000000000001</v>
      </c>
      <c r="AM16" s="1626"/>
      <c r="AN16" s="1626">
        <v>1064.6300000000001</v>
      </c>
      <c r="AO16" s="1626"/>
      <c r="AP16" s="1626"/>
      <c r="AQ16" s="1626"/>
      <c r="AR16" s="1626"/>
      <c r="AS16" s="1626"/>
      <c r="AT16" s="1627"/>
      <c r="AU16" s="1628"/>
      <c r="AV16" s="8">
        <f t="shared" si="6"/>
        <v>0</v>
      </c>
      <c r="AW16" s="8">
        <f t="shared" si="6"/>
        <v>0</v>
      </c>
      <c r="AX16" s="8" t="str">
        <f t="shared" si="6"/>
        <v>9号院5号楼</v>
      </c>
      <c r="AY16" s="1348">
        <f>ROUND($AY$6*AZ16/$AZ$5,2)</f>
        <v>4756.04</v>
      </c>
      <c r="AZ16" s="13">
        <f>BA16+BL16</f>
        <v>15116.06</v>
      </c>
      <c r="BA16" s="13">
        <f>SUM(BB16:BK16)</f>
        <v>13912.32</v>
      </c>
      <c r="BB16" s="13">
        <f>IF($D16="是",I16-J16,0)</f>
        <v>13912.32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1203.7400000000002</v>
      </c>
      <c r="BM16" s="13">
        <f>IF($D16="是",AD16-AE16,0)</f>
        <v>0</v>
      </c>
      <c r="BN16" s="13">
        <f>IF($D16="是",AF16-AG16,0)</f>
        <v>0</v>
      </c>
      <c r="BO16" s="13">
        <f>IF($D16="是",AH16-AI16,0)</f>
        <v>0</v>
      </c>
      <c r="BP16" s="13">
        <f>IF($D16="是",AJ16-AK16,0)</f>
        <v>0</v>
      </c>
      <c r="BQ16" s="13">
        <f>IF($D16="是",AL16-AM16,0)</f>
        <v>139.11000000000001</v>
      </c>
      <c r="BR16" s="13">
        <f>IF($D16="是",AN16-AO16,0)</f>
        <v>1064.6300000000001</v>
      </c>
      <c r="BS16" s="13">
        <f>IF($D16="是",AP16-AQ16,0)</f>
        <v>0</v>
      </c>
      <c r="BT16" s="19">
        <f>IF($D16="是",AR16-AS16,0)</f>
        <v>0</v>
      </c>
    </row>
    <row r="17" spans="1:72" s="1578" customFormat="1" ht="12.75">
      <c r="A17" s="1051"/>
      <c r="B17" s="1051"/>
      <c r="C17" s="3458" t="s">
        <v>3382</v>
      </c>
      <c r="D17" s="1624" t="s">
        <v>3378</v>
      </c>
      <c r="E17" s="13">
        <f>IF($C$3="是",ROUND($A$3*G17/$B$3,2),ROUND($A$3*(G17-AT17)/$B$3,2))</f>
        <v>15636.17</v>
      </c>
      <c r="F17" s="29"/>
      <c r="G17" s="30">
        <f>H17+AC17+AT17</f>
        <v>49696.25</v>
      </c>
      <c r="H17" s="17">
        <f>SUMIF(I$12:AB$12,"总值",I17:AB17)</f>
        <v>49696.25</v>
      </c>
      <c r="I17" s="1625"/>
      <c r="J17" s="1625"/>
      <c r="K17" s="1625">
        <v>32607.03</v>
      </c>
      <c r="L17" s="1625"/>
      <c r="M17" s="1625">
        <v>17089.22</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地下室</v>
      </c>
      <c r="AY17" s="1348">
        <f>ROUND($AY$6*AZ17/$AZ$5,2)</f>
        <v>15636.17</v>
      </c>
      <c r="AZ17" s="13">
        <f>BA17+BL17</f>
        <v>49696.25</v>
      </c>
      <c r="BA17" s="13">
        <f>SUM(BB17:BK17)</f>
        <v>49696.25</v>
      </c>
      <c r="BB17" s="13">
        <f>IF($D17="是",I17-J17,0)</f>
        <v>0</v>
      </c>
      <c r="BC17" s="13">
        <f>IF($D17="是",K17-L17,0)</f>
        <v>32607.03</v>
      </c>
      <c r="BD17" s="13">
        <f>IF($D17="是",M17-N17,0)</f>
        <v>17089.22</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1051" t="s">
        <v>3383</v>
      </c>
      <c r="D18" s="1624" t="s">
        <v>3384</v>
      </c>
      <c r="E18" s="32">
        <f t="shared" ref="E18:E112" si="7">IF($C$3="是",ROUND($A$3*G18/$B$3,2),ROUND($A$3*(G18-AT18)/$B$3,2))</f>
        <v>10498.54</v>
      </c>
      <c r="F18" s="33"/>
      <c r="G18" s="34">
        <f t="shared" ref="G18:G109" si="8">H18+AC18+AT18</f>
        <v>33367.39</v>
      </c>
      <c r="H18" s="35">
        <f t="shared" ref="H18:H109" si="9">SUMIF(I$12:AB$12,"总值",I18:AB18)</f>
        <v>30960.560000000001</v>
      </c>
      <c r="I18" s="36">
        <v>30960.560000000001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2406.83</v>
      </c>
      <c r="AD18" s="37"/>
      <c r="AE18" s="37"/>
      <c r="AF18" s="37"/>
      <c r="AG18" s="37"/>
      <c r="AH18" s="37"/>
      <c r="AI18" s="37"/>
      <c r="AJ18" s="37"/>
      <c r="AK18" s="37"/>
      <c r="AL18" s="37">
        <v>647.24</v>
      </c>
      <c r="AM18" s="37"/>
      <c r="AN18" s="37">
        <v>1759.59</v>
      </c>
      <c r="AO18" s="37"/>
      <c r="AP18" s="37"/>
      <c r="AQ18" s="37"/>
      <c r="AR18" s="37"/>
      <c r="AS18" s="37"/>
      <c r="AT18" s="38"/>
      <c r="AU18" s="1630"/>
      <c r="AV18" s="1342">
        <f t="shared" ref="AV18:AV112" si="11">A18</f>
        <v>0</v>
      </c>
      <c r="AW18" s="1342">
        <f t="shared" ref="AW18:AW112" si="12">B18</f>
        <v>0</v>
      </c>
      <c r="AX18" s="1342" t="str">
        <f t="shared" ref="AX18:AX112" si="13">C18</f>
        <v>9号院3号楼</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1051" t="s">
        <v>3385</v>
      </c>
      <c r="D19" s="1624" t="s">
        <v>3384</v>
      </c>
      <c r="E19" s="32">
        <f t="shared" si="7"/>
        <v>4747.32</v>
      </c>
      <c r="F19" s="33"/>
      <c r="G19" s="34">
        <f t="shared" si="8"/>
        <v>15088.359999999999</v>
      </c>
      <c r="H19" s="35">
        <f t="shared" si="9"/>
        <v>13957.72</v>
      </c>
      <c r="I19" s="36">
        <v>13957.72</v>
      </c>
      <c r="J19" s="36"/>
      <c r="K19" s="36"/>
      <c r="L19" s="36"/>
      <c r="M19" s="36"/>
      <c r="N19" s="36"/>
      <c r="O19" s="36"/>
      <c r="P19" s="36"/>
      <c r="Q19" s="36"/>
      <c r="R19" s="36"/>
      <c r="S19" s="36"/>
      <c r="T19" s="36"/>
      <c r="U19" s="36"/>
      <c r="V19" s="36"/>
      <c r="W19" s="36"/>
      <c r="X19" s="36"/>
      <c r="Y19" s="36"/>
      <c r="Z19" s="36"/>
      <c r="AA19" s="36"/>
      <c r="AB19" s="36"/>
      <c r="AC19" s="32">
        <f t="shared" si="10"/>
        <v>1130.6400000000001</v>
      </c>
      <c r="AD19" s="37"/>
      <c r="AE19" s="37"/>
      <c r="AF19" s="37"/>
      <c r="AG19" s="37"/>
      <c r="AH19" s="37"/>
      <c r="AI19" s="37"/>
      <c r="AJ19" s="37"/>
      <c r="AK19" s="37"/>
      <c r="AL19" s="37">
        <v>152.16</v>
      </c>
      <c r="AM19" s="37"/>
      <c r="AN19" s="37">
        <v>978.48</v>
      </c>
      <c r="AO19" s="37"/>
      <c r="AP19" s="37"/>
      <c r="AQ19" s="37"/>
      <c r="AR19" s="37"/>
      <c r="AS19" s="37"/>
      <c r="AT19" s="38"/>
      <c r="AU19" s="1630"/>
      <c r="AV19" s="1342">
        <f t="shared" si="11"/>
        <v>0</v>
      </c>
      <c r="AW19" s="1342">
        <f t="shared" si="12"/>
        <v>0</v>
      </c>
      <c r="AX19" s="1342" t="str">
        <f t="shared" si="13"/>
        <v>9号院6号楼</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8" sqref="M4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0" t="s">
        <v>1130</v>
      </c>
      <c r="B2" s="3550"/>
      <c r="C2" s="3550"/>
      <c r="D2" s="796" t="s">
        <v>1106</v>
      </c>
      <c r="E2" s="1638" t="s">
        <v>1107</v>
      </c>
      <c r="F2" s="2658"/>
      <c r="G2" s="2649"/>
      <c r="H2" s="2650"/>
      <c r="I2" s="2324" t="s">
        <v>1131</v>
      </c>
      <c r="J2" s="2658"/>
      <c r="K2" s="2658"/>
      <c r="L2" s="2658"/>
      <c r="M2" s="2658"/>
      <c r="N2" s="2660"/>
      <c r="O2" s="2658"/>
      <c r="P2" s="2658"/>
    </row>
    <row r="3" spans="1:16" ht="15.75" thickBot="1">
      <c r="A3" s="3551" t="s">
        <v>1104</v>
      </c>
      <c r="B3" s="3551"/>
      <c r="C3" s="3551"/>
      <c r="D3" s="43">
        <f>'数据-基础表'!AY6</f>
        <v>41486.36</v>
      </c>
      <c r="E3" s="43">
        <f>'数据-基础表'!AZ5</f>
        <v>131855.63</v>
      </c>
      <c r="F3" s="2658"/>
      <c r="G3" s="1145"/>
      <c r="H3" s="1026" t="s">
        <v>1105</v>
      </c>
      <c r="I3" s="855">
        <f>ROUND('数据-基础表'!B3/'数据-基础表'!A3,2)</f>
        <v>3.18</v>
      </c>
      <c r="J3" s="2658"/>
      <c r="K3" s="2658"/>
      <c r="L3" s="2658"/>
      <c r="M3" s="2658"/>
      <c r="N3" s="2660"/>
      <c r="O3" s="2658"/>
      <c r="P3" s="2658"/>
    </row>
    <row r="4" spans="1:16" ht="15">
      <c r="A4" s="3552"/>
      <c r="B4" s="3553"/>
      <c r="C4" s="3554"/>
      <c r="D4" s="1640" t="s">
        <v>1106</v>
      </c>
      <c r="E4" s="1641" t="s">
        <v>1107</v>
      </c>
      <c r="F4" s="2658"/>
      <c r="G4" s="2651" t="s">
        <v>1132</v>
      </c>
      <c r="H4" s="1026" t="s">
        <v>1112</v>
      </c>
      <c r="I4" s="855">
        <f>ROUND(SUMIF('数据-基础表'!I9:AS9,"地上",'数据-基础表'!I5:AS5)/'数据-基础表'!A3,2)</f>
        <v>2.2000000000000002</v>
      </c>
      <c r="J4" s="2658"/>
      <c r="K4" s="2658"/>
      <c r="L4" s="2658"/>
      <c r="M4" s="2658"/>
      <c r="N4" s="2660"/>
      <c r="O4" s="2658"/>
      <c r="P4" s="2658"/>
    </row>
    <row r="5" spans="1:16">
      <c r="A5" s="44" t="s">
        <v>1108</v>
      </c>
      <c r="B5" s="3555" t="s">
        <v>1109</v>
      </c>
      <c r="C5" s="3555"/>
      <c r="D5" s="45">
        <f>ROUND($D$3*E5/$E$3,2)</f>
        <v>0</v>
      </c>
      <c r="E5" s="46">
        <f>SUMIF('数据-基础表'!$11:$11,"住宅",'数据-基础表'!$5:$5)</f>
        <v>0</v>
      </c>
      <c r="F5" s="2658"/>
      <c r="G5" s="1145"/>
      <c r="H5" s="1026" t="s">
        <v>1105</v>
      </c>
      <c r="I5" s="855">
        <f>ROUND(E31/D31,2)</f>
        <v>3.18</v>
      </c>
      <c r="J5" s="2658"/>
      <c r="K5" s="2658"/>
      <c r="L5" s="2658"/>
      <c r="M5" s="2658"/>
      <c r="N5" s="2658"/>
      <c r="O5" s="2658"/>
      <c r="P5" s="2658"/>
    </row>
    <row r="6" spans="1:16" ht="15" thickBot="1">
      <c r="A6" s="1643"/>
      <c r="B6" s="3555" t="s">
        <v>1110</v>
      </c>
      <c r="C6" s="3555"/>
      <c r="D6" s="45">
        <f>ROUND($D$3*E6/$E$3,2)</f>
        <v>41486.36</v>
      </c>
      <c r="E6" s="46">
        <f>E3-E5</f>
        <v>131855.63</v>
      </c>
      <c r="F6" s="2658"/>
      <c r="G6" s="2652" t="s">
        <v>1111</v>
      </c>
      <c r="H6" s="1146" t="s">
        <v>1112</v>
      </c>
      <c r="I6" s="2653">
        <f>ROUND(F31/D31,2)</f>
        <v>1.9</v>
      </c>
      <c r="J6" s="2658"/>
      <c r="K6" s="2658"/>
      <c r="L6" s="2658"/>
      <c r="M6" s="2658"/>
      <c r="N6" s="2658"/>
      <c r="O6" s="2658"/>
      <c r="P6" s="2658"/>
    </row>
    <row r="7" spans="1:16" ht="15.75" thickBot="1">
      <c r="A7" s="3547"/>
      <c r="B7" s="3548"/>
      <c r="C7" s="3549"/>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24559.22</v>
      </c>
      <c r="E8" s="48">
        <f>SUMIF('数据-基础表'!BB10:BK10,"地上",'数据-基础表'!BB5:BK5)</f>
        <v>78056.28</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10259.299999999999</v>
      </c>
      <c r="E11" s="48">
        <f>SUMPRODUCT(('数据-基础表'!BB10:BK10="地下")*('数据-基础表'!BB11:BK11="办公")*('数据-基础表'!BB5:BK5))+'数据-基础表'!BP5</f>
        <v>32607.03</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5376.86</v>
      </c>
      <c r="E13" s="48">
        <f>SUMPRODUCT(('数据-基础表'!BB10:BK10="地下")*('数据-基础表'!BB11:BK11="车库")*('数据-基础表'!BB5:BK5))</f>
        <v>17089.22</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40195.380000000005</v>
      </c>
      <c r="E16" s="50">
        <f>SUM(E8:E15)</f>
        <v>127752.53</v>
      </c>
      <c r="F16" s="2658"/>
      <c r="G16" s="2659"/>
      <c r="H16" s="1647" t="s">
        <v>1134</v>
      </c>
      <c r="I16" s="1648"/>
      <c r="J16" s="1139"/>
      <c r="K16" s="3544" t="s">
        <v>1134</v>
      </c>
      <c r="L16" s="3545"/>
      <c r="M16" s="3545"/>
      <c r="N16" s="3545"/>
      <c r="O16" s="3545"/>
      <c r="P16" s="3546"/>
    </row>
    <row r="17" spans="1:19" ht="15">
      <c r="A17" s="1649" t="s">
        <v>1135</v>
      </c>
      <c r="B17" s="1650" t="s">
        <v>1136</v>
      </c>
      <c r="C17" s="1651" t="s">
        <v>1137</v>
      </c>
      <c r="D17" s="1652" t="s">
        <v>1125</v>
      </c>
      <c r="E17" s="1653" t="s">
        <v>1126</v>
      </c>
      <c r="F17" s="1654"/>
      <c r="G17" s="1655"/>
      <c r="H17" s="1656" t="s">
        <v>1138</v>
      </c>
      <c r="I17" s="1657" t="s">
        <v>1123</v>
      </c>
      <c r="J17" s="1139"/>
      <c r="K17" s="3541" t="s">
        <v>1139</v>
      </c>
      <c r="L17" s="3542"/>
      <c r="M17" s="3543"/>
      <c r="N17" s="3541" t="s">
        <v>1140</v>
      </c>
      <c r="O17" s="3542"/>
      <c r="P17" s="3543"/>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8" t="s">
        <v>3389</v>
      </c>
      <c r="D19" s="45">
        <f>ROUND($D$3*E19/$E$3,2)</f>
        <v>34818.519999999997</v>
      </c>
      <c r="E19" s="53">
        <f t="shared" ref="E19:E26" si="1">SUM(F19:G19)</f>
        <v>110663.31</v>
      </c>
      <c r="F19" s="2794">
        <v>78056.28</v>
      </c>
      <c r="G19" s="2795">
        <v>32607.03</v>
      </c>
      <c r="H19" s="670">
        <f>ROUND($D$3*I19/$E$3,2)</f>
        <v>1118.29</v>
      </c>
      <c r="I19" s="48">
        <f t="shared" ref="I19:I26" si="2">IF($I$17="自定义",P19,M19)</f>
        <v>3554.24</v>
      </c>
      <c r="J19" s="1139"/>
      <c r="K19" s="1138">
        <f t="shared" ref="K19:K26" si="3">ROUND(E$28*E19/E$27,2)</f>
        <v>3554.24</v>
      </c>
      <c r="L19" s="1026">
        <f t="shared" ref="L19:L26" si="4">ROUND(IF(COUNTIF(C19,"*住宅*")&gt;0,E$29*E19/E$32,0),2)</f>
        <v>0</v>
      </c>
      <c r="M19" s="1150">
        <f>K19+L19</f>
        <v>3554.24</v>
      </c>
      <c r="N19" s="1667"/>
      <c r="O19" s="1668"/>
      <c r="P19" s="1150">
        <f>N19+O19</f>
        <v>0</v>
      </c>
      <c r="R19" s="1026">
        <f t="shared" ref="R19:S26" si="5">D19+H19</f>
        <v>35936.81</v>
      </c>
      <c r="S19" s="1027">
        <f t="shared" si="5"/>
        <v>114217.55</v>
      </c>
    </row>
    <row r="20" spans="1:19">
      <c r="A20" s="1669"/>
      <c r="B20" s="47" t="s">
        <v>1152</v>
      </c>
      <c r="C20" s="3418" t="s">
        <v>3390</v>
      </c>
      <c r="D20" s="45">
        <f t="shared" ref="D20:D26" si="6">ROUND($D$3*E20/$E$3,2)</f>
        <v>5376.86</v>
      </c>
      <c r="E20" s="53">
        <f t="shared" si="1"/>
        <v>17089.22</v>
      </c>
      <c r="F20" s="2794"/>
      <c r="G20" s="2795">
        <v>17089.22</v>
      </c>
      <c r="H20" s="670">
        <f t="shared" ref="H20:H26" si="7">ROUND($D$3*I20/$E$3,2)</f>
        <v>172.69</v>
      </c>
      <c r="I20" s="48">
        <f t="shared" si="2"/>
        <v>548.86</v>
      </c>
      <c r="J20" s="1139"/>
      <c r="K20" s="1138">
        <f t="shared" si="3"/>
        <v>548.86</v>
      </c>
      <c r="L20" s="1026">
        <f t="shared" si="4"/>
        <v>0</v>
      </c>
      <c r="M20" s="1150">
        <f t="shared" ref="M20:M26" si="8">K20+L20</f>
        <v>548.86</v>
      </c>
      <c r="N20" s="1667"/>
      <c r="O20" s="1668"/>
      <c r="P20" s="1150">
        <f t="shared" ref="P20:P26" si="9">N20+O20</f>
        <v>0</v>
      </c>
      <c r="R20" s="1026">
        <f t="shared" si="5"/>
        <v>5549.5499999999993</v>
      </c>
      <c r="S20" s="1027">
        <f t="shared" si="5"/>
        <v>17638.080000000002</v>
      </c>
    </row>
    <row r="21" spans="1:19">
      <c r="A21" s="1669"/>
      <c r="B21" s="47" t="s">
        <v>1152</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40195.379999999997</v>
      </c>
      <c r="E27" s="1141">
        <f>IF(SUM(E19:E26)='数据-基础表'!BA5,SUM(E19:E26),IF(F27="地上面积有误","面积有误","地下面积有误"))</f>
        <v>127752.53</v>
      </c>
      <c r="F27" s="1140">
        <f>IF(SUM(F19:F26)=E8,SUM(F19:F26),"地上面积有误")</f>
        <v>78056.28</v>
      </c>
      <c r="G27" s="1142">
        <f>SUM(G19:G26)</f>
        <v>49696.25</v>
      </c>
      <c r="H27" s="1143">
        <f>SUM(H19:H26)</f>
        <v>1290.98</v>
      </c>
      <c r="I27" s="1144">
        <f>SUM(I19:I26)</f>
        <v>4103.0999999999995</v>
      </c>
      <c r="J27" s="1139"/>
      <c r="K27" s="1147">
        <f>SUM(K19:K26)</f>
        <v>4103.0999999999995</v>
      </c>
      <c r="L27" s="1148">
        <f>SUM(L19:L26)</f>
        <v>0</v>
      </c>
      <c r="M27" s="1151">
        <f>SUM(M19:M26)</f>
        <v>4103.0999999999995</v>
      </c>
      <c r="N27" s="1147">
        <f t="shared" ref="N27:O27" si="10">SUM(N19:N26)</f>
        <v>0</v>
      </c>
      <c r="O27" s="1148">
        <f t="shared" si="10"/>
        <v>0</v>
      </c>
      <c r="P27" s="1149">
        <f>SUM(P19:P26)</f>
        <v>0</v>
      </c>
      <c r="R27" s="1028">
        <f>IF(SUM(R19:R26)=$D$3,SUM(R19:R26),SUM(R19:R26)&amp;"误差"&amp;ROUND(SUM(R19:R26)-$D$3,2))</f>
        <v>41486.36</v>
      </c>
      <c r="S27" s="1026">
        <f>IF(SUM(S19:S26)=$E$3,SUM(S19:S26),SUM(S19:S26)&amp;"误差"&amp;ROUND(SUM(S19:S26)-E3,2))</f>
        <v>131855.63</v>
      </c>
    </row>
    <row r="28" spans="1:19">
      <c r="A28" s="1669"/>
      <c r="B28" s="47" t="s">
        <v>1154</v>
      </c>
      <c r="C28" s="1038" t="s">
        <v>1155</v>
      </c>
      <c r="D28" s="45">
        <f>ROUND($D$3*E28/$E$3,2)</f>
        <v>1290.98</v>
      </c>
      <c r="E28" s="53">
        <f>SUM(F28:G28)</f>
        <v>4103.1000000000004</v>
      </c>
      <c r="F28" s="56">
        <f>'数据-基础表'!BQ5+'数据-基础表'!BS5</f>
        <v>968.61</v>
      </c>
      <c r="G28" s="57">
        <f>'数据-基础表'!BR5+'数据-基础表'!BT5</f>
        <v>3134.4900000000002</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1290.98</v>
      </c>
      <c r="E30" s="1140">
        <f>SUM(E28:E29)</f>
        <v>4103.1000000000004</v>
      </c>
      <c r="F30" s="1140">
        <f>SUM(F28:F29)</f>
        <v>968.61</v>
      </c>
      <c r="G30" s="1142">
        <f>SUM(G28:G29)</f>
        <v>3134.4900000000002</v>
      </c>
      <c r="H30" s="2658"/>
      <c r="I30" s="2658"/>
      <c r="J30" s="2658"/>
      <c r="K30" s="2658"/>
      <c r="L30" s="2658"/>
      <c r="M30" s="2658"/>
      <c r="N30" s="2658"/>
      <c r="O30" s="2658"/>
      <c r="P30" s="2658"/>
    </row>
    <row r="31" spans="1:19" ht="15.75" thickBot="1">
      <c r="A31" s="1675"/>
      <c r="B31" s="1676"/>
      <c r="C31" s="835" t="s">
        <v>1157</v>
      </c>
      <c r="D31" s="676">
        <f>D27+D30</f>
        <v>41486.36</v>
      </c>
      <c r="E31" s="676">
        <f>E27+E30</f>
        <v>131855.63</v>
      </c>
      <c r="F31" s="677">
        <f>F27+F30</f>
        <v>79024.89</v>
      </c>
      <c r="G31" s="678">
        <f>G27+G30</f>
        <v>52830.74</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44929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3392</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IF(B6="","",SUMIF(项目基本情况!C$12:H$12,C6,项目基本情况!C$13:H$13))</f>
        <v>60490</v>
      </c>
      <c r="F6" s="64">
        <f>SUMIF(项目基本情况!C$12:I$12,C6,项目基本情况!C$15:I$15)</f>
        <v>42.63</v>
      </c>
      <c r="G6" s="65">
        <f>IF(ISERROR(ROUND(POWER(1+H6,D6-F6)*(POWER(1+H6,F6)-1)/(POWER(1+H6,D6)-1),3)),0,ROUND(POWER(1+H6,D6-F6)*(POWER(1+H6,F6)-1)/(POWER(1+H6,D6)-1),3))</f>
        <v>0.95899999999999996</v>
      </c>
      <c r="H6" s="732">
        <v>0.05</v>
      </c>
      <c r="I6" s="732">
        <v>5.5E-2</v>
      </c>
      <c r="J6" s="66">
        <v>7.0000000000000007E-2</v>
      </c>
      <c r="K6" s="1030">
        <f>SUMIF('数据-汇总表'!C$19:C$33,A6,'数据-汇总表'!E$19:E$33)</f>
        <v>110663.31</v>
      </c>
      <c r="L6" s="733">
        <v>3500</v>
      </c>
      <c r="M6" s="67">
        <f t="shared" ref="M6:M14" si="0">ROUND(K6*L6/10000,0)</f>
        <v>38732</v>
      </c>
      <c r="N6" s="731">
        <f>ROUND(1-(2022-2019)/60,2)</f>
        <v>0.95</v>
      </c>
      <c r="O6" s="67" t="str">
        <f>IF($N$5="成新度","——",ROUND(M6*N6,0))</f>
        <v>——</v>
      </c>
      <c r="P6" s="68" t="str">
        <f>IF($N$5="成新度","——",M6-O6)</f>
        <v>——</v>
      </c>
      <c r="Q6" s="734">
        <v>0.15</v>
      </c>
      <c r="R6" s="69">
        <f ca="1">SUMIF('数据-汇总表'!C$19:C$33,A6,'数据-汇总表'!R$19:R$27)</f>
        <v>35936.81</v>
      </c>
      <c r="S6" s="51">
        <f>IF('数据-汇总表'!$I$17="按面积比例",SUMIF('数据-汇总表'!C$19:C$33,A6,'数据-汇总表'!K$19:K$33),SUMIF('数据-汇总表'!C$19:C$33,A6,'数据-汇总表'!N$19:N$33))</f>
        <v>3554.24</v>
      </c>
      <c r="T6" s="1172">
        <f>ROUND($L$14*S6/10000,0)</f>
        <v>1244</v>
      </c>
      <c r="U6" s="3459">
        <v>3</v>
      </c>
      <c r="V6" s="70">
        <v>0.03</v>
      </c>
      <c r="W6" s="70">
        <v>0.1</v>
      </c>
      <c r="X6" s="1040"/>
      <c r="Y6" s="71">
        <f>N6</f>
        <v>0.95</v>
      </c>
      <c r="Z6" s="72"/>
      <c r="AA6" s="66"/>
      <c r="AB6" s="66"/>
      <c r="AC6" s="1040"/>
      <c r="AD6" s="73"/>
      <c r="AE6" s="1041">
        <f ca="1">IF(AN6="",0,SUMIF(INDIRECT("'"&amp;AN6&amp;"'"&amp;"!E:E"),$AE$5,INDIRECT("'"&amp;AN6&amp;"'"&amp;"!F:F")))</f>
        <v>42.63</v>
      </c>
      <c r="AF6" s="1347"/>
      <c r="AG6" s="138">
        <f>IF(AF6="",0,AE6-AF6)</f>
        <v>0</v>
      </c>
      <c r="AH6" s="74"/>
      <c r="AI6" s="76">
        <v>365</v>
      </c>
      <c r="AJ6" s="77"/>
      <c r="AK6" s="78">
        <v>1.4999999999999999E-2</v>
      </c>
      <c r="AL6" s="79">
        <v>1.5E-3</v>
      </c>
      <c r="AM6" s="80">
        <v>0.01</v>
      </c>
      <c r="AN6" s="1714" t="s">
        <v>3393</v>
      </c>
      <c r="AO6" s="52">
        <f ca="1">SUMIF(INDIRECT("'"&amp;AN6&amp;"'"&amp;"!A:A"),"总价",INDIRECT("'"&amp;AN6&amp;"'"&amp;"!B:B"))</f>
        <v>205623</v>
      </c>
      <c r="AP6" s="1715">
        <f>IF(C6="住宅",K6*L6,0)</f>
        <v>0</v>
      </c>
      <c r="AQ6" s="52">
        <f>ROUND($L$14*$N$14*S6/10000,0)</f>
        <v>1182</v>
      </c>
      <c r="AR6" s="52">
        <f>ROUND($L$14*(1-$N$14)*S6/10000,0)</f>
        <v>62</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3340</v>
      </c>
      <c r="D7" s="858">
        <f>SUMIF(项目基本情况!C$12:I$12,C7,项目基本情况!C$14:I$14)</f>
        <v>50</v>
      </c>
      <c r="E7" s="857">
        <f>IF(B7="","",SUMIF(项目基本情况!C$12:H$12,C7,项目基本情况!C$13:H$13))</f>
        <v>60490</v>
      </c>
      <c r="F7" s="64">
        <f>SUMIF(项目基本情况!C$12:I$12,C7,项目基本情况!C$15:I$15)</f>
        <v>42.63</v>
      </c>
      <c r="G7" s="65">
        <f t="shared" ref="G7:G11" si="2">IF(ISERROR(ROUND(POWER(1+H7,D7-F7)*(POWER(1+H7,F7)-1)/(POWER(1+H7,D7)-1),3)),0,ROUND(POWER(1+H7,D7-F7)*(POWER(1+H7,F7)-1)/(POWER(1+H7,D7)-1),3))</f>
        <v>0.95199999999999996</v>
      </c>
      <c r="H7" s="732">
        <v>4.4999999999999998E-2</v>
      </c>
      <c r="I7" s="732">
        <v>0.05</v>
      </c>
      <c r="J7" s="66">
        <v>7.0000000000000007E-2</v>
      </c>
      <c r="K7" s="1030">
        <f>SUMIF('数据-汇总表'!C$19:C$33,A7,'数据-汇总表'!E$19:E$33)</f>
        <v>17089.22</v>
      </c>
      <c r="L7" s="733">
        <f>L6</f>
        <v>3500</v>
      </c>
      <c r="M7" s="67">
        <f t="shared" si="0"/>
        <v>5981</v>
      </c>
      <c r="N7" s="731">
        <f>N6</f>
        <v>0.95</v>
      </c>
      <c r="O7" s="67" t="str">
        <f t="shared" ref="O7:O14" si="3">IF($N$5="成新度","——",ROUND(M7*N7,0))</f>
        <v>——</v>
      </c>
      <c r="P7" s="68" t="str">
        <f t="shared" ref="P7:P14" si="4">IF($N$5="成新度","——",M7-O7)</f>
        <v>——</v>
      </c>
      <c r="Q7" s="734">
        <v>0.05</v>
      </c>
      <c r="R7" s="69">
        <f ca="1">SUMIF('数据-汇总表'!C$19:C$33,A7,'数据-汇总表'!R$19:R$27)</f>
        <v>5549.5499999999993</v>
      </c>
      <c r="S7" s="51">
        <f>IF('数据-汇总表'!$I$17="按面积比例",SUMIF('数据-汇总表'!C$19:C$33,A7,'数据-汇总表'!K$19:K$33),SUMIF('数据-汇总表'!C$19:C$33,A7,'数据-汇总表'!N$19:N$33))</f>
        <v>548.86</v>
      </c>
      <c r="T7" s="1172">
        <f t="shared" ref="T7:T13" si="5">ROUND($L$14*S7/10000,0)</f>
        <v>192</v>
      </c>
      <c r="U7" s="3459">
        <v>0.5</v>
      </c>
      <c r="V7" s="70">
        <v>2.5000000000000001E-2</v>
      </c>
      <c r="W7" s="70">
        <v>0.1</v>
      </c>
      <c r="X7" s="1040"/>
      <c r="Y7" s="71">
        <f>Y6</f>
        <v>0.95</v>
      </c>
      <c r="Z7" s="72"/>
      <c r="AA7" s="66"/>
      <c r="AB7" s="66"/>
      <c r="AC7" s="1040"/>
      <c r="AD7" s="73"/>
      <c r="AE7" s="1041">
        <f t="shared" ref="AE7:AE13" ca="1" si="6">IF(AN7="",0,SUMIF(INDIRECT("'"&amp;AN7&amp;"'"&amp;"!E:E"),$AE$5,INDIRECT("'"&amp;AN7&amp;"'"&amp;"!F:F")))</f>
        <v>42.63</v>
      </c>
      <c r="AF7" s="1347"/>
      <c r="AG7" s="138">
        <f t="shared" ref="AG7:AG13" si="7">IF(AF7="",0,AE7-AF7)</f>
        <v>0</v>
      </c>
      <c r="AH7" s="74"/>
      <c r="AI7" s="76">
        <v>365</v>
      </c>
      <c r="AJ7" s="77"/>
      <c r="AK7" s="78">
        <v>1.4999999999999999E-2</v>
      </c>
      <c r="AL7" s="79">
        <v>1.5E-3</v>
      </c>
      <c r="AM7" s="80">
        <v>0.01</v>
      </c>
      <c r="AN7" s="1714" t="s">
        <v>3395</v>
      </c>
      <c r="AO7" s="52">
        <f t="shared" ref="AO7:AO13" ca="1" si="8">SUMIF(INDIRECT("'"&amp;AN7&amp;"'"&amp;"!A:A"),"总价",INDIRECT("'"&amp;AN7&amp;"'"&amp;"!B:B"))</f>
        <v>2440</v>
      </c>
      <c r="AP7" s="1715">
        <f t="shared" ref="AP7:AP13" si="9">IF(C7="住宅",K7*L7,0)</f>
        <v>0</v>
      </c>
      <c r="AQ7" s="52">
        <f t="shared" ref="AQ7:AQ13" si="10">ROUND($L$14*$N$14*S7/10000,0)</f>
        <v>182</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4103.1000000000004</v>
      </c>
      <c r="L14" s="82">
        <f>L6</f>
        <v>3500</v>
      </c>
      <c r="M14" s="67">
        <f t="shared" si="0"/>
        <v>1436</v>
      </c>
      <c r="N14" s="83">
        <f>N6</f>
        <v>0.95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0.95799999999999996</v>
      </c>
      <c r="H16" s="90">
        <f>ROUND(SUMPRODUCT(H6:H13,K6:K13)/SUMPRODUCT((H6:H13&gt;0)*(K6:K13)),3)</f>
        <v>4.9000000000000002E-2</v>
      </c>
      <c r="I16" s="91"/>
      <c r="J16" s="91"/>
      <c r="K16" s="92">
        <f>SUM(K6:K15)</f>
        <v>131855.63</v>
      </c>
      <c r="L16" s="93">
        <f>ROUND(M16*10000/SUM(K6:K14),0)</f>
        <v>3500</v>
      </c>
      <c r="M16" s="93">
        <f>SUM(M6:M14)</f>
        <v>46149</v>
      </c>
      <c r="N16" s="94">
        <f>ROUND(SUMPRODUCT(M6:M14,N6:N14)/M16,3)</f>
        <v>0.95</v>
      </c>
      <c r="O16" s="93">
        <f>SUM(O6:O14)</f>
        <v>0</v>
      </c>
      <c r="P16" s="93">
        <f>SUM(P6:P14)</f>
        <v>0</v>
      </c>
      <c r="Q16" s="95">
        <f>ROUND(SUMPRODUCT(Q6:Q13,K6:K13)/SUMPRODUCT((Q6:Q13&gt;0)*(K6:K13)),2)</f>
        <v>0.14000000000000001</v>
      </c>
      <c r="R16" s="1034">
        <f ca="1">SUM(R6:R13)</f>
        <v>41486.36</v>
      </c>
      <c r="S16" s="96">
        <f>SUM(S6:S13)</f>
        <v>4103.0999999999995</v>
      </c>
      <c r="T16" s="97">
        <f>IF(SUMIF(T6:T13,"&lt;9E307")=M14,SUMIF(T6:T13,"&lt;9E307"),"有误，请检查")</f>
        <v>1436</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3808" t="s">
        <v>3753</v>
      </c>
      <c r="W18" s="2670">
        <f>'数据-汇总表'!F27</f>
        <v>78056.28</v>
      </c>
      <c r="X18" s="2670">
        <v>3.6</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3808" t="s">
        <v>3754</v>
      </c>
      <c r="W19" s="2670">
        <f>'数据-汇总表'!G19</f>
        <v>32607.03</v>
      </c>
      <c r="X19" s="2670">
        <v>1.5</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f>W19+W18</f>
        <v>110663.31</v>
      </c>
      <c r="X20" s="2670">
        <f>ROUND((W18*X18+W19*X19)/W20,1)</f>
        <v>3</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2637</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1.4999999999999999E-2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1.4999999999999999E-2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3391</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6" t="s">
        <v>2284</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1" sqref="F4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131855.63</v>
      </c>
      <c r="C1" s="2685"/>
      <c r="D1" s="2685"/>
      <c r="E1" s="2685"/>
      <c r="F1" s="2685"/>
      <c r="G1" s="2686"/>
      <c r="H1" s="2687"/>
      <c r="I1" s="2687"/>
      <c r="J1" s="2687"/>
      <c r="K1" s="2687"/>
    </row>
    <row r="2" spans="1:11" ht="16.5">
      <c r="A2" s="2511" t="s">
        <v>653</v>
      </c>
      <c r="B2" s="2511">
        <f>SUM(C14:C23)</f>
        <v>41486.36</v>
      </c>
      <c r="C2" s="2685"/>
      <c r="D2" s="2685"/>
      <c r="E2" s="2685"/>
      <c r="F2" s="2685"/>
      <c r="G2" s="2686"/>
      <c r="H2" s="2687"/>
      <c r="I2" s="2687"/>
      <c r="J2" s="2687"/>
      <c r="K2" s="2687"/>
    </row>
    <row r="3" spans="1:11" ht="16.5">
      <c r="A3" s="2511" t="s">
        <v>662</v>
      </c>
      <c r="B3" s="2513">
        <f>项目基本情况!D3</f>
        <v>44929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221170</v>
      </c>
      <c r="C5" s="2511">
        <f ca="1">IF(B5=D14,结果表!H102,ROUND(B5*10000/$B$1,0))</f>
        <v>16774</v>
      </c>
      <c r="D5" s="2511">
        <f ca="1">ROUND(B5*10000/$B$2,0)</f>
        <v>53311</v>
      </c>
      <c r="E5" s="2685"/>
      <c r="F5" s="2686"/>
      <c r="G5" s="2686"/>
      <c r="H5" s="2687"/>
      <c r="I5" s="2687"/>
      <c r="J5" s="2687"/>
      <c r="K5" s="2687"/>
    </row>
    <row r="6" spans="1:11" ht="16.5">
      <c r="A6" s="2511" t="s">
        <v>656</v>
      </c>
      <c r="B6" s="2511">
        <f ca="1">SUM(G14:G23)</f>
        <v>221170</v>
      </c>
      <c r="C6" s="2511">
        <f ca="1">IF(B6=G14,结果表!H108,ROUND(B6*10000/$B$1,0))</f>
        <v>16774</v>
      </c>
      <c r="D6" s="2511">
        <f ca="1">ROUND(B6*10000/$B$2,0)</f>
        <v>53311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3365</v>
      </c>
      <c r="D10" s="2511" t="s">
        <v>3366</v>
      </c>
      <c r="E10" s="3442"/>
      <c r="F10" s="3446" t="s">
        <v>3367</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131855.63</v>
      </c>
      <c r="C14" s="2517">
        <f>结果表!C118</f>
        <v>41486.36</v>
      </c>
      <c r="D14" s="2517">
        <f ca="1">结果表!H118</f>
        <v>221170</v>
      </c>
      <c r="E14" s="2517">
        <f ca="1">ROUND(D14*10000/B14,0)</f>
        <v>16774</v>
      </c>
      <c r="F14" s="2517">
        <f ca="1">ROUND(D14*10000/C14,0)</f>
        <v>53311</v>
      </c>
      <c r="G14" s="2517">
        <f ca="1">结果表!D122</f>
        <v>221170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35" sqref="M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1263</v>
      </c>
      <c r="B3" s="3597"/>
      <c r="C3" s="3597"/>
      <c r="D3" s="3597"/>
      <c r="E3" s="3597"/>
      <c r="F3" s="3597"/>
      <c r="G3" s="3597"/>
      <c r="H3" s="3597"/>
      <c r="I3" s="3597"/>
    </row>
    <row r="4" spans="1:12" ht="14.25">
      <c r="A4" s="1753" t="s">
        <v>1264</v>
      </c>
      <c r="B4" s="1754" t="s">
        <v>1265</v>
      </c>
      <c r="C4" s="1755" t="s">
        <v>3401</v>
      </c>
      <c r="D4" s="1755" t="s">
        <v>3402</v>
      </c>
      <c r="E4" s="3598" t="s">
        <v>1266</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1267</v>
      </c>
      <c r="B5" s="3559">
        <v>25</v>
      </c>
      <c r="C5" s="3575"/>
      <c r="D5" s="3595"/>
      <c r="E5" s="131" t="s">
        <v>1268</v>
      </c>
      <c r="F5" s="1756"/>
      <c r="G5" s="1756"/>
      <c r="H5" s="1756"/>
      <c r="I5" s="1372"/>
    </row>
    <row r="6" spans="1:12" ht="12.75">
      <c r="A6" s="3572"/>
      <c r="B6" s="3559"/>
      <c r="C6" s="3576"/>
      <c r="D6" s="3595"/>
      <c r="E6" s="131" t="s">
        <v>1269</v>
      </c>
      <c r="F6" s="1756"/>
      <c r="G6" s="1756"/>
      <c r="H6" s="1756"/>
      <c r="I6" s="1372"/>
    </row>
    <row r="7" spans="1:12" ht="12.75">
      <c r="A7" s="3572"/>
      <c r="B7" s="3559"/>
      <c r="C7" s="3577"/>
      <c r="D7" s="3595"/>
      <c r="E7" s="131" t="s">
        <v>1270</v>
      </c>
      <c r="F7" s="1756"/>
      <c r="G7" s="1756"/>
      <c r="H7" s="1756"/>
      <c r="I7" s="1372"/>
    </row>
    <row r="8" spans="1:12" ht="12.75">
      <c r="A8" s="3572" t="s">
        <v>1271</v>
      </c>
      <c r="B8" s="3559">
        <v>15</v>
      </c>
      <c r="C8" s="3575"/>
      <c r="D8" s="3595"/>
      <c r="E8" s="131" t="s">
        <v>1272</v>
      </c>
      <c r="F8" s="1756"/>
      <c r="G8" s="1756"/>
      <c r="H8" s="1756"/>
      <c r="I8" s="1372"/>
    </row>
    <row r="9" spans="1:12" ht="12.75">
      <c r="A9" s="3572"/>
      <c r="B9" s="3559"/>
      <c r="C9" s="3577"/>
      <c r="D9" s="3595"/>
      <c r="E9" s="131" t="s">
        <v>1273</v>
      </c>
      <c r="F9" s="1756"/>
      <c r="G9" s="1756"/>
      <c r="H9" s="1756"/>
      <c r="I9" s="1372"/>
    </row>
    <row r="10" spans="1:12" ht="12.75">
      <c r="A10" s="3572" t="s">
        <v>1274</v>
      </c>
      <c r="B10" s="3559">
        <v>15</v>
      </c>
      <c r="C10" s="3575"/>
      <c r="D10" s="3595"/>
      <c r="E10" s="131" t="s">
        <v>1275</v>
      </c>
      <c r="F10" s="1756"/>
      <c r="G10" s="1756"/>
      <c r="H10" s="1756"/>
      <c r="I10" s="1372"/>
    </row>
    <row r="11" spans="1:12" ht="12.75">
      <c r="A11" s="3572"/>
      <c r="B11" s="3559"/>
      <c r="C11" s="3577"/>
      <c r="D11" s="3595"/>
      <c r="E11" s="131" t="s">
        <v>1276</v>
      </c>
      <c r="F11" s="1756"/>
      <c r="G11" s="1756"/>
      <c r="H11" s="1756"/>
      <c r="I11" s="1372"/>
    </row>
    <row r="12" spans="1:12" ht="12.75">
      <c r="A12" s="3572" t="s">
        <v>1277</v>
      </c>
      <c r="B12" s="3559">
        <v>15</v>
      </c>
      <c r="C12" s="3575"/>
      <c r="D12" s="3595"/>
      <c r="E12" s="131" t="s">
        <v>1278</v>
      </c>
      <c r="F12" s="1756"/>
      <c r="G12" s="1756"/>
      <c r="H12" s="1756"/>
      <c r="I12" s="1372"/>
    </row>
    <row r="13" spans="1:12" ht="12.75">
      <c r="A13" s="3572"/>
      <c r="B13" s="3559"/>
      <c r="C13" s="3577"/>
      <c r="D13" s="3595"/>
      <c r="E13" s="131" t="s">
        <v>1279</v>
      </c>
      <c r="F13" s="1756"/>
      <c r="G13" s="1756"/>
      <c r="H13" s="1756"/>
      <c r="I13" s="1372"/>
    </row>
    <row r="14" spans="1:12" ht="12.75">
      <c r="A14" s="3572" t="s">
        <v>1280</v>
      </c>
      <c r="B14" s="3559">
        <v>30</v>
      </c>
      <c r="C14" s="3575">
        <v>5</v>
      </c>
      <c r="D14" s="3595">
        <v>5</v>
      </c>
      <c r="E14" s="131" t="s">
        <v>1281</v>
      </c>
      <c r="F14" s="1756"/>
      <c r="G14" s="1756"/>
      <c r="H14" s="1756"/>
      <c r="I14" s="1372"/>
    </row>
    <row r="15" spans="1:12" ht="12.75">
      <c r="A15" s="3572"/>
      <c r="B15" s="3559"/>
      <c r="C15" s="3576"/>
      <c r="D15" s="3595"/>
      <c r="E15" s="131" t="s">
        <v>1282</v>
      </c>
      <c r="F15" s="1756"/>
      <c r="G15" s="1756"/>
      <c r="H15" s="1756"/>
      <c r="I15" s="1372"/>
    </row>
    <row r="16" spans="1:12" ht="12.75">
      <c r="A16" s="3572"/>
      <c r="B16" s="3559"/>
      <c r="C16" s="3577"/>
      <c r="D16" s="3595"/>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82" t="s">
        <v>2129</v>
      </c>
      <c r="F18" s="3583"/>
      <c r="G18" s="3583"/>
      <c r="H18" s="3583"/>
      <c r="I18" s="3583"/>
      <c r="J18" s="3468" t="s">
        <v>3752</v>
      </c>
      <c r="K18" s="302" t="s">
        <v>1288</v>
      </c>
      <c r="L18" s="302">
        <f>IF(C1="",'数据-汇总表'!E3,SUMIF(项目类型,C1,'数据-汇总表'!E17:E26)+SUMIF(项目类型,C1,'数据-汇总表'!I17:I26))</f>
        <v>131855.63</v>
      </c>
      <c r="M18" s="302">
        <f>IF(C1="",'数据-汇总表'!E3,SUMIF(项目类型,C1,'数据-汇总表'!E17:E26))</f>
        <v>131855.63</v>
      </c>
    </row>
    <row r="19" spans="1:36" ht="15">
      <c r="A19" s="1760" t="s">
        <v>1289</v>
      </c>
      <c r="B19" s="1761" t="s">
        <v>1290</v>
      </c>
      <c r="C19" s="134">
        <f ca="1">SUMIF(INDIRECT("'"&amp;C4&amp;"'"&amp;"!A:A"),结果表!B19,INDIRECT("'"&amp;C4&amp;"'"&amp;"!B:B"))</f>
        <v>234277</v>
      </c>
      <c r="D19" s="135">
        <f ca="1">SUMIF(INDIRECT("'"&amp;D4&amp;"'"&amp;"!A:A"),结果表!B19,INDIRECT("'"&amp;D4&amp;"'"&amp;"!B:B"))</f>
        <v>208063</v>
      </c>
      <c r="E19" s="1760" t="s">
        <v>1291</v>
      </c>
      <c r="F19" s="1761" t="s">
        <v>1290</v>
      </c>
      <c r="G19" s="136">
        <f ca="1">ROUND(C19*$C$18+D19*$D$18,0)</f>
        <v>221170</v>
      </c>
      <c r="H19" s="1762" t="s">
        <v>1292</v>
      </c>
      <c r="I19" s="129"/>
      <c r="J19" s="3468">
        <v>223730</v>
      </c>
      <c r="K19" s="302" t="s">
        <v>1293</v>
      </c>
      <c r="L19" s="302">
        <f>IF(C1="",'数据-汇总表'!D3,SUMIF(项目类型,C1,'数据-汇总表'!D17:D26)+SUMIF(项目类型,C1,'数据-汇总表'!H17:H27))</f>
        <v>41486.36</v>
      </c>
      <c r="M19" s="302">
        <f>IF(C1="",'数据-汇总表'!D3,SUMIF(项目类型,C1,'数据-汇总表'!D17:D26))</f>
        <v>41486.36</v>
      </c>
    </row>
    <row r="20" spans="1:36" ht="15">
      <c r="A20" s="1763"/>
      <c r="B20" s="1026" t="s">
        <v>1294</v>
      </c>
      <c r="C20" s="137">
        <f ca="1">SUMIF(INDIRECT("'"&amp;C4&amp;"'"&amp;"!A:A"),结果表!B20,INDIRECT("'"&amp;C4&amp;"'"&amp;"!B:B"))</f>
        <v>17768</v>
      </c>
      <c r="D20" s="138">
        <f ca="1">SUMIF(INDIRECT("'"&amp;D4&amp;"'"&amp;"!A:A"),结果表!B20,INDIRECT("'"&amp;D4&amp;"'"&amp;"!B:B"))</f>
        <v>15780</v>
      </c>
      <c r="E20" s="1763"/>
      <c r="F20" s="1026" t="s">
        <v>1294</v>
      </c>
      <c r="G20" s="139">
        <f ca="1">ROUND(C20*$C$18+D20*$D$18,0)</f>
        <v>16774</v>
      </c>
      <c r="H20" s="808" t="s">
        <v>1295</v>
      </c>
      <c r="I20" s="129"/>
      <c r="J20" s="3468">
        <v>16968</v>
      </c>
    </row>
    <row r="21" spans="1:36" ht="15" customHeight="1" thickBot="1">
      <c r="A21" s="828"/>
      <c r="B21" s="1764" t="s">
        <v>1296</v>
      </c>
      <c r="C21" s="719">
        <f ca="1">ROUND(C19*10000/L19,0)</f>
        <v>56471</v>
      </c>
      <c r="D21" s="720">
        <f ca="1">ROUND(D19*10000/L19,0)</f>
        <v>50152</v>
      </c>
      <c r="E21" s="828"/>
      <c r="F21" s="1764" t="s">
        <v>1296</v>
      </c>
      <c r="G21" s="140">
        <f ca="1">ROUND(G19*10000/L19,0)</f>
        <v>53311</v>
      </c>
      <c r="H21" s="1765" t="s">
        <v>1295</v>
      </c>
      <c r="I21" s="129"/>
    </row>
    <row r="22" spans="1:36" ht="15" thickBot="1">
      <c r="A22" s="1687" t="s">
        <v>1297</v>
      </c>
      <c r="B22" s="1766"/>
      <c r="C22" s="1767"/>
      <c r="D22" s="721">
        <f ca="1">IF(C19&lt;D19,D19/C19-1,C19/D19-1)</f>
        <v>0.12599068551352244</v>
      </c>
      <c r="E22" s="129"/>
      <c r="F22" s="129"/>
      <c r="G22" s="129"/>
      <c r="H22" s="129"/>
      <c r="I22" s="129"/>
    </row>
    <row r="23" spans="1:36" ht="13.5" thickBot="1">
      <c r="A23" s="1746"/>
      <c r="B23" s="1746"/>
      <c r="C23" s="1746"/>
      <c r="D23" s="1746"/>
      <c r="E23" s="129"/>
      <c r="F23" s="129"/>
      <c r="G23" s="129"/>
      <c r="H23" s="129"/>
      <c r="I23" s="129"/>
    </row>
    <row r="24" spans="1:36" ht="14.25">
      <c r="A24" s="3566" t="s">
        <v>1298</v>
      </c>
      <c r="B24" s="1761" t="s">
        <v>1290</v>
      </c>
      <c r="C24" s="136">
        <f>IF(B30=0,0,D30)</f>
        <v>0</v>
      </c>
      <c r="D24" s="1768"/>
      <c r="E24" s="129"/>
      <c r="F24" s="129"/>
      <c r="G24" s="129"/>
      <c r="H24" s="129"/>
      <c r="I24" s="129"/>
    </row>
    <row r="25" spans="1:36" ht="14.25">
      <c r="A25" s="3567"/>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221170</v>
      </c>
      <c r="D32" s="1774" t="s">
        <v>3750</v>
      </c>
      <c r="E32" s="129"/>
      <c r="F32" s="129"/>
      <c r="G32" s="129"/>
      <c r="H32" s="129"/>
      <c r="I32" s="129"/>
    </row>
    <row r="33" spans="1:15" ht="15">
      <c r="A33" s="786" t="s">
        <v>1305</v>
      </c>
      <c r="B33" s="1775"/>
      <c r="C33" s="1776" t="s">
        <v>3751</v>
      </c>
      <c r="D33" s="1777" t="s">
        <v>3401</v>
      </c>
      <c r="E33" s="1778" t="s">
        <v>1306</v>
      </c>
      <c r="F33" s="1779" t="str">
        <f>IF(D32="楼面单价","取值（单价）","取值（总价）")</f>
        <v>取值（总价）</v>
      </c>
      <c r="G33" s="129"/>
      <c r="H33" s="129"/>
      <c r="I33" s="129"/>
    </row>
    <row r="34" spans="1:15" ht="15">
      <c r="A34" s="1780"/>
      <c r="B34" s="1781" t="s">
        <v>1307</v>
      </c>
      <c r="C34" s="148">
        <f ca="1">IF(C33="自定义",F34,C32-C35)</f>
        <v>161233</v>
      </c>
      <c r="D34" s="861">
        <f ca="1">IF(C33="自定义",ROUND(C34/C32,3),IF(C33="收益比率",SUMIF(INDIRECT("'"&amp;D33&amp;"'"&amp;"!b:b"),"土地收益比率",INDIRECT("'"&amp;D33&amp;"'"&amp;"!c:c")),SUMIF(INDIRECT("'"&amp;D33&amp;"'"&amp;"!b:b"),"土地成本比率",INDIRECT("'"&amp;D33&amp;"'"&amp;"!c:c"))))</f>
        <v>0.72899999999999998</v>
      </c>
      <c r="E34" s="1782" t="s">
        <v>1308</v>
      </c>
      <c r="F34" s="1329"/>
      <c r="G34" s="129"/>
      <c r="H34" s="129"/>
      <c r="I34" s="129"/>
    </row>
    <row r="35" spans="1:15" ht="15.75" thickBot="1">
      <c r="A35" s="1783"/>
      <c r="B35" s="1784" t="s">
        <v>1309</v>
      </c>
      <c r="C35" s="1170">
        <f ca="1">IF(C33="自定义",F35,ROUND(C32*D35,0))</f>
        <v>59937</v>
      </c>
      <c r="D35" s="1171">
        <f ca="1">IF(C33="自定义",ROUND(C35/C32,3),IF(C33="收益比率",SUMIF(INDIRECT("'"&amp;D33&amp;"'"&amp;"!b:b"),"建筑物收益比率",INDIRECT("'"&amp;D33&amp;"'"&amp;"!c:c")),SUMIF(INDIRECT("'"&amp;D33&amp;"'"&amp;"!b:b"),"建筑物成本比率",INDIRECT("'"&amp;D33&amp;"'"&amp;"!c:c"))))</f>
        <v>0.27100000000000002</v>
      </c>
      <c r="E35" s="1785" t="s">
        <v>1310</v>
      </c>
      <c r="F35" s="154"/>
      <c r="G35" s="129"/>
      <c r="H35" s="129"/>
      <c r="I35" s="129"/>
    </row>
    <row r="36" spans="1:15" ht="15.75" thickBot="1">
      <c r="A36" s="3586" t="s">
        <v>1311</v>
      </c>
      <c r="B36" s="1786" t="s">
        <v>1312</v>
      </c>
      <c r="C36" s="145"/>
      <c r="D36" s="1787"/>
      <c r="E36" s="1788"/>
      <c r="F36" s="1789"/>
      <c r="G36" s="129"/>
      <c r="H36" s="129"/>
      <c r="I36" s="129"/>
    </row>
    <row r="37" spans="1:15" ht="15.75" thickBot="1">
      <c r="A37" s="3587"/>
      <c r="B37" s="1673" t="s">
        <v>1313</v>
      </c>
      <c r="C37" s="147"/>
      <c r="D37" s="1139"/>
      <c r="E37" s="1139"/>
      <c r="F37" s="1789"/>
      <c r="G37" s="129"/>
      <c r="H37" s="129"/>
      <c r="I37" s="129"/>
    </row>
    <row r="38" spans="1:15" ht="15.75" thickBot="1">
      <c r="A38" s="3588"/>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3" t="s">
        <v>1325</v>
      </c>
      <c r="B45" s="3564"/>
      <c r="C45" s="3565"/>
      <c r="D45" s="155">
        <f ca="1">ROUND(H101*F45,0)</f>
        <v>221170</v>
      </c>
      <c r="E45" s="156" t="s">
        <v>1326</v>
      </c>
      <c r="F45" s="157">
        <v>1</v>
      </c>
      <c r="G45" s="158" t="s">
        <v>1327</v>
      </c>
      <c r="H45" s="129"/>
      <c r="I45" s="129"/>
      <c r="J45" s="3641" t="s">
        <v>1328</v>
      </c>
      <c r="K45" s="3641"/>
      <c r="L45" s="3641"/>
      <c r="M45" s="3641"/>
      <c r="N45" s="3641"/>
      <c r="O45" s="3641"/>
    </row>
    <row r="46" spans="1:15" ht="14.25" customHeight="1">
      <c r="A46" s="3560" t="s">
        <v>1329</v>
      </c>
      <c r="B46" s="3561"/>
      <c r="C46" s="3561"/>
      <c r="D46" s="3561"/>
      <c r="E46" s="3561"/>
      <c r="F46" s="3561"/>
      <c r="G46" s="3562"/>
      <c r="H46" s="1805"/>
      <c r="I46" s="159"/>
      <c r="J46" s="2522">
        <v>1</v>
      </c>
      <c r="K46" s="3622" t="s">
        <v>1330</v>
      </c>
      <c r="L46" s="3622"/>
      <c r="M46" s="3642"/>
      <c r="N46" s="3642"/>
      <c r="O46" s="3642"/>
    </row>
    <row r="47" spans="1:15" ht="12" customHeight="1">
      <c r="A47" s="160" t="s">
        <v>1331</v>
      </c>
      <c r="B47" s="161"/>
      <c r="C47" s="162"/>
      <c r="D47" s="1087" t="s">
        <v>1332</v>
      </c>
      <c r="E47" s="302" t="s">
        <v>1333</v>
      </c>
      <c r="F47" s="163" t="s">
        <v>1334</v>
      </c>
      <c r="G47" s="2545" t="s">
        <v>1335</v>
      </c>
      <c r="H47" s="2546"/>
      <c r="I47" s="159"/>
      <c r="J47" s="2522">
        <v>2</v>
      </c>
      <c r="K47" s="3622" t="s">
        <v>1336</v>
      </c>
      <c r="L47" s="3622"/>
      <c r="M47" s="3643">
        <f>'数据-取费表'!B2</f>
        <v>44929</v>
      </c>
      <c r="N47" s="3643"/>
      <c r="O47" s="3643"/>
    </row>
    <row r="48" spans="1:15" ht="25.5">
      <c r="A48" s="3591" t="s">
        <v>1337</v>
      </c>
      <c r="B48" s="3574"/>
      <c r="C48" s="357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622" t="s">
        <v>1339</v>
      </c>
      <c r="L48" s="3622"/>
      <c r="M48" s="3644">
        <f ca="1">H101</f>
        <v>221170</v>
      </c>
      <c r="N48" s="3644"/>
      <c r="O48" s="3644"/>
    </row>
    <row r="49" spans="1:35" ht="25.5" customHeight="1">
      <c r="A49" s="2332" t="s">
        <v>1340</v>
      </c>
      <c r="B49" s="3558" t="s">
        <v>1341</v>
      </c>
      <c r="C49" s="3558"/>
      <c r="D49" s="1589">
        <v>0</v>
      </c>
      <c r="E49" s="324" t="s">
        <v>1342</v>
      </c>
      <c r="F49" s="2423" t="s">
        <v>28</v>
      </c>
      <c r="G49" s="3628"/>
      <c r="H49" s="2309" t="s">
        <v>2132</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221170</v>
      </c>
      <c r="N49" s="3644"/>
      <c r="O49" s="3644"/>
    </row>
    <row r="50" spans="1:35" ht="25.5" customHeight="1">
      <c r="A50" s="2550"/>
      <c r="B50" s="3558" t="s">
        <v>1343</v>
      </c>
      <c r="C50" s="3558"/>
      <c r="D50" s="2551"/>
      <c r="E50" s="332"/>
      <c r="F50" s="2423"/>
      <c r="G50" s="3629"/>
      <c r="H50" s="2311" t="s">
        <v>2133</v>
      </c>
      <c r="I50" s="2310"/>
      <c r="J50" s="3641" t="s">
        <v>1344</v>
      </c>
      <c r="K50" s="3641"/>
      <c r="L50" s="3641"/>
      <c r="M50" s="3641"/>
      <c r="N50" s="3641"/>
      <c r="O50" s="3641"/>
    </row>
    <row r="51" spans="1:35" ht="20.45" customHeight="1">
      <c r="A51" s="2552"/>
      <c r="B51" s="3558" t="s">
        <v>1345</v>
      </c>
      <c r="C51" s="3558"/>
      <c r="D51" s="1087"/>
      <c r="E51" s="327"/>
      <c r="F51" s="2423"/>
      <c r="G51" s="3630"/>
      <c r="H51" s="2311" t="s">
        <v>2134</v>
      </c>
      <c r="I51" s="2310"/>
      <c r="J51" s="2523" t="s">
        <v>1346</v>
      </c>
      <c r="K51" s="3622" t="s">
        <v>1347</v>
      </c>
      <c r="L51" s="3622"/>
      <c r="M51" s="2523" t="s">
        <v>1348</v>
      </c>
      <c r="N51" s="2523" t="s">
        <v>1349</v>
      </c>
      <c r="O51" s="2523" t="s">
        <v>1350</v>
      </c>
    </row>
    <row r="52" spans="1:35" ht="24" customHeight="1">
      <c r="A52" s="2334" t="s">
        <v>1351</v>
      </c>
      <c r="B52" s="3558" t="s">
        <v>1352</v>
      </c>
      <c r="C52" s="3558"/>
      <c r="D52" s="1087">
        <f ca="1">ROUND(D45*'数据-取费表'!B41/(1+'数据-取费表'!C42),0)</f>
        <v>11585</v>
      </c>
      <c r="E52" s="2333" t="s">
        <v>1353</v>
      </c>
      <c r="F52" s="2553">
        <f>'数据-取费表'!B41</f>
        <v>5.5000000000000007E-2</v>
      </c>
      <c r="G52" s="2554"/>
      <c r="H52" s="2543"/>
      <c r="I52" s="1806"/>
      <c r="J52" s="2522">
        <v>1</v>
      </c>
      <c r="K52" s="3623" t="s">
        <v>1354</v>
      </c>
      <c r="L52" s="3623"/>
      <c r="M52" s="2524" t="b">
        <f>D48</f>
        <v>0</v>
      </c>
      <c r="N52" s="2522" t="str">
        <f>E48</f>
        <v>销售额×税（费）率</v>
      </c>
      <c r="O52" s="2525">
        <f>F48</f>
        <v>5.5000000000000007E-2</v>
      </c>
    </row>
    <row r="53" spans="1:35" ht="12" customHeight="1">
      <c r="A53" s="2334" t="s">
        <v>1355</v>
      </c>
      <c r="B53" s="3584" t="s">
        <v>2289</v>
      </c>
      <c r="C53" s="3585"/>
      <c r="D53" s="1087">
        <f ca="1">ROUND(D45*'数据-取费表'!B41/(1+'数据-取费表'!C42),0)</f>
        <v>11585</v>
      </c>
      <c r="E53" s="2333" t="s">
        <v>1353</v>
      </c>
      <c r="F53" s="2553">
        <f>'数据-取费表'!B41</f>
        <v>5.5000000000000007E-2</v>
      </c>
      <c r="G53" s="2554"/>
      <c r="H53" s="2543"/>
      <c r="I53" s="1806"/>
      <c r="J53" s="2522">
        <v>2</v>
      </c>
      <c r="K53" s="3623" t="s">
        <v>1356</v>
      </c>
      <c r="L53" s="3623"/>
      <c r="M53" s="2524">
        <f t="shared" ref="M53:O54" ca="1" si="0">D55</f>
        <v>111</v>
      </c>
      <c r="N53" s="2522" t="str">
        <f t="shared" si="0"/>
        <v>销售额×税（费）率</v>
      </c>
      <c r="O53" s="2525" t="str">
        <f t="shared" si="0"/>
        <v>免征</v>
      </c>
    </row>
    <row r="54" spans="1:35" ht="12" customHeight="1">
      <c r="A54" s="2334" t="s">
        <v>1357</v>
      </c>
      <c r="B54" s="3584" t="s">
        <v>2290</v>
      </c>
      <c r="C54" s="3585"/>
      <c r="D54" s="1087">
        <f ca="1">C68</f>
        <v>11585</v>
      </c>
      <c r="E54" s="327" t="s">
        <v>1358</v>
      </c>
      <c r="F54" s="2553">
        <f>'数据-取费表'!B41</f>
        <v>5.5000000000000007E-2</v>
      </c>
      <c r="G54" s="2554"/>
      <c r="H54" s="2555"/>
      <c r="I54" s="1806"/>
      <c r="J54" s="2522">
        <v>3</v>
      </c>
      <c r="K54" s="3623" t="s">
        <v>1359</v>
      </c>
      <c r="L54" s="3623"/>
      <c r="M54" s="2524">
        <f t="shared" ca="1" si="0"/>
        <v>125382</v>
      </c>
      <c r="N54" s="2522" t="str">
        <f t="shared" si="0"/>
        <v>增值额×税（费）率</v>
      </c>
      <c r="O54" s="2526" t="str">
        <f t="shared" si="0"/>
        <v>免征</v>
      </c>
    </row>
    <row r="55" spans="1:35" ht="24" customHeight="1">
      <c r="A55" s="3573" t="s">
        <v>1360</v>
      </c>
      <c r="B55" s="3574"/>
      <c r="C55" s="3574"/>
      <c r="D55" s="2323">
        <f ca="1">IF(H55="个人住宅",0,ROUND(D45*I55,0))</f>
        <v>111</v>
      </c>
      <c r="E55" s="2333" t="s">
        <v>1361</v>
      </c>
      <c r="F55" s="2553" t="str">
        <f>IF(H55="正常",I55,"免征")</f>
        <v>免征</v>
      </c>
      <c r="G55" s="2554"/>
      <c r="H55" s="2549"/>
      <c r="I55" s="165">
        <f>'数据-取费表'!B49</f>
        <v>5.0000000000000001E-4</v>
      </c>
      <c r="J55" s="2522">
        <f>IF(H59="非个人房产","",4)</f>
        <v>4</v>
      </c>
      <c r="K55" s="3623" t="str">
        <f>IF(H59="非个人房产","——","个人所得税")</f>
        <v>个人所得税</v>
      </c>
      <c r="L55" s="3623"/>
      <c r="M55" s="2527">
        <f ca="1">D59</f>
        <v>2106</v>
      </c>
      <c r="N55" s="2039" t="str">
        <f>E59</f>
        <v>差额计税</v>
      </c>
      <c r="O55" s="2528">
        <f>F59</f>
        <v>0.01</v>
      </c>
    </row>
    <row r="56" spans="1:35" ht="24.75">
      <c r="A56" s="3573" t="s">
        <v>1362</v>
      </c>
      <c r="B56" s="3574"/>
      <c r="C56" s="3574"/>
      <c r="D56" s="2323">
        <f ca="1">IF(H56="个人住宅",D57,D58)</f>
        <v>125382</v>
      </c>
      <c r="E56" s="2333" t="s">
        <v>1363</v>
      </c>
      <c r="F56" s="2553" t="str">
        <f>IF(H56="正常",F58,"免征")</f>
        <v>免征</v>
      </c>
      <c r="G56" s="2556" t="s">
        <v>1364</v>
      </c>
      <c r="H56" s="2557"/>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1340</v>
      </c>
      <c r="B57" s="3584" t="s">
        <v>1365</v>
      </c>
      <c r="C57" s="3585"/>
      <c r="D57" s="1589">
        <v>0</v>
      </c>
      <c r="E57" s="324" t="s">
        <v>1342</v>
      </c>
      <c r="F57" s="302"/>
      <c r="G57" s="2554"/>
      <c r="H57" s="2558"/>
      <c r="I57" s="1807"/>
      <c r="J57" s="3623">
        <f>IF(AND(J55="",J56=""),4,IF(项目基本情况!K6="上海银行",结果表!J56+1,结果表!J55+1))</f>
        <v>5</v>
      </c>
      <c r="K57" s="3623" t="s">
        <v>1366</v>
      </c>
      <c r="L57" s="2529" t="s">
        <v>1367</v>
      </c>
      <c r="M57" s="2530"/>
      <c r="N57" s="2531">
        <f ca="1">SUMIF(M52:M56,"&lt;9e307")</f>
        <v>127599</v>
      </c>
      <c r="O57" s="2532"/>
      <c r="P57" s="2689">
        <f ca="1">N57/M49</f>
        <v>0.57692725053126559</v>
      </c>
    </row>
    <row r="58" spans="1:35" ht="24.75">
      <c r="A58" s="2334" t="s">
        <v>1351</v>
      </c>
      <c r="B58" s="3584" t="s">
        <v>1368</v>
      </c>
      <c r="C58" s="3558"/>
      <c r="D58" s="2323">
        <f ca="1">IF(H58="转让取得",C81,C97)</f>
        <v>125382</v>
      </c>
      <c r="E58" s="2333" t="s">
        <v>1363</v>
      </c>
      <c r="F58" s="302" t="s">
        <v>28</v>
      </c>
      <c r="G58" s="2554"/>
      <c r="H58" s="2557"/>
      <c r="I58" s="1807"/>
      <c r="J58" s="3623"/>
      <c r="K58" s="3623"/>
      <c r="L58" s="2529" t="s">
        <v>1369</v>
      </c>
      <c r="M58" s="2533"/>
      <c r="N58" s="2534" t="str">
        <f ca="1">NUMBERSTRING(INT(N57*10000),2)&amp;"元整"</f>
        <v>壹拾贰亿柒仟伍佰玖拾玖万元整</v>
      </c>
      <c r="O58" s="2535"/>
    </row>
    <row r="59" spans="1:35" ht="24.75" thickBot="1">
      <c r="A59" s="3626" t="s">
        <v>1370</v>
      </c>
      <c r="B59" s="3627"/>
      <c r="C59" s="3627"/>
      <c r="D59" s="2559">
        <f ca="1">IF(H59="非个人房产","——",IF(H59="个人住宅（满五唯一有凭证）",0,IF(H59="个人其他（无凭证）",ROUND(D45*F59,0),ROUND(C67*F59,0))))</f>
        <v>2106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624">
        <f>J57+1</f>
        <v>6</v>
      </c>
      <c r="K59" s="3623" t="s">
        <v>1371</v>
      </c>
      <c r="L59" s="2522" t="s">
        <v>1367</v>
      </c>
      <c r="M59" s="2536"/>
      <c r="N59" s="2537">
        <f ca="1">M49-N57</f>
        <v>93571</v>
      </c>
      <c r="O59" s="2538"/>
    </row>
    <row r="60" spans="1:35" ht="12" customHeight="1">
      <c r="A60" s="1808"/>
      <c r="B60" s="1746"/>
      <c r="C60" s="1746"/>
      <c r="D60" s="1746"/>
      <c r="E60" s="1577"/>
      <c r="F60" s="1807"/>
      <c r="G60" s="1807"/>
      <c r="H60" s="1809"/>
      <c r="I60" s="129"/>
      <c r="J60" s="3625"/>
      <c r="K60" s="3623"/>
      <c r="L60" s="2529" t="s">
        <v>1369</v>
      </c>
      <c r="M60" s="2533"/>
      <c r="N60" s="2534" t="str">
        <f ca="1">NUMBERSTRING(INT(N59*10000),2)&amp;"元整"</f>
        <v>玖亿叁仟伍佰柒拾壹万元整</v>
      </c>
      <c r="O60" s="2535"/>
    </row>
    <row r="61" spans="1:35" ht="13.5" thickBot="1">
      <c r="A61" s="3571" t="s">
        <v>1372</v>
      </c>
      <c r="B61" s="3571"/>
      <c r="C61" s="3571"/>
      <c r="D61" s="3571"/>
      <c r="E61" s="3571"/>
      <c r="F61" s="1807"/>
      <c r="G61" s="1807"/>
      <c r="H61" s="1809"/>
      <c r="I61" s="129"/>
      <c r="J61" s="2522">
        <f>J59+1</f>
        <v>7</v>
      </c>
      <c r="K61" s="3623" t="s">
        <v>1373</v>
      </c>
      <c r="L61" s="3623"/>
      <c r="M61" s="2539"/>
      <c r="N61" s="2540">
        <f ca="1">ROUND(N59*10000/'数据-汇总表'!E3,0)</f>
        <v>7096</v>
      </c>
      <c r="O61" s="2541"/>
    </row>
    <row r="62" spans="1:35" ht="12.75">
      <c r="A62" s="3589" t="s">
        <v>1374</v>
      </c>
      <c r="B62" s="3590"/>
      <c r="C62" s="2020"/>
      <c r="D62" s="2020" t="s">
        <v>1375</v>
      </c>
      <c r="E62" s="166" t="s">
        <v>1376</v>
      </c>
      <c r="F62" s="1807"/>
      <c r="G62" s="1807"/>
      <c r="H62" s="1809"/>
      <c r="I62" s="129"/>
    </row>
    <row r="63" spans="1:35" ht="12.75">
      <c r="A63" s="173" t="s">
        <v>330</v>
      </c>
      <c r="B63" s="167" t="s">
        <v>1377</v>
      </c>
      <c r="C63" s="2563">
        <f ca="1">ROUND((C64+C65)/(1+'数据-取费表'!C42),0)</f>
        <v>210638</v>
      </c>
      <c r="D63" s="167"/>
      <c r="E63" s="168"/>
      <c r="F63" s="1807"/>
      <c r="G63" s="1807"/>
      <c r="H63" s="1809"/>
      <c r="I63" s="129"/>
      <c r="J63" s="3648" t="s">
        <v>1378</v>
      </c>
      <c r="K63" s="1331" t="s">
        <v>1379</v>
      </c>
      <c r="L63" s="1331">
        <f ca="1">IF(M49&gt;10000,M49*0.5%,IF(AND(M49&gt;1000,M49&lt;=10000),M49*1%,IF(AND(M49&gt;100,M49&lt;=1000),M49*3%,IF(AND(M49&gt;10,M49&lt;=100),M49*5%,M49*8%))))</f>
        <v>1105.8500000000001</v>
      </c>
      <c r="M63" s="302">
        <f ca="1">ROUND(L63,1)</f>
        <v>1105.9000000000001</v>
      </c>
      <c r="N63" s="2542"/>
      <c r="Z63" s="1751"/>
      <c r="AI63" s="1752"/>
    </row>
    <row r="64" spans="1:35" ht="14.25" customHeight="1">
      <c r="A64" s="169" t="s">
        <v>325</v>
      </c>
      <c r="B64" s="170" t="s">
        <v>1380</v>
      </c>
      <c r="C64" s="2564">
        <f ca="1">D45</f>
        <v>221170</v>
      </c>
      <c r="D64" s="170" t="s">
        <v>26</v>
      </c>
      <c r="E64" s="172"/>
      <c r="F64" s="1807"/>
      <c r="G64" s="1807"/>
      <c r="H64" s="1809"/>
      <c r="I64" s="129"/>
      <c r="J64" s="3648"/>
      <c r="K64" s="1331" t="s">
        <v>1381</v>
      </c>
      <c r="L64" s="1331">
        <f ca="1">IF(M49&gt;2000,M49*0.5%,IF(AND(M49&gt;1000,M49&lt;=2000),M49*0.6%,IF(AND(M49&gt;500,M49&lt;=1000),M49*0.7%,IF(AND(M49&gt;200,M49&lt;=500),M49*0.8%,IF(AND(M49&gt;100,M49&lt;=200),M49*0.9%,IF(AND(M49&gt;50,M49&lt;=100),M49*1%,IF(AND(M49&gt;20,M49&lt;=50),M49*1.5%,IF(AND(M49&gt;10,M49&lt;=20),M49*2%,IF(AND(M49&gt;1,M49&lt;=10),M49*2.5%)))))))))</f>
        <v>1105.8500000000001</v>
      </c>
      <c r="M64" s="302">
        <f t="shared" ref="M64:M65" ca="1" si="1">ROUND(L64,1)</f>
        <v>1105.9000000000001</v>
      </c>
      <c r="N64" s="2543" t="s">
        <v>1382</v>
      </c>
      <c r="Z64" s="1751"/>
      <c r="AI64" s="1752"/>
    </row>
    <row r="65" spans="1:35" ht="14.25" customHeight="1">
      <c r="A65" s="169" t="s">
        <v>326</v>
      </c>
      <c r="B65" s="170" t="s">
        <v>1383</v>
      </c>
      <c r="C65" s="2565"/>
      <c r="D65" s="170"/>
      <c r="E65" s="172"/>
      <c r="F65" s="1807"/>
      <c r="G65" s="1807"/>
      <c r="H65" s="1809"/>
      <c r="I65" s="129"/>
      <c r="J65" s="3648"/>
      <c r="K65" s="1331" t="s">
        <v>1384</v>
      </c>
      <c r="L65" s="1331">
        <f ca="1">IF(M49&gt;1000,M49*0.1%,IF(AND(M49&gt;500,M49&lt;=1000),M49*0.5%,IF(AND(M49&gt;50,M49&lt;=500),M49*1%,IF(AND(M49&gt;1,M49&lt;=50),M49*1.5%))))</f>
        <v>221.17000000000002</v>
      </c>
      <c r="M65" s="302">
        <f t="shared" ca="1" si="1"/>
        <v>221.2</v>
      </c>
      <c r="N65" s="2543" t="s">
        <v>1382</v>
      </c>
      <c r="Z65" s="1751"/>
      <c r="AI65" s="1752"/>
    </row>
    <row r="66" spans="1:35" ht="14.25" customHeight="1">
      <c r="A66" s="173" t="s">
        <v>327</v>
      </c>
      <c r="B66" s="174" t="s">
        <v>1385</v>
      </c>
      <c r="C66" s="2566"/>
      <c r="D66" s="174" t="s">
        <v>26</v>
      </c>
      <c r="E66" s="1337" t="s">
        <v>671</v>
      </c>
      <c r="F66" s="1807"/>
      <c r="G66" s="1807"/>
      <c r="H66" s="1809"/>
      <c r="I66" s="129"/>
      <c r="J66" s="3648"/>
      <c r="K66" s="1331" t="s">
        <v>1386</v>
      </c>
      <c r="L66" s="1331">
        <f ca="1">M49*0.5%</f>
        <v>1105.8500000000001</v>
      </c>
      <c r="M66" s="302">
        <f ca="1">IF(L66&gt;0.5,0.5,ROUND(L66,0))</f>
        <v>0.5</v>
      </c>
      <c r="N66" s="2543" t="s">
        <v>1387</v>
      </c>
      <c r="Z66" s="1751"/>
      <c r="AI66" s="1752"/>
    </row>
    <row r="67" spans="1:35" ht="14.25" customHeight="1">
      <c r="A67" s="173" t="s">
        <v>328</v>
      </c>
      <c r="B67" s="174" t="s">
        <v>1388</v>
      </c>
      <c r="C67" s="2567">
        <f ca="1">C63-C66</f>
        <v>210638</v>
      </c>
      <c r="D67" s="170" t="s">
        <v>26</v>
      </c>
      <c r="E67" s="172"/>
      <c r="F67" s="1807"/>
      <c r="G67" s="1807"/>
      <c r="H67" s="1809"/>
      <c r="I67" s="129"/>
      <c r="J67" s="3648"/>
      <c r="K67" s="1331" t="s">
        <v>1389</v>
      </c>
      <c r="L67" s="1331">
        <f ca="1">IF(M49&gt;=10000,(8.25+(M49-10000)*0.01%),IF(AND(M49&gt;=8000,M49&lt;10000),(7.85+(M49-8000)*0.02%),IF(AND(M49&gt;=5000,M49&lt;8000),(6.65+(M49-5000)*0.04%),IF(AND(M49&gt;=2000,M49&lt;5000),(4.25+(PM49-2000)*0.08%),IF(AND(M49&gt;=1000,M49&lt;2000),(2.75+(M49-1000)*0.15%),IF(AND(M49&gt;=100,M49&lt;1000),(0.5+(M49-100)*0.25%),IF(AND(M49&gt;0,M49&lt;100),M49*0.5%)))))))</f>
        <v>29.367000000000001</v>
      </c>
      <c r="M67" s="302">
        <f ca="1">ROUND(L67*0.9,1)</f>
        <v>26.4</v>
      </c>
      <c r="N67" s="2542"/>
      <c r="Z67" s="1751"/>
      <c r="AI67" s="1752"/>
    </row>
    <row r="68" spans="1:35" ht="14.25" customHeight="1" thickBot="1">
      <c r="A68" s="176" t="s">
        <v>329</v>
      </c>
      <c r="B68" s="177" t="s">
        <v>1390</v>
      </c>
      <c r="C68" s="2568">
        <f ca="1">IF(C67&lt;=0,0,ROUND(C67*D68,0))</f>
        <v>11585</v>
      </c>
      <c r="D68" s="2569">
        <f>'数据-取费表'!B41</f>
        <v>5.5000000000000007E-2</v>
      </c>
      <c r="E68" s="178"/>
      <c r="F68" s="1807"/>
      <c r="G68" s="1807"/>
      <c r="H68" s="1809"/>
      <c r="I68" s="129"/>
      <c r="J68" s="3648"/>
      <c r="K68" s="1331" t="s">
        <v>1391</v>
      </c>
      <c r="L68" s="1331">
        <f ca="1">IF(M49&gt;10000,M49*0.5%,IF(AND(M49&gt;5000,M49&lt;=10000),M49*1%,IF(AND(M49&gt;1000,M49&lt;=5000),M49*2%,IF(AND(M49&gt;200,M49&lt;=1000),M49*3%,M49*5%))))</f>
        <v>1105.8500000000001</v>
      </c>
      <c r="M68" s="302">
        <f ca="1">ROUND(L68,1)</f>
        <v>1105.9000000000001</v>
      </c>
      <c r="N68" s="2542"/>
      <c r="Z68" s="1751"/>
      <c r="AI68" s="1752"/>
    </row>
    <row r="69" spans="1:35" s="1771" customFormat="1" ht="16.5" customHeight="1">
      <c r="A69" s="1810"/>
      <c r="B69" s="1811"/>
      <c r="C69" s="1812"/>
      <c r="D69" s="1813"/>
      <c r="E69" s="1814"/>
      <c r="F69" s="1577"/>
      <c r="G69" s="1577"/>
      <c r="H69" s="1576"/>
      <c r="I69" s="1746"/>
      <c r="J69" s="3648"/>
      <c r="K69" s="1331" t="s">
        <v>1392</v>
      </c>
      <c r="L69" s="1331"/>
      <c r="M69" s="302">
        <f ca="1">ROUND(SUM(M63:M68),0)</f>
        <v>3566</v>
      </c>
      <c r="N69" s="2544">
        <f ca="1">M69/M49</f>
        <v>1.6123344034000994E-2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1393</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1374</v>
      </c>
      <c r="B71" s="3590"/>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210638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1053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584" t="s">
        <v>1401</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1053</v>
      </c>
      <c r="D78" s="2576">
        <f>'数据-取费表'!B43</f>
        <v>5.000000000000001E-3</v>
      </c>
      <c r="E78" s="3568" t="s">
        <v>1405</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209585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199.0360873694207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125382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1409</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1374</v>
      </c>
      <c r="B84" s="3590"/>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210638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1053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650" t="s">
        <v>2127</v>
      </c>
      <c r="H90" s="3651"/>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568" t="s">
        <v>1418</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568" t="s">
        <v>1421</v>
      </c>
      <c r="F92" s="3569"/>
      <c r="G92" s="3569"/>
      <c r="H92" s="3578"/>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1053</v>
      </c>
      <c r="D93" s="2576">
        <f>'数据-取费表'!B43</f>
        <v>5.000000000000001E-3</v>
      </c>
      <c r="E93" s="3568" t="s">
        <v>1405</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579" t="s">
        <v>1425</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209585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199.0360873694207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125382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52" t="s">
        <v>1427</v>
      </c>
      <c r="B100" s="3553"/>
      <c r="C100" s="3553"/>
      <c r="D100" s="3570"/>
      <c r="E100" s="3553" t="s">
        <v>1428</v>
      </c>
      <c r="F100" s="3553"/>
      <c r="G100" s="3553"/>
      <c r="H100" s="3570"/>
      <c r="I100" s="129"/>
    </row>
    <row r="101" spans="1:35" ht="18.75" customHeight="1">
      <c r="A101" s="3631" t="s">
        <v>1429</v>
      </c>
      <c r="B101" s="3632"/>
      <c r="C101" s="2584" t="str">
        <f>C4</f>
        <v>成本法</v>
      </c>
      <c r="D101" s="2585" t="str">
        <f>D4</f>
        <v>收益法（汇总）</v>
      </c>
      <c r="E101" s="3645" t="s">
        <v>1430</v>
      </c>
      <c r="F101" s="3602"/>
      <c r="G101" s="1826" t="s">
        <v>1431</v>
      </c>
      <c r="H101" s="2594">
        <f ca="1">H118</f>
        <v>221170</v>
      </c>
      <c r="I101" s="129"/>
    </row>
    <row r="102" spans="1:35" ht="18.75" customHeight="1">
      <c r="A102" s="3604" t="s">
        <v>1432</v>
      </c>
      <c r="B102" s="2583" t="s">
        <v>1431</v>
      </c>
      <c r="C102" s="2584">
        <f ca="1">IF(D32="楼面单价",ROUND(C19,0),C19)</f>
        <v>234277</v>
      </c>
      <c r="D102" s="2585">
        <f ca="1">IF(D32="楼面单价",ROUND(D19,0),D19)</f>
        <v>208063</v>
      </c>
      <c r="E102" s="3645"/>
      <c r="F102" s="3602"/>
      <c r="G102" s="1826" t="s">
        <v>1433</v>
      </c>
      <c r="H102" s="2554">
        <f ca="1">I118</f>
        <v>16774</v>
      </c>
      <c r="I102" s="129"/>
    </row>
    <row r="103" spans="1:35" ht="42.75" customHeight="1">
      <c r="A103" s="3604"/>
      <c r="B103" s="2583" t="s">
        <v>1433</v>
      </c>
      <c r="C103" s="2586">
        <f ca="1">C20</f>
        <v>17768</v>
      </c>
      <c r="D103" s="2587">
        <f ca="1">D20</f>
        <v>15780</v>
      </c>
      <c r="E103" s="3639" t="s">
        <v>1434</v>
      </c>
      <c r="F103" s="3640"/>
      <c r="G103" s="1827" t="s">
        <v>1435</v>
      </c>
      <c r="H103" s="2594">
        <f>IF(D36="正常操作",H104+H105+H106,H105+H106)</f>
        <v>0</v>
      </c>
      <c r="I103" s="129"/>
    </row>
    <row r="104" spans="1:35" ht="18.75" customHeight="1">
      <c r="A104" s="3604" t="s">
        <v>1436</v>
      </c>
      <c r="B104" s="2588" t="s">
        <v>1431</v>
      </c>
      <c r="C104" s="2589">
        <f ca="1">H118</f>
        <v>221170</v>
      </c>
      <c r="D104" s="2590"/>
      <c r="E104" s="1673" t="s">
        <v>1437</v>
      </c>
      <c r="F104" s="1665"/>
      <c r="G104" s="1827" t="s">
        <v>1435</v>
      </c>
      <c r="H104" s="2595">
        <f>IF(D36="同一抵押权人同一抵押物续贷",C36&amp;"（续贷，未扣减，详见特别提示）",C36)</f>
        <v>0</v>
      </c>
      <c r="I104" s="129"/>
    </row>
    <row r="105" spans="1:35" ht="18.75" customHeight="1" thickBot="1">
      <c r="A105" s="3605"/>
      <c r="B105" s="2591" t="s">
        <v>1433</v>
      </c>
      <c r="C105" s="2592">
        <f ca="1">I118</f>
        <v>16774</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601" t="str">
        <f>IF(项目基本情况!E8="已注销","——","3.房地产抵押价值")</f>
        <v>3.房地产抵押价值</v>
      </c>
      <c r="F107" s="3602"/>
      <c r="G107" s="1826" t="s">
        <v>1431</v>
      </c>
      <c r="H107" s="2594">
        <f ca="1">IF(E107="——","——",H101-H103)</f>
        <v>221170</v>
      </c>
      <c r="I107" s="129"/>
    </row>
    <row r="108" spans="1:35" ht="18.75" customHeight="1">
      <c r="A108" s="129"/>
      <c r="B108" s="129"/>
      <c r="C108" s="129"/>
      <c r="D108" s="129"/>
      <c r="E108" s="3601"/>
      <c r="F108" s="3602"/>
      <c r="G108" s="1826" t="s">
        <v>1433</v>
      </c>
      <c r="H108" s="2554">
        <f ca="1">IF(H107=H101,H102,ROUND(H107*10000/'数据-汇总表'!E3,0))</f>
        <v>16774</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1431</v>
      </c>
      <c r="H109" s="2597" t="str">
        <f>IF(E109="——","——",H101-H105-H106)</f>
        <v>——</v>
      </c>
      <c r="I109" s="129"/>
    </row>
    <row r="110" spans="1:35" ht="18.75" customHeight="1">
      <c r="A110" s="129"/>
      <c r="B110" s="129"/>
      <c r="C110" s="129"/>
      <c r="D110" s="129"/>
      <c r="E110" s="3601"/>
      <c r="F110" s="3602"/>
      <c r="G110" s="1826" t="s">
        <v>1433</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1431</v>
      </c>
      <c r="H111" s="2594" t="str">
        <f>IF(E111="——","——",N59)</f>
        <v>——</v>
      </c>
      <c r="I111" s="129"/>
    </row>
    <row r="112" spans="1:35" ht="18.75" customHeight="1" thickBot="1">
      <c r="A112" s="129"/>
      <c r="B112" s="129"/>
      <c r="C112" s="129"/>
      <c r="D112" s="129"/>
      <c r="E112" s="3634"/>
      <c r="F112" s="3635"/>
      <c r="G112" s="1829" t="s">
        <v>1433</v>
      </c>
      <c r="H112" s="2598" t="str">
        <f>IF(E111="——","——",N61)</f>
        <v>——</v>
      </c>
      <c r="I112" s="129"/>
    </row>
    <row r="113" spans="1:27" ht="18.75" customHeight="1">
      <c r="A113" s="129"/>
      <c r="B113" s="129"/>
      <c r="C113" s="129"/>
      <c r="D113" s="129"/>
      <c r="E113" s="3606" t="s">
        <v>1439</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1441</v>
      </c>
      <c r="B115" s="3617"/>
      <c r="C115" s="3617"/>
      <c r="D115" s="3617"/>
      <c r="E115" s="3617"/>
      <c r="F115" s="3617"/>
      <c r="G115" s="3617"/>
      <c r="H115" s="3617"/>
      <c r="I115" s="3618"/>
    </row>
    <row r="116" spans="1:27" ht="27" customHeight="1">
      <c r="A116" s="3572" t="s">
        <v>1442</v>
      </c>
      <c r="B116" s="3607" t="s">
        <v>1443</v>
      </c>
      <c r="C116" s="3607" t="s">
        <v>1444</v>
      </c>
      <c r="D116" s="3620" t="s">
        <v>1445</v>
      </c>
      <c r="E116" s="3621"/>
      <c r="F116" s="3615" t="s">
        <v>1446</v>
      </c>
      <c r="G116" s="3615"/>
      <c r="H116" s="3572" t="s">
        <v>1447</v>
      </c>
      <c r="I116" s="3572"/>
    </row>
    <row r="117" spans="1:27" ht="18.75" customHeight="1">
      <c r="A117" s="3572"/>
      <c r="B117" s="3608"/>
      <c r="C117" s="3608"/>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131855.63</v>
      </c>
      <c r="C118" s="2328">
        <f>M19</f>
        <v>41486.36</v>
      </c>
      <c r="D118" s="2328">
        <f ca="1">ROUND(IF(D32="总价",C34,E118*B118/10000),0)</f>
        <v>161233</v>
      </c>
      <c r="E118" s="2328">
        <f ca="1">ROUND(IF(C33="自定义",IF(D32="楼面单价",C34,D118*10000/B118),I118-G118),0)</f>
        <v>12228</v>
      </c>
      <c r="F118" s="2328">
        <f ca="1">ROUND(IF(D32="总价",C35,G118*B118/10000),0)</f>
        <v>59937</v>
      </c>
      <c r="G118" s="2328">
        <f ca="1">ROUND(IF(D32="楼面单价",C35,F118*10000/B118),0)</f>
        <v>4546</v>
      </c>
      <c r="H118" s="2328">
        <f ca="1">ROUND(IF(D32="总价",C32,I118*B118/10000),0)</f>
        <v>221170</v>
      </c>
      <c r="I118" s="2328">
        <f ca="1">ROUND(IF(D32="楼面单价",C32,H118*10000/B118),0)</f>
        <v>16774</v>
      </c>
    </row>
    <row r="119" spans="1:27" ht="18.75" customHeight="1">
      <c r="A119" s="3572" t="s">
        <v>1451</v>
      </c>
      <c r="B119" s="3572"/>
      <c r="C119" s="3572"/>
      <c r="D119" s="3612" t="str">
        <f ca="1">NUMBERSTRING(INT(D118*10000),2)&amp;"元整"</f>
        <v>壹拾陆亿壹仟贰佰叁拾叁万元整</v>
      </c>
      <c r="E119" s="3614"/>
      <c r="F119" s="3612" t="str">
        <f ca="1">NUMBERSTRING(INT(F118*10000),2)&amp;"元整"</f>
        <v>伍亿玖仟玖佰叁拾柒万元整</v>
      </c>
      <c r="G119" s="3614"/>
      <c r="H119" s="3612" t="str">
        <f ca="1">NUMBERSTRING(INT(H118*10000),2)&amp;"元整"</f>
        <v>贰拾贰亿壹仟壹佰柒拾万元整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1451</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221170</v>
      </c>
      <c r="E122" s="3637"/>
      <c r="F122" s="3637"/>
      <c r="G122" s="3637"/>
      <c r="H122" s="3637"/>
      <c r="I122" s="3638"/>
      <c r="AA122" s="725"/>
    </row>
    <row r="123" spans="1:27" ht="18.75" customHeight="1">
      <c r="A123" s="3572" t="s">
        <v>1451</v>
      </c>
      <c r="B123" s="3572"/>
      <c r="C123" s="3572"/>
      <c r="D123" s="3612" t="str">
        <f ca="1">NUMBERSTRING(INT(D122*10000),2)&amp;"元整"</f>
        <v>贰拾贰亿壹仟壹佰柒拾万元整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1451</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1451</v>
      </c>
      <c r="B127" s="3572"/>
      <c r="C127" s="3572"/>
      <c r="D127" s="3612" t="e">
        <f>NUMBERSTRING(INT(D126*10000),2)&amp;"元整"</f>
        <v>#VALUE!</v>
      </c>
      <c r="E127" s="3613"/>
      <c r="F127" s="3613"/>
      <c r="G127" s="3613"/>
      <c r="H127" s="3613"/>
      <c r="I127" s="3614"/>
      <c r="AA127" s="725"/>
    </row>
    <row r="128" spans="1:27" ht="21.75" customHeight="1">
      <c r="A128" s="3619" t="s">
        <v>1452</v>
      </c>
      <c r="B128" s="3619"/>
      <c r="C128" s="3619"/>
      <c r="D128" s="3619"/>
      <c r="E128" s="3619"/>
      <c r="F128" s="3619"/>
      <c r="G128" s="3619"/>
      <c r="H128" s="3619"/>
      <c r="I128" s="3619"/>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234277</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17768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127858</v>
      </c>
      <c r="D5" s="211" t="s">
        <v>1468</v>
      </c>
      <c r="E5" s="212" t="s">
        <v>1469</v>
      </c>
      <c r="F5" s="212" t="s">
        <v>1470</v>
      </c>
      <c r="G5" s="213"/>
    </row>
    <row r="6" spans="1:9" s="214" customFormat="1" ht="13.5" customHeight="1">
      <c r="A6" s="778" t="s">
        <v>1471</v>
      </c>
      <c r="B6" s="215" t="s">
        <v>1472</v>
      </c>
      <c r="C6" s="216">
        <f>'土地比较法-住宅、综合'!B2</f>
        <v>121515</v>
      </c>
      <c r="D6" s="217"/>
      <c r="E6" s="218"/>
      <c r="F6" s="218"/>
      <c r="G6" s="219"/>
    </row>
    <row r="7" spans="1:9" s="214" customFormat="1" ht="13.5" customHeight="1">
      <c r="A7" s="778" t="s">
        <v>1473</v>
      </c>
      <c r="B7" s="215" t="s">
        <v>1474</v>
      </c>
      <c r="C7" s="220">
        <f>ROUND(C6*F7,0)</f>
        <v>3706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2637</v>
      </c>
      <c r="D8" s="222"/>
      <c r="E8" s="220"/>
      <c r="F8" s="221"/>
      <c r="G8" s="1855" t="s">
        <v>3747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3748</v>
      </c>
      <c r="H9" s="1137"/>
      <c r="I9" s="1857" t="s">
        <v>1478</v>
      </c>
    </row>
    <row r="10" spans="1:9" s="214" customFormat="1" ht="13.5" customHeight="1">
      <c r="A10" s="779" t="s">
        <v>356</v>
      </c>
      <c r="B10" s="224" t="s">
        <v>1479</v>
      </c>
      <c r="C10" s="225">
        <f ca="1">ROUND(D10*E10/10000,0)</f>
        <v>2637</v>
      </c>
      <c r="D10" s="845">
        <f ca="1">IF(B1="",'数据-汇总表'!E6,IF(INDIRECT("'数据-取费表'!c"&amp;$G$1)="住宅",INDIRECT("'数据-取费表'!s"&amp;$G$1),INDIRECT("'数据-取费表'!k"&amp;$G$1)+INDIRECT("'数据-取费表'!s"&amp;$G$1)))</f>
        <v>131855.63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131855.63</v>
      </c>
      <c r="E19" s="211">
        <f>'数据-取费表'!B31</f>
        <v>200</v>
      </c>
      <c r="F19" s="231"/>
      <c r="G19" s="1855" t="s">
        <v>3749</v>
      </c>
    </row>
    <row r="20" spans="1:7" s="214" customFormat="1" ht="13.5" customHeight="1">
      <c r="A20" s="255" t="s">
        <v>1492</v>
      </c>
      <c r="B20" s="210" t="s">
        <v>1493</v>
      </c>
      <c r="C20" s="232">
        <f ca="1">ROUND((C5+C19)*F20,0)</f>
        <v>1918</v>
      </c>
      <c r="D20" s="232"/>
      <c r="E20" s="232"/>
      <c r="F20" s="233">
        <f>'数据-取费表'!B37</f>
        <v>1.4999999999999999E-2</v>
      </c>
      <c r="G20" s="234" t="s">
        <v>1494</v>
      </c>
    </row>
    <row r="21" spans="1:7" s="214" customFormat="1" ht="13.5" customHeight="1">
      <c r="A21" s="255" t="s">
        <v>1495</v>
      </c>
      <c r="B21" s="210" t="s">
        <v>1496</v>
      </c>
      <c r="C21" s="235">
        <f>F21</f>
        <v>1.4999999999999999E-2</v>
      </c>
      <c r="D21" s="236" t="s">
        <v>1497</v>
      </c>
      <c r="E21" s="232"/>
      <c r="F21" s="233">
        <f>'数据-取费表'!B38</f>
        <v>1.4999999999999999E-2</v>
      </c>
      <c r="G21" s="234" t="s">
        <v>1498</v>
      </c>
    </row>
    <row r="22" spans="1:7" s="214" customFormat="1" ht="13.5" customHeight="1">
      <c r="A22" s="255" t="s">
        <v>1499</v>
      </c>
      <c r="B22" s="210" t="s">
        <v>1500</v>
      </c>
      <c r="C22" s="1104">
        <f ca="1">ROUND(SUM(C23:C25),0)</f>
        <v>10912</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10832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80</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18169</v>
      </c>
      <c r="D27" s="235">
        <f ca="1">C29</f>
        <v>2.0999999999999999E-3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ROUND((C5+C19+C20)*F27*'数据-取费表'!B21/'数据-取费表'!B20,0)</f>
        <v>18169</v>
      </c>
      <c r="D28" s="235"/>
      <c r="E28" s="236"/>
      <c r="F28" s="246"/>
      <c r="G28" s="247"/>
    </row>
    <row r="29" spans="1:7" s="214" customFormat="1" ht="13.5" customHeight="1">
      <c r="A29" s="780" t="s">
        <v>347</v>
      </c>
      <c r="B29" s="248" t="s">
        <v>1516</v>
      </c>
      <c r="C29" s="238">
        <f ca="1">ROUND(C21*F27*'数据-取费表'!B21/'数据-取费表'!B20,4)</f>
        <v>2.0999999999999999E-3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170832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51785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46149</v>
      </c>
      <c r="D34" s="217"/>
      <c r="E34" s="220"/>
      <c r="F34" s="257">
        <f ca="1">IF('数据-取费表'!B24=0,1,IF(B1="",'数据-取费表'!N16,INDIRECT("'数据-取费表'!n"&amp;$G$1)))</f>
        <v>1</v>
      </c>
      <c r="G34" s="219" t="s">
        <v>1525</v>
      </c>
    </row>
    <row r="35" spans="1:7" ht="13.5" customHeight="1">
      <c r="A35" s="780" t="s">
        <v>351</v>
      </c>
      <c r="B35" s="215" t="s">
        <v>1526</v>
      </c>
      <c r="C35" s="220">
        <f ca="1">ROUND(C34*F35,0)</f>
        <v>2307</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2637</v>
      </c>
      <c r="D37" s="217">
        <f ca="1">D19</f>
        <v>131855.63</v>
      </c>
      <c r="E37" s="249">
        <f>'数据-取费表'!B35</f>
        <v>200</v>
      </c>
      <c r="F37" s="259"/>
      <c r="G37" s="261" t="s">
        <v>1531</v>
      </c>
    </row>
    <row r="38" spans="1:7" ht="13.5" customHeight="1">
      <c r="A38" s="780" t="s">
        <v>354</v>
      </c>
      <c r="B38" s="215" t="s">
        <v>1532</v>
      </c>
      <c r="C38" s="220">
        <f ca="1">ROUND(C34*F38,0)</f>
        <v>692</v>
      </c>
      <c r="D38" s="220"/>
      <c r="E38" s="220"/>
      <c r="F38" s="259">
        <f>'数据-取费表'!B36</f>
        <v>1.4999999999999999E-2</v>
      </c>
      <c r="G38" s="219" t="s">
        <v>1527</v>
      </c>
    </row>
    <row r="39" spans="1:7" s="214" customFormat="1" ht="13.5" customHeight="1">
      <c r="A39" s="255" t="s">
        <v>1533</v>
      </c>
      <c r="B39" s="210" t="s">
        <v>1534</v>
      </c>
      <c r="C39" s="232">
        <f ca="1">ROUND(C33*F20,0)</f>
        <v>777</v>
      </c>
      <c r="D39" s="232"/>
      <c r="E39" s="232"/>
      <c r="F39" s="233">
        <f>F20</f>
        <v>1.4999999999999999E-2</v>
      </c>
      <c r="G39" s="234" t="s">
        <v>1535</v>
      </c>
    </row>
    <row r="40" spans="1:7" s="214" customFormat="1" ht="13.5" customHeight="1">
      <c r="A40" s="255" t="s">
        <v>1536</v>
      </c>
      <c r="B40" s="210" t="s">
        <v>1537</v>
      </c>
      <c r="C40" s="1326">
        <f>F21</f>
        <v>1.4999999999999999E-2</v>
      </c>
      <c r="D40" s="236" t="s">
        <v>1538</v>
      </c>
      <c r="E40" s="232"/>
      <c r="F40" s="233">
        <f>F21</f>
        <v>1.4999999999999999E-2</v>
      </c>
      <c r="G40" s="234" t="s">
        <v>1539</v>
      </c>
    </row>
    <row r="41" spans="1:7" s="214" customFormat="1" ht="13.5" customHeight="1">
      <c r="A41" s="255" t="s">
        <v>1540</v>
      </c>
      <c r="B41" s="210" t="s">
        <v>1541</v>
      </c>
      <c r="C41" s="232">
        <f ca="1">ROUND(SUM(C42:C43),0)</f>
        <v>2181</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2149</v>
      </c>
      <c r="D42" s="238"/>
      <c r="E42" s="238"/>
      <c r="F42" s="239"/>
      <c r="G42" s="3652" t="s">
        <v>1543</v>
      </c>
    </row>
    <row r="43" spans="1:7" ht="13.5" customHeight="1">
      <c r="A43" s="780" t="s">
        <v>347</v>
      </c>
      <c r="B43" s="215" t="s">
        <v>1544</v>
      </c>
      <c r="C43" s="238">
        <f ca="1">ROUND(IF('数据-取费表'!B22&lt;=1,C39*F22*'数据-取费表'!B21/2,C39*(POWER((1+F22),'数据-取费表'!B21/2)-1)),0)</f>
        <v>32</v>
      </c>
      <c r="D43" s="238"/>
      <c r="E43" s="238"/>
      <c r="F43" s="239"/>
      <c r="G43" s="3653"/>
    </row>
    <row r="44" spans="1:7" ht="13.5" customHeight="1">
      <c r="A44" s="780" t="s">
        <v>348</v>
      </c>
      <c r="B44" s="215" t="s">
        <v>1545</v>
      </c>
      <c r="C44" s="238">
        <f ca="1">ROUND(IF('数据-取费表'!B22&lt;=1,C40*F22*'数据-取费表'!B21/2,C40*(POWER((1+F22),'数据-取费表'!B21/2)-1)),4)</f>
        <v>5.9999999999999995E-4</v>
      </c>
      <c r="D44" s="238"/>
      <c r="E44" s="238"/>
      <c r="F44" s="239"/>
      <c r="G44" s="3654"/>
    </row>
    <row r="45" spans="1:7" s="214" customFormat="1" ht="13.5" customHeight="1">
      <c r="A45" s="255" t="s">
        <v>1546</v>
      </c>
      <c r="B45" s="244" t="s">
        <v>1512</v>
      </c>
      <c r="C45" s="245">
        <f ca="1">C46</f>
        <v>7359</v>
      </c>
      <c r="D45" s="235">
        <f ca="1">C47</f>
        <v>2.0999999999999999E-3</v>
      </c>
      <c r="E45" s="236" t="s">
        <v>1538</v>
      </c>
      <c r="F45" s="246">
        <f ca="1">F27</f>
        <v>0.14000000000000001</v>
      </c>
      <c r="G45" s="247" t="s">
        <v>1547</v>
      </c>
    </row>
    <row r="46" spans="1:7" s="214" customFormat="1" ht="13.5" customHeight="1">
      <c r="A46" s="780" t="s">
        <v>346</v>
      </c>
      <c r="B46" s="248" t="s">
        <v>1548</v>
      </c>
      <c r="C46" s="249">
        <f ca="1">ROUND((C33+C39)*F27,0)</f>
        <v>7359</v>
      </c>
      <c r="D46" s="263"/>
      <c r="E46" s="236"/>
      <c r="F46" s="246"/>
      <c r="G46" s="247"/>
    </row>
    <row r="47" spans="1:7" s="214" customFormat="1" ht="13.5" customHeight="1">
      <c r="A47" s="780" t="s">
        <v>347</v>
      </c>
      <c r="B47" s="248" t="s">
        <v>1549</v>
      </c>
      <c r="C47" s="238">
        <f ca="1">ROUND(C40*F27,4)</f>
        <v>2.0999999999999999E-3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66784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63445</v>
      </c>
      <c r="D51" s="232"/>
      <c r="E51" s="232"/>
      <c r="F51" s="264"/>
      <c r="G51" s="234" t="s">
        <v>1559</v>
      </c>
    </row>
    <row r="52" spans="1:7" s="208" customFormat="1" ht="16.5" thickBot="1">
      <c r="A52" s="265" t="s">
        <v>1560</v>
      </c>
      <c r="B52" s="266"/>
      <c r="C52" s="267">
        <f ca="1">C31+C51</f>
        <v>234277</v>
      </c>
      <c r="D52" s="266"/>
      <c r="E52" s="266"/>
      <c r="F52" s="266"/>
      <c r="G52" s="268"/>
    </row>
    <row r="55" spans="1:7" ht="15">
      <c r="B55" s="270" t="s">
        <v>1561</v>
      </c>
      <c r="C55" s="271"/>
    </row>
    <row r="56" spans="1:7">
      <c r="B56" s="273" t="s">
        <v>802</v>
      </c>
      <c r="C56" s="275">
        <f ca="1">1-C57</f>
        <v>0.72899999999999998</v>
      </c>
    </row>
    <row r="57" spans="1:7">
      <c r="B57" s="273" t="s">
        <v>803</v>
      </c>
      <c r="C57" s="274">
        <f ca="1">ROUND(C51/C52,3)</f>
        <v>0.27100000000000002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5">
        <f ca="1">ROUND(IF(D2="——",C52/10000,C52/10000-E2),4)</f>
        <v>70492.594100000002</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5346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26371126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26371126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26371126</v>
      </c>
      <c r="D10" s="845">
        <f ca="1">IF(B1="",'数据-汇总表'!E6,IF(INDIRECT("'数据-取费表'!c"&amp;$G$1)="住宅",INDIRECT("'数据-取费表'!s"&amp;$G$1),INDIRECT("'数据-取费表'!k"&amp;$G$1)+INDIRECT("'数据-取费表'!s"&amp;$G$1)))</f>
        <v>131855.63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26371126</v>
      </c>
      <c r="D19" s="849">
        <f ca="1">D9+D10</f>
        <v>131855.63</v>
      </c>
      <c r="E19" s="211">
        <f>'数据-取费表'!B31</f>
        <v>200</v>
      </c>
      <c r="F19" s="231"/>
      <c r="G19" s="1855"/>
    </row>
    <row r="20" spans="1:7" s="214" customFormat="1" ht="13.5" customHeight="1">
      <c r="A20" s="255" t="s">
        <v>1573</v>
      </c>
      <c r="B20" s="210" t="s">
        <v>1574</v>
      </c>
      <c r="C20" s="232">
        <f ca="1">ROUND((C5+C19)*F20,0)</f>
        <v>791134</v>
      </c>
      <c r="D20" s="232"/>
      <c r="E20" s="232"/>
      <c r="F20" s="233">
        <f>'数据-取费表'!B37</f>
        <v>1.4999999999999999E-2</v>
      </c>
      <c r="G20" s="234" t="s">
        <v>1575</v>
      </c>
    </row>
    <row r="21" spans="1:7" s="214" customFormat="1" ht="13.5" customHeight="1">
      <c r="A21" s="255" t="s">
        <v>1576</v>
      </c>
      <c r="B21" s="210" t="s">
        <v>1577</v>
      </c>
      <c r="C21" s="235">
        <f>F21</f>
        <v>1.4999999999999999E-2</v>
      </c>
      <c r="D21" s="236" t="s">
        <v>1578</v>
      </c>
      <c r="E21" s="232"/>
      <c r="F21" s="233">
        <f>'数据-取费表'!B38</f>
        <v>1.4999999999999999E-2</v>
      </c>
      <c r="G21" s="234" t="s">
        <v>1579</v>
      </c>
    </row>
    <row r="22" spans="1:7" s="214" customFormat="1" ht="13.5" customHeight="1">
      <c r="A22" s="255" t="s">
        <v>1580</v>
      </c>
      <c r="B22" s="210" t="s">
        <v>1581</v>
      </c>
      <c r="C22" s="1127">
        <f ca="1">ROUND(SUM(C23:C25),0)</f>
        <v>4501274</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2234221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2234221</v>
      </c>
      <c r="D24" s="238"/>
      <c r="E24" s="238"/>
      <c r="F24" s="239"/>
      <c r="G24" s="240" t="s">
        <v>1585</v>
      </c>
    </row>
    <row r="25" spans="1:7" s="214" customFormat="1" ht="24">
      <c r="A25" s="780" t="s">
        <v>1475</v>
      </c>
      <c r="B25" s="215" t="s">
        <v>1586</v>
      </c>
      <c r="C25" s="1128">
        <f ca="1">ROUND(IF('数据-取费表'!B22&lt;=1,C20*F22*'数据-取费表'!B22/2,C20*(POWER((1+F22),'数据-取费表'!B22/2)-1)),0)</f>
        <v>32832</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7494674</v>
      </c>
      <c r="D27" s="235">
        <f ca="1">C29</f>
        <v>2.0999999999999999E-3</v>
      </c>
      <c r="E27" s="236" t="s">
        <v>1513</v>
      </c>
      <c r="F27" s="246">
        <f ca="1">IF(B1="",'数据-取费表'!Q16,INDIRECT("'数据-取费表'!q"&amp;$G$1))</f>
        <v>0.14000000000000001</v>
      </c>
      <c r="G27" s="247" t="s">
        <v>1514</v>
      </c>
    </row>
    <row r="28" spans="1:7" s="214" customFormat="1" ht="13.5" customHeight="1">
      <c r="A28" s="780" t="s">
        <v>346</v>
      </c>
      <c r="B28" s="248" t="s">
        <v>1515</v>
      </c>
      <c r="C28" s="249">
        <f ca="1">ROUND((C5+C19+C20)*F27,0)</f>
        <v>7494674</v>
      </c>
      <c r="D28" s="235"/>
      <c r="E28" s="236"/>
      <c r="F28" s="246"/>
      <c r="G28" s="247"/>
    </row>
    <row r="29" spans="1:7" s="214" customFormat="1" ht="13.5" customHeight="1">
      <c r="A29" s="780" t="s">
        <v>347</v>
      </c>
      <c r="B29" s="248" t="s">
        <v>1516</v>
      </c>
      <c r="C29" s="238">
        <f ca="1">ROUND(C21*F27,4)</f>
        <v>2.0999999999999999E-3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70469227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517862987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461494705</v>
      </c>
      <c r="D34" s="217"/>
      <c r="E34" s="220"/>
      <c r="F34" s="257"/>
      <c r="G34" s="219"/>
    </row>
    <row r="35" spans="1:7" ht="13.5" customHeight="1">
      <c r="A35" s="780" t="s">
        <v>351</v>
      </c>
      <c r="B35" s="215" t="s">
        <v>1526</v>
      </c>
      <c r="C35" s="220">
        <f ca="1">ROUND(C34*F35,0)</f>
        <v>23074735</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26371126</v>
      </c>
      <c r="D37" s="217">
        <f ca="1">D19</f>
        <v>131855.63</v>
      </c>
      <c r="E37" s="249">
        <f>'数据-取费表'!B35</f>
        <v>200</v>
      </c>
      <c r="F37" s="259"/>
      <c r="G37" s="261"/>
    </row>
    <row r="38" spans="1:7" ht="13.5" customHeight="1">
      <c r="A38" s="780" t="s">
        <v>354</v>
      </c>
      <c r="B38" s="215" t="s">
        <v>1532</v>
      </c>
      <c r="C38" s="220">
        <f ca="1">ROUND(C34*F38,0)</f>
        <v>6922421</v>
      </c>
      <c r="D38" s="220"/>
      <c r="E38" s="220"/>
      <c r="F38" s="259">
        <f>'数据-取费表'!B36</f>
        <v>1.4999999999999999E-2</v>
      </c>
      <c r="G38" s="219" t="s">
        <v>1527</v>
      </c>
    </row>
    <row r="39" spans="1:7" s="214" customFormat="1" ht="13.5" customHeight="1">
      <c r="A39" s="255" t="s">
        <v>1533</v>
      </c>
      <c r="B39" s="210" t="s">
        <v>1534</v>
      </c>
      <c r="C39" s="232">
        <f ca="1">ROUND(C33*F20,0)</f>
        <v>7767945</v>
      </c>
      <c r="D39" s="232"/>
      <c r="E39" s="232"/>
      <c r="F39" s="233">
        <f>F20</f>
        <v>1.4999999999999999E-2</v>
      </c>
      <c r="G39" s="234" t="s">
        <v>1535</v>
      </c>
    </row>
    <row r="40" spans="1:7" s="214" customFormat="1" ht="13.5" customHeight="1">
      <c r="A40" s="255" t="s">
        <v>1536</v>
      </c>
      <c r="B40" s="210" t="s">
        <v>1537</v>
      </c>
      <c r="C40" s="1326">
        <f>F21</f>
        <v>1.4999999999999999E-2</v>
      </c>
      <c r="D40" s="236" t="s">
        <v>1538</v>
      </c>
      <c r="E40" s="232"/>
      <c r="F40" s="233">
        <f>F21</f>
        <v>1.4999999999999999E-2</v>
      </c>
      <c r="G40" s="234" t="s">
        <v>1539</v>
      </c>
    </row>
    <row r="41" spans="1:7" s="214" customFormat="1" ht="13.5" customHeight="1">
      <c r="A41" s="255" t="s">
        <v>1540</v>
      </c>
      <c r="B41" s="210" t="s">
        <v>1541</v>
      </c>
      <c r="C41" s="232">
        <f ca="1">ROUND(SUM(C42:C43),0)</f>
        <v>21813684</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21491314</v>
      </c>
      <c r="D42" s="238"/>
      <c r="E42" s="238"/>
      <c r="F42" s="239"/>
      <c r="G42" s="3652" t="s">
        <v>1590</v>
      </c>
    </row>
    <row r="43" spans="1:7" ht="13.5" customHeight="1">
      <c r="A43" s="780" t="s">
        <v>347</v>
      </c>
      <c r="B43" s="215" t="s">
        <v>1544</v>
      </c>
      <c r="C43" s="238">
        <f ca="1">ROUND(IF('数据-取费表'!B22&lt;=1,C39*F22*'数据-取费表'!B20/2,C39*(POWER((1+F22),'数据-取费表'!B20/2)-1)),0)</f>
        <v>322370</v>
      </c>
      <c r="D43" s="238"/>
      <c r="E43" s="238"/>
      <c r="F43" s="239"/>
      <c r="G43" s="3653"/>
    </row>
    <row r="44" spans="1:7" ht="13.5" customHeight="1">
      <c r="A44" s="780" t="s">
        <v>348</v>
      </c>
      <c r="B44" s="215" t="s">
        <v>1545</v>
      </c>
      <c r="C44" s="238">
        <f ca="1">ROUND(IF('数据-取费表'!B22&lt;=1,C40*F22*'数据-取费表'!B20/2,C40*(POWER((1+F22),'数据-取费表'!B20/2)-1)),4)</f>
        <v>5.9999999999999995E-4</v>
      </c>
      <c r="D44" s="238"/>
      <c r="E44" s="238"/>
      <c r="F44" s="239"/>
      <c r="G44" s="3654"/>
    </row>
    <row r="45" spans="1:7" s="214" customFormat="1" ht="13.5" customHeight="1">
      <c r="A45" s="255" t="s">
        <v>1546</v>
      </c>
      <c r="B45" s="244" t="s">
        <v>1512</v>
      </c>
      <c r="C45" s="245">
        <f ca="1">C46</f>
        <v>73588330</v>
      </c>
      <c r="D45" s="235">
        <f ca="1">C47</f>
        <v>2.0999999999999999E-3</v>
      </c>
      <c r="E45" s="236" t="s">
        <v>1538</v>
      </c>
      <c r="F45" s="246">
        <f ca="1">F27</f>
        <v>0.14000000000000001</v>
      </c>
      <c r="G45" s="247" t="s">
        <v>1547</v>
      </c>
    </row>
    <row r="46" spans="1:7" s="214" customFormat="1" ht="13.5" customHeight="1">
      <c r="A46" s="780" t="s">
        <v>346</v>
      </c>
      <c r="B46" s="248" t="s">
        <v>1548</v>
      </c>
      <c r="C46" s="249">
        <f ca="1">ROUND((C33+C39)*F27,0)</f>
        <v>73588330</v>
      </c>
      <c r="D46" s="263"/>
      <c r="E46" s="236"/>
      <c r="F46" s="246"/>
      <c r="G46" s="247"/>
    </row>
    <row r="47" spans="1:7" s="214" customFormat="1" ht="13.5" customHeight="1">
      <c r="A47" s="780" t="s">
        <v>347</v>
      </c>
      <c r="B47" s="248" t="s">
        <v>1549</v>
      </c>
      <c r="C47" s="238">
        <f ca="1">ROUND(C40*F27,4)</f>
        <v>2.0999999999999999E-3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667849173</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634456714</v>
      </c>
      <c r="D51" s="232"/>
      <c r="E51" s="232"/>
      <c r="F51" s="264"/>
      <c r="G51" s="234" t="s">
        <v>1559</v>
      </c>
    </row>
    <row r="52" spans="1:7" s="208" customFormat="1" ht="16.5" thickBot="1">
      <c r="A52" s="265" t="s">
        <v>1560</v>
      </c>
      <c r="B52" s="266"/>
      <c r="C52" s="267">
        <f ca="1">C31+C51</f>
        <v>704925941</v>
      </c>
      <c r="D52" s="266"/>
      <c r="E52" s="266"/>
      <c r="F52" s="266"/>
      <c r="G52" s="268"/>
    </row>
    <row r="55" spans="1:7" ht="15">
      <c r="B55" s="270" t="s">
        <v>1561</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131855.63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131855.63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2637</v>
      </c>
      <c r="D20" s="846">
        <f ca="1">IF(C1="",'数据-汇总表'!E6,IF(INDIRECT("'数据-取费表'!c"&amp;$K$1)="住宅",INDIRECT("'数据-取费表'!s"&amp;$K$1),INDIRECT("'数据-取费表'!k"&amp;$K$1)+INDIRECT("'数据-取费表'!s"&amp;$K$1)))</f>
        <v>131855.63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1.4999999999999999E-2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1.4999999999999999E-2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3340</v>
      </c>
      <c r="D1" s="1361" t="s">
        <v>43</v>
      </c>
      <c r="E1" s="1362" t="s">
        <v>678</v>
      </c>
      <c r="F1" s="1062">
        <f ca="1">J53</f>
        <v>42.63</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2440</v>
      </c>
      <c r="C2" s="1386" t="s">
        <v>805</v>
      </c>
      <c r="D2" s="1386"/>
      <c r="E2" s="1387"/>
      <c r="F2" s="1388"/>
      <c r="G2" s="2705"/>
      <c r="H2" s="2694"/>
      <c r="I2" s="2694"/>
      <c r="J2" s="2694"/>
      <c r="K2" s="2695"/>
      <c r="L2" s="2694"/>
      <c r="M2" s="2694"/>
    </row>
    <row r="3" spans="1:37" ht="18" customHeight="1" thickBot="1">
      <c r="A3" s="1389" t="s">
        <v>806</v>
      </c>
      <c r="B3" s="1390">
        <f ca="1">IF(ISERROR(B2*10000/F43),0,ROUND(B2*10000/F43,0))</f>
        <v>1428</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281</v>
      </c>
      <c r="D5" s="1363" t="s">
        <v>693</v>
      </c>
      <c r="E5" s="1071"/>
      <c r="F5" s="1072"/>
      <c r="G5" s="1383"/>
      <c r="H5" s="299">
        <v>1</v>
      </c>
      <c r="I5" s="300" t="s">
        <v>692</v>
      </c>
      <c r="J5" s="1070">
        <f ca="1">J6+J10+J12</f>
        <v>0</v>
      </c>
      <c r="K5" s="1363" t="s">
        <v>693</v>
      </c>
      <c r="L5" s="1071"/>
      <c r="M5" s="1072"/>
    </row>
    <row r="6" spans="1:37" ht="18" customHeight="1">
      <c r="A6" s="1069" t="s">
        <v>398</v>
      </c>
      <c r="B6" s="3655" t="s">
        <v>694</v>
      </c>
      <c r="C6" s="1074">
        <f ca="1">ROUND(F6*F8*F7*(1-F9)/10000,0)</f>
        <v>281</v>
      </c>
      <c r="D6" s="155" t="s">
        <v>2107</v>
      </c>
      <c r="E6" s="302" t="s">
        <v>696</v>
      </c>
      <c r="F6" s="303">
        <f ca="1">INDIRECT("'数据-取费表'!u"&amp;$G$1)</f>
        <v>0.5</v>
      </c>
      <c r="G6" s="1383"/>
      <c r="H6" s="1069" t="s">
        <v>398</v>
      </c>
      <c r="I6" s="3655" t="s">
        <v>694</v>
      </c>
      <c r="J6" s="301">
        <f ca="1">ROUND(M6*M8*M7*(1-M9)/10000,0)</f>
        <v>0</v>
      </c>
      <c r="K6" s="155" t="s">
        <v>2106</v>
      </c>
      <c r="L6" s="302" t="s">
        <v>696</v>
      </c>
      <c r="M6" s="303">
        <f ca="1">INDIRECT("'数据-取费表'!z"&amp;$G$1)</f>
        <v>0</v>
      </c>
    </row>
    <row r="7" spans="1:37" ht="18" customHeight="1">
      <c r="A7" s="1073"/>
      <c r="B7" s="3656"/>
      <c r="C7" s="1075"/>
      <c r="D7" s="307"/>
      <c r="E7" s="3455" t="s">
        <v>697</v>
      </c>
      <c r="F7" s="303">
        <f ca="1">IF(INDIRECT("'数据-取费表'!ah"&amp;$G$1)="",INDIRECT("'数据-取费表'!k"&amp;$G$1),INDIRECT("'数据-取费表'!ah"&amp;$G$1))</f>
        <v>17089.22</v>
      </c>
      <c r="G7" s="1383"/>
      <c r="H7" s="304"/>
      <c r="I7" s="3656"/>
      <c r="J7" s="306"/>
      <c r="K7" s="307"/>
      <c r="L7" s="302" t="s">
        <v>697</v>
      </c>
      <c r="M7" s="303">
        <f ca="1">F7</f>
        <v>17089.22</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3400</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7831</v>
      </c>
      <c r="D13" s="3447" t="s">
        <v>705</v>
      </c>
      <c r="E13" s="3447"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6173</v>
      </c>
      <c r="D14" s="3451" t="s">
        <v>708</v>
      </c>
      <c r="E14" s="3449"/>
      <c r="F14" s="319"/>
      <c r="G14" s="1383"/>
      <c r="H14" s="982" t="s">
        <v>398</v>
      </c>
      <c r="I14" s="302" t="s">
        <v>709</v>
      </c>
      <c r="J14" s="21">
        <f ca="1">C29</f>
        <v>8243</v>
      </c>
      <c r="K14" s="3454"/>
      <c r="L14" s="807"/>
      <c r="M14" s="808"/>
    </row>
    <row r="15" spans="1:37" s="1396" customFormat="1" ht="18" customHeight="1" thickBot="1">
      <c r="A15" s="982" t="s">
        <v>399</v>
      </c>
      <c r="B15" s="302" t="s">
        <v>710</v>
      </c>
      <c r="C15" s="21">
        <f ca="1">ROUND(C14*F15,0)</f>
        <v>309</v>
      </c>
      <c r="D15" s="3448" t="s">
        <v>711</v>
      </c>
      <c r="E15" s="344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124</v>
      </c>
      <c r="K16" s="1087" t="s">
        <v>715</v>
      </c>
      <c r="L16" s="3452"/>
      <c r="M16" s="1072"/>
    </row>
    <row r="17" spans="1:37" s="1396" customFormat="1" ht="18" customHeight="1">
      <c r="A17" s="982" t="s">
        <v>681</v>
      </c>
      <c r="B17" s="302" t="s">
        <v>716</v>
      </c>
      <c r="C17" s="21">
        <f ca="1">ROUND(F17*(F43+INDIRECT("'数据-取费表'!S"&amp;$G$1))/10000,0)</f>
        <v>353</v>
      </c>
      <c r="D17" s="302" t="s">
        <v>717</v>
      </c>
      <c r="E17" s="302" t="s">
        <v>718</v>
      </c>
      <c r="F17" s="23">
        <f>'数据-取费表'!B35</f>
        <v>200</v>
      </c>
      <c r="G17" s="1395"/>
      <c r="H17" s="982" t="s">
        <v>398</v>
      </c>
      <c r="I17" s="302" t="s">
        <v>719</v>
      </c>
      <c r="J17" s="2315">
        <f ca="1">ROUND(IF(AND(项目基本情况!B11="自然人",项目基本情况!B10="北京市"),J6*M17/(1+'数据-取费表'!C42),J18+J19+J20),2)</f>
        <v>0.83</v>
      </c>
      <c r="K17" s="3451" t="s">
        <v>720</v>
      </c>
      <c r="L17" s="3450"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93</v>
      </c>
      <c r="D18" s="302" t="s">
        <v>711</v>
      </c>
      <c r="E18" s="302" t="s">
        <v>712</v>
      </c>
      <c r="F18" s="322">
        <f>'数据-取费表'!B36</f>
        <v>1.4999999999999999E-2</v>
      </c>
      <c r="G18" s="1395"/>
      <c r="H18" s="982" t="s">
        <v>397</v>
      </c>
      <c r="I18" s="302" t="s">
        <v>723</v>
      </c>
      <c r="J18" s="21">
        <f ca="1">ROUND(J6*M18/(1+'数据-取费表'!C42),2)</f>
        <v>0</v>
      </c>
      <c r="K18" s="3450"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6928</v>
      </c>
      <c r="D19" s="131" t="s">
        <v>726</v>
      </c>
      <c r="E19" s="3457"/>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104</v>
      </c>
      <c r="D20" s="2427" t="s">
        <v>729</v>
      </c>
      <c r="E20" s="302" t="s">
        <v>712</v>
      </c>
      <c r="F20" s="322">
        <f>'数据-取费表'!B37</f>
        <v>1.4999999999999999E-2</v>
      </c>
      <c r="G20" s="1395"/>
      <c r="H20" s="982" t="s">
        <v>680</v>
      </c>
      <c r="I20" s="155" t="s">
        <v>730</v>
      </c>
      <c r="J20" s="22">
        <f ca="1">ROUND(M20*M21/10000,2)</f>
        <v>0.83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1.4999999999999999E-2</v>
      </c>
      <c r="G21" s="1395"/>
      <c r="H21" s="326"/>
      <c r="I21" s="311"/>
      <c r="J21" s="26"/>
      <c r="K21" s="327"/>
      <c r="L21" s="302" t="s">
        <v>736</v>
      </c>
      <c r="M21" s="303">
        <f ca="1">INDIRECT("'数据-取费表'!r"&amp;$G$1)</f>
        <v>5549.5499999999993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f ca="1">ROUND(J14*M22,2)</f>
        <v>123.65</v>
      </c>
      <c r="K22" s="3450"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292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0"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-124</v>
      </c>
      <c r="K25" s="1095" t="s">
        <v>753</v>
      </c>
      <c r="L25" s="1096"/>
      <c r="M25" s="1097"/>
    </row>
    <row r="26" spans="1:37">
      <c r="A26" s="982" t="s">
        <v>397</v>
      </c>
      <c r="B26" s="302" t="s">
        <v>754</v>
      </c>
      <c r="C26" s="21">
        <f ca="1">ROUND((C19+C20)*F26,0)</f>
        <v>352</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8.0000000000000004E-4</v>
      </c>
      <c r="D27" s="2427"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8243</v>
      </c>
      <c r="D29" s="1092"/>
      <c r="E29" s="1090"/>
      <c r="F29" s="1093"/>
      <c r="G29" s="1395"/>
      <c r="H29" s="334" t="s">
        <v>396</v>
      </c>
      <c r="I29" s="335" t="s">
        <v>768</v>
      </c>
      <c r="J29" s="336">
        <f ca="1">ROUND(J26/(1+F40)^F41,0)</f>
        <v>0</v>
      </c>
      <c r="K29" s="337" t="s">
        <v>769</v>
      </c>
      <c r="L29" s="338"/>
      <c r="M29" s="339">
        <f ca="1">INDIRECT("'数据-取费表'!k"&amp;$G$1)</f>
        <v>17089.22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186</v>
      </c>
      <c r="D30" s="1087" t="s">
        <v>715</v>
      </c>
      <c r="E30" s="3452"/>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47.66</v>
      </c>
      <c r="D31" s="3451" t="s">
        <v>720</v>
      </c>
      <c r="E31" s="3450"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IF(项目基本情况!B11="自然人","——",ROUND(C6*F32/(1+'数据-取费表'!C42),2))</f>
        <v>14.72</v>
      </c>
      <c r="D32" s="3450"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32.11</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0.83</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5549.5499999999993</v>
      </c>
      <c r="G35" s="1383"/>
      <c r="H35" s="2696"/>
      <c r="I35" s="1397"/>
      <c r="J35" s="1398"/>
      <c r="K35" s="2700"/>
      <c r="L35" s="2699"/>
      <c r="M35" s="2699"/>
    </row>
    <row r="36" spans="1:18" ht="18" customHeight="1">
      <c r="A36" s="1102" t="s">
        <v>402</v>
      </c>
      <c r="B36" s="302" t="s">
        <v>738</v>
      </c>
      <c r="C36" s="21">
        <f ca="1">ROUND(C29*F36,2)</f>
        <v>123.65</v>
      </c>
      <c r="D36" s="3450"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11.75</v>
      </c>
      <c r="D37" s="3450"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2.81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752</v>
      </c>
      <c r="C39" s="310">
        <f ca="1">C5-C30</f>
        <v>95</v>
      </c>
      <c r="D39" s="1095" t="s">
        <v>753</v>
      </c>
      <c r="E39" s="1096"/>
      <c r="F39" s="1097"/>
      <c r="G39" s="1383"/>
      <c r="H39" s="2699"/>
      <c r="I39" s="1397"/>
      <c r="J39" s="1398"/>
      <c r="K39" s="2703"/>
      <c r="L39" s="2699"/>
      <c r="M39" s="2699"/>
    </row>
    <row r="40" spans="1:18" ht="18" customHeight="1">
      <c r="A40" s="299" t="s">
        <v>395</v>
      </c>
      <c r="B40" s="300" t="s">
        <v>774</v>
      </c>
      <c r="C40" s="301">
        <f ca="1">ROUND(C39*(1-((1+F42)/(1+F40))^F41)/(F40-F42),0)</f>
        <v>2440</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42.63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1428</v>
      </c>
      <c r="D43" s="337" t="s">
        <v>777</v>
      </c>
      <c r="E43" s="338" t="s">
        <v>778</v>
      </c>
      <c r="F43" s="339">
        <f ca="1">INDIRECT("'数据-取费表'!k"&amp;$G$1)</f>
        <v>17089.22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-4820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3398</v>
      </c>
      <c r="K47" s="1415" t="s">
        <v>816</v>
      </c>
      <c r="L47" s="1416">
        <f ca="1">INDIRECT("'数据-取费表'!d"&amp;$G$1)</f>
        <v>50</v>
      </c>
      <c r="M47" s="1379" t="str">
        <f>IF(ISNUMBER(FIND("住宅",C1)),"住宅","非住宅")</f>
        <v>非住宅</v>
      </c>
      <c r="O47" s="1417" t="s">
        <v>403</v>
      </c>
      <c r="P47" s="1418" t="s">
        <v>817</v>
      </c>
      <c r="Q47" s="1419">
        <f ca="1">C40+J29</f>
        <v>2440</v>
      </c>
      <c r="R47" s="1419" t="s">
        <v>818</v>
      </c>
    </row>
    <row r="48" spans="1:18" s="1383" customFormat="1" ht="28.5" thickBot="1">
      <c r="A48" s="1110" t="s">
        <v>438</v>
      </c>
      <c r="B48" s="300" t="s">
        <v>692</v>
      </c>
      <c r="C48" s="3456">
        <f ca="1">C49+C53+C55</f>
        <v>0</v>
      </c>
      <c r="D48" s="1112"/>
      <c r="E48" s="1113"/>
      <c r="F48" s="962"/>
      <c r="G48" s="722"/>
      <c r="H48" s="723"/>
      <c r="I48" s="1420" t="s">
        <v>819</v>
      </c>
      <c r="J48" s="1421" t="s">
        <v>3399</v>
      </c>
      <c r="K48" s="1422" t="s">
        <v>820</v>
      </c>
      <c r="L48" s="1423">
        <f ca="1">INDIRECT("'数据-取费表'!f"&amp;$G$1)</f>
        <v>42.63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2019</v>
      </c>
      <c r="K49" s="1422" t="s">
        <v>824</v>
      </c>
      <c r="L49" s="1426"/>
      <c r="O49" s="1427" t="s">
        <v>405</v>
      </c>
      <c r="P49" s="1418" t="s">
        <v>825</v>
      </c>
      <c r="Q49" s="1419">
        <f ca="1">C29</f>
        <v>8243</v>
      </c>
      <c r="R49" s="1419" t="s">
        <v>818</v>
      </c>
    </row>
    <row r="50" spans="1:18" s="1383" customFormat="1" ht="13.5" thickBot="1">
      <c r="A50" s="976"/>
      <c r="B50" s="979"/>
      <c r="C50" s="1118"/>
      <c r="D50" s="953"/>
      <c r="E50" s="1056" t="s">
        <v>697</v>
      </c>
      <c r="F50" s="1057">
        <f ca="1">F7</f>
        <v>17089.22</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56</v>
      </c>
      <c r="K51" s="1433" t="s">
        <v>830</v>
      </c>
      <c r="L51" s="1434">
        <f ca="1">ROUND(-PV(INDIRECT("'数据-取费表'!h"&amp;$G$1),J51,(C39-C13*C76),0),0)</f>
        <v>-9214</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42.63</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42.63</v>
      </c>
      <c r="K53" s="3658" t="s">
        <v>837</v>
      </c>
      <c r="L53" s="3659"/>
      <c r="O53" s="1417" t="s">
        <v>409</v>
      </c>
      <c r="P53" s="1418" t="s">
        <v>838</v>
      </c>
      <c r="Q53" s="1419">
        <f ca="1">Q47+Q48</f>
        <v>2440</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7831</v>
      </c>
      <c r="D56" s="1446"/>
      <c r="E56" s="1447"/>
      <c r="F56" s="1439"/>
      <c r="I56" s="1448" t="s">
        <v>842</v>
      </c>
      <c r="J56" s="1449" t="s">
        <v>3378</v>
      </c>
      <c r="K56" s="1420" t="s">
        <v>843</v>
      </c>
      <c r="L56" s="1423" t="str">
        <f ca="1">IF(L48&lt;J51,"——",L48-J53)</f>
        <v>——</v>
      </c>
      <c r="O56" s="1417" t="s">
        <v>403</v>
      </c>
      <c r="P56" s="1418" t="s">
        <v>817</v>
      </c>
      <c r="Q56" s="1419">
        <f ca="1">C40+J29</f>
        <v>2440</v>
      </c>
      <c r="R56" s="1419" t="s">
        <v>818</v>
      </c>
    </row>
    <row r="57" spans="1:18" s="1383" customFormat="1" ht="24.75" thickBot="1">
      <c r="A57" s="1450"/>
      <c r="B57" s="950" t="s">
        <v>767</v>
      </c>
      <c r="C57" s="238">
        <f ca="1">C29</f>
        <v>8243</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136</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0.83</v>
      </c>
      <c r="D62" s="965" t="s">
        <v>786</v>
      </c>
      <c r="E62" s="950" t="s">
        <v>787</v>
      </c>
      <c r="F62" s="325">
        <f t="shared" si="0"/>
        <v>1.5</v>
      </c>
      <c r="I62" s="1461" t="s">
        <v>858</v>
      </c>
      <c r="J62" s="1462" t="s">
        <v>859</v>
      </c>
      <c r="K62" s="1462" t="s">
        <v>860</v>
      </c>
      <c r="L62" s="1462" t="s">
        <v>861</v>
      </c>
      <c r="M62" s="1463" t="s">
        <v>862</v>
      </c>
      <c r="O62" s="1417" t="s">
        <v>409</v>
      </c>
      <c r="P62" s="1418" t="s">
        <v>863</v>
      </c>
      <c r="Q62" s="1419">
        <f ca="1">Q56+Q57</f>
        <v>2440</v>
      </c>
      <c r="R62" s="1419" t="s">
        <v>410</v>
      </c>
    </row>
    <row r="63" spans="1:18" s="1383" customFormat="1" ht="13.5" thickBot="1">
      <c r="A63" s="326"/>
      <c r="B63" s="956"/>
      <c r="C63" s="26"/>
      <c r="D63" s="966"/>
      <c r="E63" s="950" t="s">
        <v>788</v>
      </c>
      <c r="F63" s="303">
        <f t="shared" ca="1" si="0"/>
        <v>5549.5499999999993</v>
      </c>
      <c r="I63" s="1461" t="s">
        <v>864</v>
      </c>
      <c r="J63" s="1462">
        <v>70</v>
      </c>
      <c r="K63" s="1462">
        <v>50</v>
      </c>
      <c r="L63" s="1462">
        <v>80</v>
      </c>
      <c r="M63" s="1464">
        <v>0.02</v>
      </c>
      <c r="O63" s="1402" t="s">
        <v>865</v>
      </c>
      <c r="P63" s="1380"/>
      <c r="Q63" s="1380"/>
      <c r="R63" s="1380"/>
    </row>
    <row r="64" spans="1:18" s="1383" customFormat="1" ht="13.5" thickBot="1">
      <c r="A64" s="982" t="s">
        <v>402</v>
      </c>
      <c r="B64" s="950" t="s">
        <v>790</v>
      </c>
      <c r="C64" s="21">
        <f ca="1">ROUND(C57*F64,2)</f>
        <v>123.65</v>
      </c>
      <c r="D64" s="964" t="s">
        <v>771</v>
      </c>
      <c r="E64" s="950" t="s">
        <v>712</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11.75</v>
      </c>
      <c r="D65" s="964" t="s">
        <v>743</v>
      </c>
      <c r="E65" s="950" t="s">
        <v>744</v>
      </c>
      <c r="F65" s="330">
        <f t="shared" ca="1" si="0"/>
        <v>1.5E-3</v>
      </c>
      <c r="I65" s="1461" t="s">
        <v>867</v>
      </c>
      <c r="J65" s="1462">
        <v>40</v>
      </c>
      <c r="K65" s="1462">
        <v>30</v>
      </c>
      <c r="L65" s="1462">
        <v>50</v>
      </c>
      <c r="M65" s="1464">
        <v>0.02</v>
      </c>
      <c r="O65" s="1417" t="s">
        <v>403</v>
      </c>
      <c r="P65" s="1418" t="s">
        <v>868</v>
      </c>
      <c r="Q65" s="1419">
        <f ca="1">C40+J29</f>
        <v>2440</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-136</v>
      </c>
      <c r="D67" s="963" t="s">
        <v>753</v>
      </c>
      <c r="E67" s="968"/>
      <c r="F67" s="969"/>
      <c r="O67" s="1427" t="s">
        <v>405</v>
      </c>
      <c r="P67" s="1418" t="s">
        <v>850</v>
      </c>
      <c r="Q67" s="1465">
        <f ca="1">L51</f>
        <v>-9214</v>
      </c>
      <c r="R67" s="1419" t="s">
        <v>870</v>
      </c>
    </row>
    <row r="68" spans="1:18" s="1383" customFormat="1" ht="16.5" thickBot="1">
      <c r="A68" s="947" t="s">
        <v>395</v>
      </c>
      <c r="B68" s="948" t="s">
        <v>774</v>
      </c>
      <c r="C68" s="301">
        <f ca="1">ROUND(C67*(1-((1+F70)/(1+F68))^F69)/(F68-F70),0)</f>
        <v>-2380</v>
      </c>
      <c r="D68" s="965" t="s">
        <v>758</v>
      </c>
      <c r="E68" s="950" t="s">
        <v>759</v>
      </c>
      <c r="F68" s="312">
        <f ca="1">F40</f>
        <v>0.05</v>
      </c>
      <c r="O68" s="1427" t="s">
        <v>406</v>
      </c>
      <c r="P68" s="1466" t="s">
        <v>871</v>
      </c>
      <c r="Q68" s="1419">
        <f ca="1">ROUND(Q69-Q70*Q71,0)</f>
        <v>-453</v>
      </c>
      <c r="R68" s="1419" t="s">
        <v>414</v>
      </c>
    </row>
    <row r="69" spans="1:18" s="1383" customFormat="1" ht="13.5" thickBot="1">
      <c r="A69" s="951"/>
      <c r="B69" s="952"/>
      <c r="C69" s="306"/>
      <c r="D69" s="970" t="s">
        <v>762</v>
      </c>
      <c r="E69" s="950" t="s">
        <v>763</v>
      </c>
      <c r="F69" s="333">
        <f ca="1">F41</f>
        <v>42.63</v>
      </c>
      <c r="O69" s="1427" t="s">
        <v>411</v>
      </c>
      <c r="P69" s="1466" t="s">
        <v>872</v>
      </c>
      <c r="Q69" s="1419">
        <f ca="1">C39</f>
        <v>95</v>
      </c>
      <c r="R69" s="1419" t="s">
        <v>818</v>
      </c>
    </row>
    <row r="70" spans="1:18" s="1383" customFormat="1" ht="13.5" thickBot="1">
      <c r="A70" s="954"/>
      <c r="B70" s="955"/>
      <c r="C70" s="310"/>
      <c r="D70" s="966"/>
      <c r="E70" s="950" t="s">
        <v>766</v>
      </c>
      <c r="F70" s="1054"/>
      <c r="O70" s="1427" t="s">
        <v>412</v>
      </c>
      <c r="P70" s="1466" t="s">
        <v>873</v>
      </c>
      <c r="Q70" s="1419">
        <f ca="1">C13</f>
        <v>7831</v>
      </c>
      <c r="R70" s="1419" t="s">
        <v>818</v>
      </c>
    </row>
    <row r="71" spans="1:18" s="1383" customFormat="1" ht="13.5" thickBot="1">
      <c r="A71" s="971" t="s">
        <v>396</v>
      </c>
      <c r="B71" s="972" t="s">
        <v>776</v>
      </c>
      <c r="C71" s="336">
        <f ca="1">ROUND(C68*10000/F71,0)</f>
        <v>-1393</v>
      </c>
      <c r="D71" s="973" t="s">
        <v>777</v>
      </c>
      <c r="E71" s="974" t="s">
        <v>778</v>
      </c>
      <c r="F71" s="339">
        <f ca="1">F43</f>
        <v>17089.22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548</v>
      </c>
      <c r="D75" s="1383"/>
      <c r="E75" s="1383"/>
      <c r="F75" s="1383"/>
      <c r="K75" s="1401"/>
      <c r="L75" s="1383"/>
      <c r="O75" s="1417" t="s">
        <v>409</v>
      </c>
      <c r="P75" s="1418" t="s">
        <v>838</v>
      </c>
      <c r="Q75" s="1419">
        <f ca="1">Q65+Q66</f>
        <v>2440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-4.7679999999999998</v>
      </c>
    </row>
    <row r="80" spans="1:18">
      <c r="B80" s="340" t="s">
        <v>800</v>
      </c>
      <c r="C80" s="274">
        <f ca="1">ROUND(C75/C39,3)</f>
        <v>5.7679999999999998</v>
      </c>
    </row>
    <row r="81" spans="2:3">
      <c r="B81" s="270" t="s">
        <v>801</v>
      </c>
      <c r="C81" s="238"/>
    </row>
    <row r="82" spans="2:3">
      <c r="B82" s="273" t="s">
        <v>802</v>
      </c>
      <c r="C82" s="275">
        <f ca="1">1-C83</f>
        <v>-2.2090000000000001</v>
      </c>
    </row>
    <row r="83" spans="2:3">
      <c r="B83" s="273" t="s">
        <v>803</v>
      </c>
      <c r="C83" s="274">
        <f ca="1">ROUND(C13/C40,3)</f>
        <v>3.2090000000000001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42.63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205623</v>
      </c>
      <c r="C2" s="1386" t="s">
        <v>805</v>
      </c>
      <c r="D2" s="1386"/>
      <c r="E2" s="1387"/>
      <c r="F2" s="1388"/>
      <c r="G2" s="2705"/>
      <c r="H2" s="2694"/>
      <c r="I2" s="2694"/>
      <c r="J2" s="2694"/>
      <c r="K2" s="2695"/>
      <c r="L2" s="2694"/>
      <c r="M2" s="2694"/>
    </row>
    <row r="3" spans="1:37" ht="18" customHeight="1" thickBot="1">
      <c r="A3" s="1389" t="s">
        <v>806</v>
      </c>
      <c r="B3" s="1390">
        <f ca="1">IF(ISERROR(B2*10000/F43),0,ROUND(B2*10000/F43,0))</f>
        <v>18581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10920</v>
      </c>
      <c r="D5" s="1363" t="s">
        <v>693</v>
      </c>
      <c r="E5" s="1071"/>
      <c r="F5" s="1072"/>
      <c r="G5" s="1383"/>
      <c r="H5" s="299">
        <v>1</v>
      </c>
      <c r="I5" s="300" t="s">
        <v>692</v>
      </c>
      <c r="J5" s="1070">
        <f ca="1">J6+J10+J12</f>
        <v>0</v>
      </c>
      <c r="K5" s="1363" t="s">
        <v>693</v>
      </c>
      <c r="L5" s="1071"/>
      <c r="M5" s="1072"/>
    </row>
    <row r="6" spans="1:37" ht="18" customHeight="1">
      <c r="A6" s="1069" t="s">
        <v>398</v>
      </c>
      <c r="B6" s="3655" t="s">
        <v>694</v>
      </c>
      <c r="C6" s="1074">
        <f ca="1">ROUND(F6*F8*F7*(1-F9)/10000,0)</f>
        <v>10906</v>
      </c>
      <c r="D6" s="155" t="s">
        <v>2107</v>
      </c>
      <c r="E6" s="302" t="s">
        <v>696</v>
      </c>
      <c r="F6" s="303">
        <f ca="1">INDIRECT("'数据-取费表'!u"&amp;$G$1)</f>
        <v>3</v>
      </c>
      <c r="G6" s="1383"/>
      <c r="H6" s="1069" t="s">
        <v>398</v>
      </c>
      <c r="I6" s="3655" t="s">
        <v>694</v>
      </c>
      <c r="J6" s="301">
        <f ca="1">ROUND(M6*M8*M7*(1-M9)/10000,0)</f>
        <v>0</v>
      </c>
      <c r="K6" s="155" t="s">
        <v>2106</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110663.31</v>
      </c>
      <c r="G7" s="1383"/>
      <c r="H7" s="304"/>
      <c r="I7" s="3656"/>
      <c r="J7" s="306"/>
      <c r="K7" s="307"/>
      <c r="L7" s="302" t="s">
        <v>697</v>
      </c>
      <c r="M7" s="303">
        <f ca="1">F7</f>
        <v>110663.31</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14</v>
      </c>
      <c r="D10" s="1365" t="s">
        <v>2115</v>
      </c>
      <c r="E10" s="313" t="s">
        <v>701</v>
      </c>
      <c r="F10" s="1116" t="s">
        <v>3397</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55436</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39976</v>
      </c>
      <c r="D14" s="1344" t="s">
        <v>708</v>
      </c>
      <c r="E14" s="1341"/>
      <c r="F14" s="319"/>
      <c r="G14" s="1383"/>
      <c r="H14" s="982" t="s">
        <v>398</v>
      </c>
      <c r="I14" s="302" t="s">
        <v>709</v>
      </c>
      <c r="J14" s="21">
        <f ca="1">C29</f>
        <v>58354</v>
      </c>
      <c r="K14" s="12"/>
      <c r="L14" s="807"/>
      <c r="M14" s="808"/>
    </row>
    <row r="15" spans="1:37" s="1396" customFormat="1" ht="18" customHeight="1" thickBot="1">
      <c r="A15" s="982" t="s">
        <v>399</v>
      </c>
      <c r="B15" s="302" t="s">
        <v>710</v>
      </c>
      <c r="C15" s="21">
        <f ca="1">ROUND(C14*F15,0)</f>
        <v>1999</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881</v>
      </c>
      <c r="K16" s="1087" t="s">
        <v>715</v>
      </c>
      <c r="L16" s="1088"/>
      <c r="M16" s="1072"/>
    </row>
    <row r="17" spans="1:37" s="1396" customFormat="1" ht="18" customHeight="1">
      <c r="A17" s="982" t="s">
        <v>681</v>
      </c>
      <c r="B17" s="302" t="s">
        <v>716</v>
      </c>
      <c r="C17" s="21">
        <f ca="1">ROUND(F17*(F43+INDIRECT("'数据-取费表'!S"&amp;$G$1))/10000,0)</f>
        <v>2284</v>
      </c>
      <c r="D17" s="302" t="s">
        <v>717</v>
      </c>
      <c r="E17" s="302" t="s">
        <v>718</v>
      </c>
      <c r="F17" s="23">
        <f>'数据-取费表'!B35</f>
        <v>200</v>
      </c>
      <c r="G17" s="1395"/>
      <c r="H17" s="982" t="s">
        <v>398</v>
      </c>
      <c r="I17" s="302" t="s">
        <v>719</v>
      </c>
      <c r="J17" s="2315">
        <f ca="1">ROUND(IF(AND(项目基本情况!B11="自然人",项目基本情况!B10="北京市"),J6*M17/(1+'数据-取费表'!C42),J18+J19+J20),2)</f>
        <v>5.39</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44859</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673</v>
      </c>
      <c r="D20" s="323" t="s">
        <v>729</v>
      </c>
      <c r="E20" s="302" t="s">
        <v>712</v>
      </c>
      <c r="F20" s="322">
        <f>'数据-取费表'!B37</f>
        <v>1.4999999999999999E-2</v>
      </c>
      <c r="G20" s="1395"/>
      <c r="H20" s="982" t="s">
        <v>680</v>
      </c>
      <c r="I20" s="155" t="s">
        <v>730</v>
      </c>
      <c r="J20" s="22">
        <f ca="1">ROUND(M20*M21/10000,2)</f>
        <v>5.39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1.4999999999999999E-2</v>
      </c>
      <c r="G21" s="1395"/>
      <c r="H21" s="326"/>
      <c r="I21" s="311"/>
      <c r="J21" s="26"/>
      <c r="K21" s="327"/>
      <c r="L21" s="302" t="s">
        <v>736</v>
      </c>
      <c r="M21" s="303">
        <f ca="1">INDIRECT("'数据-取费表'!r"&amp;$G$1)</f>
        <v>35936.81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875.31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1890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-881</v>
      </c>
      <c r="K25" s="1095" t="s">
        <v>753</v>
      </c>
      <c r="L25" s="1096"/>
      <c r="M25" s="1097"/>
    </row>
    <row r="26" spans="1:37">
      <c r="A26" s="982" t="s">
        <v>397</v>
      </c>
      <c r="B26" s="302" t="s">
        <v>754</v>
      </c>
      <c r="C26" s="21">
        <f ca="1">ROUND((C19+C20)*F26,0)</f>
        <v>6830</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58354</v>
      </c>
      <c r="D29" s="1092"/>
      <c r="E29" s="1090"/>
      <c r="F29" s="1093"/>
      <c r="G29" s="1395"/>
      <c r="H29" s="334" t="s">
        <v>396</v>
      </c>
      <c r="I29" s="335" t="s">
        <v>768</v>
      </c>
      <c r="J29" s="336">
        <f ca="1">ROUND(J26/(1+F40)^F41,0)</f>
        <v>0</v>
      </c>
      <c r="K29" s="337" t="s">
        <v>769</v>
      </c>
      <c r="L29" s="338"/>
      <c r="M29" s="339">
        <f ca="1">INDIRECT("'数据-取费表'!k"&amp;$G$1)</f>
        <v>110663.31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2891</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1823.06</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IF(项目基本情况!B11="自然人","——",ROUND(C6*F32/(1+'数据-取费表'!C42),2))</f>
        <v>571.27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1246.4000000000001</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5.39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35936.81</v>
      </c>
      <c r="G35" s="1383"/>
      <c r="H35" s="2696"/>
      <c r="I35" s="1397"/>
      <c r="J35" s="1398"/>
      <c r="K35" s="2700"/>
      <c r="L35" s="2699"/>
      <c r="M35" s="2699"/>
    </row>
    <row r="36" spans="1:18" ht="18" customHeight="1">
      <c r="A36" s="1102" t="s">
        <v>402</v>
      </c>
      <c r="B36" s="302" t="s">
        <v>738</v>
      </c>
      <c r="C36" s="21">
        <f ca="1">ROUND(C29*F36,2)</f>
        <v>875.31</v>
      </c>
      <c r="D36" s="1343"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83.15</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109.2</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8029</v>
      </c>
      <c r="D39" s="1095" t="s">
        <v>773</v>
      </c>
      <c r="E39" s="1096"/>
      <c r="F39" s="1097"/>
      <c r="G39" s="1383"/>
      <c r="H39" s="2699"/>
      <c r="I39" s="1397"/>
      <c r="J39" s="1398"/>
      <c r="K39" s="2703"/>
      <c r="L39" s="2699"/>
      <c r="M39" s="2699"/>
    </row>
    <row r="40" spans="1:18" ht="18" customHeight="1">
      <c r="A40" s="299" t="s">
        <v>395</v>
      </c>
      <c r="B40" s="300" t="s">
        <v>774</v>
      </c>
      <c r="C40" s="301">
        <f ca="1">ROUND(C39*(1-((1+F42)/(1+F40))^F41)/(F40-F42),0)</f>
        <v>205623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42.63</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ROUND(C40*10000/F43,0)</f>
        <v>18581</v>
      </c>
      <c r="D43" s="337" t="s">
        <v>777</v>
      </c>
      <c r="E43" s="338" t="s">
        <v>778</v>
      </c>
      <c r="F43" s="339">
        <f ca="1">INDIRECT("'数据-取费表'!k"&amp;$G$1)</f>
        <v>110663.31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-221346</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3398</v>
      </c>
      <c r="K47" s="1415" t="s">
        <v>816</v>
      </c>
      <c r="L47" s="1416">
        <f ca="1">INDIRECT("'数据-取费表'!d"&amp;$G$1)</f>
        <v>50</v>
      </c>
      <c r="M47" s="1379" t="str">
        <f>IF(ISNUMBER(FIND("住宅",C1)),"住宅","非住宅")</f>
        <v>非住宅</v>
      </c>
      <c r="O47" s="1417" t="s">
        <v>403</v>
      </c>
      <c r="P47" s="1418" t="s">
        <v>817</v>
      </c>
      <c r="Q47" s="1419">
        <f ca="1">C40+J29</f>
        <v>205623</v>
      </c>
      <c r="R47" s="1419" t="s">
        <v>818</v>
      </c>
    </row>
    <row r="48" spans="1:18" s="1383" customFormat="1" ht="28.5" thickBot="1">
      <c r="A48" s="1110" t="s">
        <v>438</v>
      </c>
      <c r="B48" s="300" t="s">
        <v>692</v>
      </c>
      <c r="C48" s="1358">
        <f ca="1">C49+C53+C55</f>
        <v>0</v>
      </c>
      <c r="D48" s="1112"/>
      <c r="E48" s="1113"/>
      <c r="F48" s="962"/>
      <c r="G48" s="722"/>
      <c r="H48" s="723"/>
      <c r="I48" s="1420" t="s">
        <v>819</v>
      </c>
      <c r="J48" s="1421" t="s">
        <v>3399</v>
      </c>
      <c r="K48" s="1422" t="s">
        <v>820</v>
      </c>
      <c r="L48" s="1423">
        <f ca="1">INDIRECT("'数据-取费表'!f"&amp;$G$1)</f>
        <v>42.63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2019</v>
      </c>
      <c r="K49" s="1422" t="s">
        <v>824</v>
      </c>
      <c r="L49" s="1426"/>
      <c r="O49" s="1427" t="s">
        <v>405</v>
      </c>
      <c r="P49" s="1418" t="s">
        <v>825</v>
      </c>
      <c r="Q49" s="1419">
        <f ca="1">C29</f>
        <v>58354</v>
      </c>
      <c r="R49" s="1419" t="s">
        <v>818</v>
      </c>
    </row>
    <row r="50" spans="1:18" s="1383" customFormat="1" ht="13.5" thickBot="1">
      <c r="A50" s="976"/>
      <c r="B50" s="979"/>
      <c r="C50" s="1118"/>
      <c r="D50" s="953"/>
      <c r="E50" s="1056" t="s">
        <v>697</v>
      </c>
      <c r="F50" s="1057">
        <f ca="1">F7</f>
        <v>110663.31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56</v>
      </c>
      <c r="K51" s="1433" t="s">
        <v>830</v>
      </c>
      <c r="L51" s="1434">
        <f ca="1">ROUND(-PV(INDIRECT("'数据-取费表'!h"&amp;$G$1),J51,(C39-C13*C76),0),0)</f>
        <v>77571</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42.63</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42.63</v>
      </c>
      <c r="K53" s="3658" t="s">
        <v>837</v>
      </c>
      <c r="L53" s="3659"/>
      <c r="O53" s="1417" t="s">
        <v>409</v>
      </c>
      <c r="P53" s="1418" t="s">
        <v>838</v>
      </c>
      <c r="Q53" s="1419">
        <f ca="1">Q47+Q48</f>
        <v>205623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55436</v>
      </c>
      <c r="D56" s="1446"/>
      <c r="E56" s="1447"/>
      <c r="F56" s="1439"/>
      <c r="I56" s="1448" t="s">
        <v>842</v>
      </c>
      <c r="J56" s="1449" t="s">
        <v>3378</v>
      </c>
      <c r="K56" s="1420" t="s">
        <v>843</v>
      </c>
      <c r="L56" s="1423" t="str">
        <f ca="1">IF(L48&lt;J51,"——",L48-J53)</f>
        <v>——</v>
      </c>
      <c r="O56" s="1417" t="s">
        <v>403</v>
      </c>
      <c r="P56" s="1418" t="s">
        <v>817</v>
      </c>
      <c r="Q56" s="1419">
        <f ca="1">C40+J29</f>
        <v>205623</v>
      </c>
      <c r="R56" s="1419" t="s">
        <v>818</v>
      </c>
    </row>
    <row r="57" spans="1:18" s="1383" customFormat="1" ht="24.75" thickBot="1">
      <c r="A57" s="1450"/>
      <c r="B57" s="950" t="s">
        <v>767</v>
      </c>
      <c r="C57" s="238">
        <f ca="1">C29</f>
        <v>58354</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963</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5.39</v>
      </c>
      <c r="D62" s="965" t="s">
        <v>786</v>
      </c>
      <c r="E62" s="950" t="s">
        <v>787</v>
      </c>
      <c r="F62" s="325">
        <f t="shared" si="0"/>
        <v>1.5</v>
      </c>
      <c r="I62" s="1461" t="s">
        <v>858</v>
      </c>
      <c r="J62" s="1462" t="s">
        <v>859</v>
      </c>
      <c r="K62" s="1462" t="s">
        <v>860</v>
      </c>
      <c r="L62" s="1462" t="s">
        <v>861</v>
      </c>
      <c r="M62" s="1463" t="s">
        <v>862</v>
      </c>
      <c r="O62" s="1417" t="s">
        <v>409</v>
      </c>
      <c r="P62" s="1418" t="s">
        <v>863</v>
      </c>
      <c r="Q62" s="1419">
        <f ca="1">Q56+Q57</f>
        <v>205623</v>
      </c>
      <c r="R62" s="1419" t="s">
        <v>410</v>
      </c>
    </row>
    <row r="63" spans="1:18" s="1383" customFormat="1" ht="13.5" thickBot="1">
      <c r="A63" s="326"/>
      <c r="B63" s="956"/>
      <c r="C63" s="26"/>
      <c r="D63" s="966"/>
      <c r="E63" s="950" t="s">
        <v>788</v>
      </c>
      <c r="F63" s="303">
        <f t="shared" ca="1" si="0"/>
        <v>35936.81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875.31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83.15</v>
      </c>
      <c r="D65" s="964" t="s">
        <v>743</v>
      </c>
      <c r="E65" s="950" t="s">
        <v>744</v>
      </c>
      <c r="F65" s="330">
        <f t="shared" ca="1" si="0"/>
        <v>1.5E-3</v>
      </c>
      <c r="I65" s="1461" t="s">
        <v>867</v>
      </c>
      <c r="J65" s="1462">
        <v>40</v>
      </c>
      <c r="K65" s="1462">
        <v>30</v>
      </c>
      <c r="L65" s="1462">
        <v>50</v>
      </c>
      <c r="M65" s="1464">
        <v>0.02</v>
      </c>
      <c r="O65" s="1417" t="s">
        <v>403</v>
      </c>
      <c r="P65" s="1418" t="s">
        <v>868</v>
      </c>
      <c r="Q65" s="1419">
        <f ca="1">C40+J29</f>
        <v>205623</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-963</v>
      </c>
      <c r="D67" s="963" t="s">
        <v>753</v>
      </c>
      <c r="E67" s="968"/>
      <c r="F67" s="969"/>
      <c r="O67" s="1427" t="s">
        <v>405</v>
      </c>
      <c r="P67" s="1418" t="s">
        <v>850</v>
      </c>
      <c r="Q67" s="1465">
        <f ca="1">L51</f>
        <v>77571</v>
      </c>
      <c r="R67" s="1419" t="s">
        <v>870</v>
      </c>
    </row>
    <row r="68" spans="1:18" s="1383" customFormat="1" ht="16.5" thickBot="1">
      <c r="A68" s="947" t="s">
        <v>395</v>
      </c>
      <c r="B68" s="948" t="s">
        <v>774</v>
      </c>
      <c r="C68" s="301">
        <f ca="1">ROUND(C67*(1-((1+F70)/(1+F68))^F69)/(F68-F70),0)</f>
        <v>-15723</v>
      </c>
      <c r="D68" s="965" t="s">
        <v>758</v>
      </c>
      <c r="E68" s="950" t="s">
        <v>759</v>
      </c>
      <c r="F68" s="312">
        <f ca="1">F40</f>
        <v>5.5E-2</v>
      </c>
      <c r="O68" s="1427" t="s">
        <v>406</v>
      </c>
      <c r="P68" s="1466" t="s">
        <v>871</v>
      </c>
      <c r="Q68" s="1419">
        <f ca="1">ROUND(Q69-Q70*Q71,0)</f>
        <v>4148</v>
      </c>
      <c r="R68" s="1419" t="s">
        <v>414</v>
      </c>
    </row>
    <row r="69" spans="1:18" s="1383" customFormat="1" ht="13.5" thickBot="1">
      <c r="A69" s="951"/>
      <c r="B69" s="952"/>
      <c r="C69" s="306"/>
      <c r="D69" s="970" t="s">
        <v>762</v>
      </c>
      <c r="E69" s="950" t="s">
        <v>763</v>
      </c>
      <c r="F69" s="333">
        <f ca="1">F41</f>
        <v>42.63</v>
      </c>
      <c r="O69" s="1427" t="s">
        <v>411</v>
      </c>
      <c r="P69" s="1466" t="s">
        <v>872</v>
      </c>
      <c r="Q69" s="1419">
        <f ca="1">C39</f>
        <v>8029</v>
      </c>
      <c r="R69" s="1419" t="s">
        <v>818</v>
      </c>
    </row>
    <row r="70" spans="1:18" s="1383" customFormat="1" ht="13.5" thickBot="1">
      <c r="A70" s="954"/>
      <c r="B70" s="955"/>
      <c r="C70" s="310"/>
      <c r="D70" s="966"/>
      <c r="E70" s="950" t="s">
        <v>766</v>
      </c>
      <c r="F70" s="1054"/>
      <c r="O70" s="1427" t="s">
        <v>412</v>
      </c>
      <c r="P70" s="1466" t="s">
        <v>873</v>
      </c>
      <c r="Q70" s="1419">
        <f ca="1">C13</f>
        <v>55436</v>
      </c>
      <c r="R70" s="1419" t="s">
        <v>818</v>
      </c>
    </row>
    <row r="71" spans="1:18" s="1383" customFormat="1" ht="13.5" thickBot="1">
      <c r="A71" s="971" t="s">
        <v>396</v>
      </c>
      <c r="B71" s="972" t="s">
        <v>776</v>
      </c>
      <c r="C71" s="336">
        <f ca="1">ROUND(C68*10000/F71,0)</f>
        <v>-1421</v>
      </c>
      <c r="D71" s="973" t="s">
        <v>777</v>
      </c>
      <c r="E71" s="974" t="s">
        <v>778</v>
      </c>
      <c r="F71" s="339">
        <f ca="1">F43</f>
        <v>110663.31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3881</v>
      </c>
      <c r="D75" s="1383"/>
      <c r="E75" s="1383"/>
      <c r="F75" s="1383"/>
      <c r="K75" s="1401"/>
      <c r="L75" s="1383"/>
      <c r="O75" s="1417" t="s">
        <v>409</v>
      </c>
      <c r="P75" s="1418" t="s">
        <v>838</v>
      </c>
      <c r="Q75" s="1419">
        <f ca="1">Q65+Q66</f>
        <v>205623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0.51700000000000002</v>
      </c>
    </row>
    <row r="80" spans="1:18">
      <c r="B80" s="340" t="s">
        <v>800</v>
      </c>
      <c r="C80" s="274">
        <f ca="1">ROUND(C75/C39,3)</f>
        <v>0.48299999999999998</v>
      </c>
    </row>
    <row r="81" spans="2:3">
      <c r="B81" s="270" t="s">
        <v>801</v>
      </c>
      <c r="C81" s="238"/>
    </row>
    <row r="82" spans="2:3">
      <c r="B82" s="273" t="s">
        <v>802</v>
      </c>
      <c r="C82" s="275">
        <f ca="1">1-C83</f>
        <v>0.73</v>
      </c>
    </row>
    <row r="83" spans="2:3">
      <c r="B83" s="273" t="s">
        <v>803</v>
      </c>
      <c r="C83" s="274">
        <f ca="1">ROUND(C13/C40,3)</f>
        <v>0.27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6"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55" t="s">
        <v>694</v>
      </c>
      <c r="C6" s="1074">
        <f ca="1">ROUND(F6*F8*F7*(1-F9),0)</f>
        <v>0</v>
      </c>
      <c r="D6" s="155" t="s">
        <v>2104</v>
      </c>
      <c r="E6" s="302" t="s">
        <v>696</v>
      </c>
      <c r="F6" s="303">
        <f ca="1">INDIRECT("'数据-取费表'!u"&amp;$G$1)</f>
        <v>0</v>
      </c>
      <c r="G6" s="1383"/>
      <c r="H6" s="1069" t="s">
        <v>398</v>
      </c>
      <c r="I6" s="3655" t="s">
        <v>694</v>
      </c>
      <c r="J6" s="301">
        <f ca="1">ROUND(M6*M8*M7*(1-M9),0)</f>
        <v>0</v>
      </c>
      <c r="K6" s="1375" t="s">
        <v>2105</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1.4999999999999999E-2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1.4999999999999999E-2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3359</v>
      </c>
      <c r="B45" s="1399"/>
      <c r="C45" s="1471" t="e">
        <f ca="1">ROUND((C68-C40)/10000,4)</f>
        <v>#DIV/0!</v>
      </c>
      <c r="D45" s="3433"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4" t="s">
        <v>3368</v>
      </c>
      <c r="E2" s="3445"/>
      <c r="F2" s="2845"/>
      <c r="G2" s="2846"/>
      <c r="H2" s="2847"/>
      <c r="I2" s="2848"/>
      <c r="J2" s="3666" t="s">
        <v>2318</v>
      </c>
      <c r="K2" s="3667"/>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68" t="s">
        <v>2328</v>
      </c>
      <c r="K3" s="3669"/>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68" t="s">
        <v>2330</v>
      </c>
      <c r="K4" s="3669"/>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74" t="s">
        <v>2334</v>
      </c>
      <c r="B6" s="3675"/>
      <c r="C6" s="3676"/>
      <c r="D6" s="2869"/>
      <c r="E6" s="2870"/>
      <c r="F6" s="2871"/>
      <c r="G6" s="2872"/>
      <c r="H6" s="2847"/>
      <c r="I6" s="2848"/>
      <c r="J6" s="3660">
        <v>1</v>
      </c>
      <c r="K6" s="3661"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60"/>
      <c r="K7" s="3662"/>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77" t="s">
        <v>2348</v>
      </c>
      <c r="C8" s="3678"/>
      <c r="D8" s="2888" t="s">
        <v>2349</v>
      </c>
      <c r="E8" s="2889" t="s">
        <v>2350</v>
      </c>
      <c r="F8" s="2890" t="s">
        <v>2351</v>
      </c>
      <c r="G8" s="2891"/>
      <c r="H8" s="2847"/>
      <c r="I8" s="2848"/>
      <c r="J8" s="3660"/>
      <c r="K8" s="3662"/>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77" t="s">
        <v>2354</v>
      </c>
      <c r="C9" s="3678"/>
      <c r="D9" s="2888">
        <f>ROUND(D6*E9,0)</f>
        <v>0</v>
      </c>
      <c r="E9" s="2892"/>
      <c r="F9" s="2893" t="s">
        <v>2355</v>
      </c>
      <c r="G9" s="2872"/>
      <c r="H9" s="2847"/>
      <c r="I9" s="2848"/>
      <c r="J9" s="3660"/>
      <c r="K9" s="3662"/>
      <c r="L9" s="2882" t="s">
        <v>2356</v>
      </c>
      <c r="M9" s="2883"/>
      <c r="N9" s="2859"/>
      <c r="O9" s="2884"/>
      <c r="P9" s="2884"/>
      <c r="Q9" s="2885">
        <v>365</v>
      </c>
      <c r="R9" s="2886">
        <f t="shared" si="0"/>
        <v>0</v>
      </c>
      <c r="S9" s="2840"/>
      <c r="T9" s="2840"/>
      <c r="U9" s="2840"/>
      <c r="V9" s="2848"/>
    </row>
    <row r="10" spans="1:22" s="2852" customFormat="1" ht="13.15" customHeight="1">
      <c r="A10" s="2887">
        <v>2</v>
      </c>
      <c r="B10" s="3677" t="s">
        <v>2357</v>
      </c>
      <c r="C10" s="3678"/>
      <c r="D10" s="2888">
        <f>ROUND(D6*E10,0)</f>
        <v>0</v>
      </c>
      <c r="E10" s="2892"/>
      <c r="F10" s="2893" t="s">
        <v>2358</v>
      </c>
      <c r="G10" s="2872"/>
      <c r="H10" s="2847"/>
      <c r="I10" s="2848"/>
      <c r="J10" s="3660"/>
      <c r="K10" s="3662"/>
      <c r="L10" s="2882" t="s">
        <v>2359</v>
      </c>
      <c r="M10" s="2883"/>
      <c r="N10" s="2859"/>
      <c r="O10" s="2884"/>
      <c r="P10" s="2884"/>
      <c r="Q10" s="2885">
        <v>365</v>
      </c>
      <c r="R10" s="2886">
        <f t="shared" si="0"/>
        <v>0</v>
      </c>
      <c r="S10" s="2840"/>
      <c r="T10" s="2840"/>
      <c r="U10" s="2840"/>
      <c r="V10" s="2848"/>
    </row>
    <row r="11" spans="1:22" s="2852" customFormat="1" ht="13.15" customHeight="1">
      <c r="A11" s="2887">
        <v>3</v>
      </c>
      <c r="B11" s="3677" t="s">
        <v>2360</v>
      </c>
      <c r="C11" s="3678"/>
      <c r="D11" s="2888">
        <f>D12+D14+D15+D16</f>
        <v>0</v>
      </c>
      <c r="E11" s="2894" t="e">
        <f>D11/D6</f>
        <v>#DIV/0!</v>
      </c>
      <c r="F11" s="2890"/>
      <c r="G11" s="2891"/>
      <c r="H11" s="2847"/>
      <c r="I11" s="2848"/>
      <c r="J11" s="3660"/>
      <c r="K11" s="3662"/>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70" t="s">
        <v>2363</v>
      </c>
      <c r="C12" s="3671"/>
      <c r="D12" s="2896">
        <f>ROUND(D13*1.2%*(1-30%),0)</f>
        <v>0</v>
      </c>
      <c r="E12" s="2897">
        <v>1.2E-2</v>
      </c>
      <c r="F12" s="2890" t="s">
        <v>2364</v>
      </c>
      <c r="G12" s="2891"/>
      <c r="H12" s="2847"/>
      <c r="I12" s="2848"/>
      <c r="J12" s="3660"/>
      <c r="K12" s="3662"/>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60"/>
      <c r="K13" s="3662"/>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70" t="s">
        <v>2369</v>
      </c>
      <c r="C14" s="3671"/>
      <c r="D14" s="2896">
        <f>ROUND(E14*B5/10000,0)</f>
        <v>0</v>
      </c>
      <c r="E14" s="2885"/>
      <c r="F14" s="2890" t="s">
        <v>2370</v>
      </c>
      <c r="G14" s="2891"/>
      <c r="H14" s="2847"/>
      <c r="I14" s="2848"/>
      <c r="J14" s="3660"/>
      <c r="K14" s="3663"/>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70" t="s">
        <v>2373</v>
      </c>
      <c r="C15" s="3671"/>
      <c r="D15" s="2896">
        <f>ROUND(D6*E15,0)</f>
        <v>0</v>
      </c>
      <c r="E15" s="2897">
        <v>5.5E-2</v>
      </c>
      <c r="F15" s="2890" t="s">
        <v>2374</v>
      </c>
      <c r="G15" s="2872"/>
      <c r="H15" s="2847"/>
      <c r="I15" s="2848"/>
      <c r="J15" s="3660">
        <v>2</v>
      </c>
      <c r="K15" s="3661"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70" t="s">
        <v>2382</v>
      </c>
      <c r="C16" s="3671"/>
      <c r="D16" s="2907">
        <f>D6*E16</f>
        <v>0</v>
      </c>
      <c r="E16" s="2908"/>
      <c r="F16" s="2893" t="s">
        <v>2383</v>
      </c>
      <c r="G16" s="2872"/>
      <c r="H16" s="2847"/>
      <c r="I16" s="2848"/>
      <c r="J16" s="3660"/>
      <c r="K16" s="3662"/>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2385</v>
      </c>
      <c r="C17" s="3673"/>
      <c r="D17" s="2910">
        <f>ROUND(D6*E17,0)</f>
        <v>0</v>
      </c>
      <c r="E17" s="2911"/>
      <c r="F17" s="2912" t="s">
        <v>2386</v>
      </c>
      <c r="G17" s="2872"/>
      <c r="H17" s="2847"/>
      <c r="I17" s="2848"/>
      <c r="J17" s="3660"/>
      <c r="K17" s="3662"/>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60"/>
      <c r="K18" s="3662"/>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60"/>
      <c r="K19" s="3663"/>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60"/>
      <c r="K21" s="3662"/>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60"/>
      <c r="K22" s="3662"/>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60"/>
      <c r="K23" s="3662"/>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60"/>
      <c r="K24" s="3663"/>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64">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66" t="s">
        <v>2318</v>
      </c>
      <c r="K32" s="3667"/>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68" t="s">
        <v>2328</v>
      </c>
      <c r="K33" s="3669"/>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68" t="s">
        <v>2330</v>
      </c>
      <c r="K34" s="366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60">
        <v>1</v>
      </c>
      <c r="K36" s="3661"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60"/>
      <c r="K40" s="3663"/>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208063</v>
      </c>
      <c r="C2" s="1871" t="s">
        <v>1650</v>
      </c>
      <c r="D2" s="1872" t="s">
        <v>1651</v>
      </c>
      <c r="E2" s="2606">
        <f>SUM(E6:E13)</f>
        <v>131855.63</v>
      </c>
      <c r="F2" s="2706"/>
      <c r="G2" s="1488"/>
      <c r="H2" s="1488"/>
      <c r="I2" s="1488"/>
      <c r="J2" s="1488"/>
      <c r="K2" s="1488"/>
      <c r="L2" s="1488"/>
      <c r="M2" s="1488"/>
      <c r="N2" s="1488"/>
      <c r="O2" s="1488"/>
      <c r="P2" s="1488"/>
      <c r="Q2" s="1488"/>
      <c r="R2" s="1488"/>
      <c r="S2" s="1488"/>
    </row>
    <row r="3" spans="1:22" ht="15.75">
      <c r="A3" s="1869" t="s">
        <v>686</v>
      </c>
      <c r="B3" s="2600">
        <f ca="1">ROUND(B2*10000/E2,0)</f>
        <v>15780</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79" t="s">
        <v>1653</v>
      </c>
      <c r="C5" s="3680"/>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205623</v>
      </c>
      <c r="C6" s="1871" t="s">
        <v>1650</v>
      </c>
      <c r="D6" s="2708"/>
      <c r="E6" s="2605">
        <f>IF(OR(A6=0,F6="否"),0,'数据-取费表'!K6+'数据-取费表'!S6)</f>
        <v>114217.55</v>
      </c>
      <c r="F6" s="1875" t="s">
        <v>1656</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2440</v>
      </c>
      <c r="C7" s="1871" t="s">
        <v>1650</v>
      </c>
      <c r="D7" s="2708"/>
      <c r="E7" s="2605">
        <f>IF(OR(A7=0,F7="否"),0,'数据-取费表'!K7+'数据-取费表'!S7)</f>
        <v>17638.080000000002</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49" activeCellId="1" sqref="N18 F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7"/>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131855.63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699" t="s">
        <v>1666</v>
      </c>
      <c r="D4" s="3700"/>
      <c r="E4" s="3701" t="s">
        <v>1667</v>
      </c>
      <c r="F4" s="3702"/>
      <c r="G4" s="3699" t="s">
        <v>1668</v>
      </c>
      <c r="H4" s="3700"/>
      <c r="I4" s="3699" t="s">
        <v>1669</v>
      </c>
      <c r="J4" s="3700"/>
      <c r="K4" s="1888" t="s">
        <v>1670</v>
      </c>
      <c r="L4" s="2714"/>
      <c r="M4" s="2715"/>
      <c r="N4" s="2715"/>
      <c r="O4" s="2715"/>
      <c r="P4" s="3703" t="s">
        <v>1671</v>
      </c>
      <c r="Q4" s="3704"/>
      <c r="R4" s="3709" t="s">
        <v>1667</v>
      </c>
      <c r="S4" s="3710"/>
      <c r="T4" s="3709" t="s">
        <v>1668</v>
      </c>
      <c r="U4" s="3710"/>
      <c r="V4" s="3715" t="s">
        <v>1669</v>
      </c>
      <c r="W4" s="3715"/>
      <c r="X4" s="1354"/>
      <c r="Y4" s="3709" t="s">
        <v>1671</v>
      </c>
      <c r="Z4" s="3710"/>
      <c r="AA4" s="3696" t="s">
        <v>1667</v>
      </c>
      <c r="AB4" s="3696" t="s">
        <v>1668</v>
      </c>
      <c r="AC4" s="3696" t="s">
        <v>1669</v>
      </c>
    </row>
    <row r="5" spans="1:29" ht="15">
      <c r="A5" s="358"/>
      <c r="B5" s="359"/>
      <c r="C5" s="3718" t="s">
        <v>1672</v>
      </c>
      <c r="D5" s="3719"/>
      <c r="E5" s="3725" t="s">
        <v>1673</v>
      </c>
      <c r="F5" s="3726"/>
      <c r="G5" s="3718" t="s">
        <v>1674</v>
      </c>
      <c r="H5" s="3719"/>
      <c r="I5" s="3718" t="s">
        <v>1675</v>
      </c>
      <c r="J5" s="3719"/>
      <c r="K5" s="188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1676</v>
      </c>
      <c r="D6" s="3717"/>
      <c r="E6" s="3723" t="s">
        <v>1676</v>
      </c>
      <c r="F6" s="3724"/>
      <c r="G6" s="3716" t="s">
        <v>1676</v>
      </c>
      <c r="H6" s="3717"/>
      <c r="I6" s="3716" t="s">
        <v>1676</v>
      </c>
      <c r="J6" s="3717"/>
      <c r="K6" s="1889" t="s">
        <v>1677</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0" t="s">
        <v>1679</v>
      </c>
      <c r="Q7" s="3722"/>
      <c r="R7" s="701" t="s">
        <v>20</v>
      </c>
      <c r="S7" s="702">
        <f t="shared" ref="S7:S15" si="0">F7</f>
        <v>0</v>
      </c>
      <c r="T7" s="701" t="s">
        <v>20</v>
      </c>
      <c r="U7" s="702">
        <f t="shared" ref="U7:U15" si="1">H7</f>
        <v>0</v>
      </c>
      <c r="V7" s="701" t="s">
        <v>20</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0" t="s">
        <v>1682</v>
      </c>
      <c r="Q8" s="3721"/>
      <c r="R8" s="701" t="s">
        <v>20</v>
      </c>
      <c r="S8" s="702">
        <f t="shared" si="0"/>
        <v>100</v>
      </c>
      <c r="T8" s="701" t="s">
        <v>20</v>
      </c>
      <c r="U8" s="702">
        <f t="shared" si="1"/>
        <v>100</v>
      </c>
      <c r="V8" s="701" t="s">
        <v>20</v>
      </c>
      <c r="W8" s="702">
        <f t="shared" si="2"/>
        <v>100</v>
      </c>
      <c r="X8" s="703"/>
      <c r="Y8" s="3720" t="s">
        <v>1682</v>
      </c>
      <c r="Z8" s="372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5" t="s">
        <v>1685</v>
      </c>
      <c r="Q9" s="1342" t="str">
        <f t="shared" ref="Q9:Q15" si="6">B9</f>
        <v>用途</v>
      </c>
      <c r="R9" s="701" t="s">
        <v>14</v>
      </c>
      <c r="S9" s="702">
        <f t="shared" si="0"/>
        <v>100</v>
      </c>
      <c r="T9" s="701" t="s">
        <v>14</v>
      </c>
      <c r="U9" s="702">
        <f t="shared" si="1"/>
        <v>100</v>
      </c>
      <c r="V9" s="701" t="s">
        <v>14</v>
      </c>
      <c r="W9" s="702">
        <f t="shared" si="2"/>
        <v>100</v>
      </c>
      <c r="X9" s="703"/>
      <c r="Y9" s="355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2"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5"/>
      <c r="Q12" s="1342">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5"/>
      <c r="Q13" s="1342">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5"/>
      <c r="Q14" s="1342">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1690</v>
      </c>
      <c r="Q15" s="1351" t="str">
        <f t="shared" si="6"/>
        <v>居住社区成熟度</v>
      </c>
      <c r="R15" s="705" t="s">
        <v>18</v>
      </c>
      <c r="S15" s="706">
        <f t="shared" si="0"/>
        <v>100</v>
      </c>
      <c r="T15" s="705" t="s">
        <v>18</v>
      </c>
      <c r="U15" s="706">
        <f t="shared" si="1"/>
        <v>100</v>
      </c>
      <c r="V15" s="705" t="s">
        <v>18</v>
      </c>
      <c r="W15" s="706">
        <f t="shared" si="2"/>
        <v>100</v>
      </c>
      <c r="X15" s="1354"/>
      <c r="Y15" s="3686"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4"/>
      <c r="Q16" s="1351"/>
      <c r="R16" s="705"/>
      <c r="S16" s="706"/>
      <c r="T16" s="705"/>
      <c r="U16" s="706"/>
      <c r="V16" s="705"/>
      <c r="W16" s="706"/>
      <c r="X16" s="1354"/>
      <c r="Y16" s="3687"/>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1" t="str">
        <f>B17</f>
        <v>交通便捷度</v>
      </c>
      <c r="R17" s="705" t="s">
        <v>18</v>
      </c>
      <c r="S17" s="706">
        <f>F17</f>
        <v>100</v>
      </c>
      <c r="T17" s="705" t="s">
        <v>18</v>
      </c>
      <c r="U17" s="706">
        <f>H17</f>
        <v>100</v>
      </c>
      <c r="V17" s="705" t="s">
        <v>18</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4"/>
      <c r="Q18" s="1351"/>
      <c r="R18" s="705"/>
      <c r="S18" s="706"/>
      <c r="T18" s="705"/>
      <c r="U18" s="706"/>
      <c r="V18" s="705"/>
      <c r="W18" s="706"/>
      <c r="X18" s="1354"/>
      <c r="Y18" s="3687"/>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1" t="str">
        <f>B19</f>
        <v>公共配套设施</v>
      </c>
      <c r="R19" s="705" t="s">
        <v>18</v>
      </c>
      <c r="S19" s="706">
        <f>F19</f>
        <v>100</v>
      </c>
      <c r="T19" s="705" t="s">
        <v>18</v>
      </c>
      <c r="U19" s="706">
        <f>H19</f>
        <v>100</v>
      </c>
      <c r="V19" s="705" t="s">
        <v>18</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4"/>
      <c r="Q20" s="1351"/>
      <c r="R20" s="705"/>
      <c r="S20" s="706"/>
      <c r="T20" s="705"/>
      <c r="U20" s="706"/>
      <c r="V20" s="705"/>
      <c r="W20" s="706"/>
      <c r="X20" s="1354"/>
      <c r="Y20" s="3687"/>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94"/>
      <c r="Q22" s="1351"/>
      <c r="R22" s="705"/>
      <c r="S22" s="706"/>
      <c r="T22" s="705"/>
      <c r="U22" s="706"/>
      <c r="V22" s="705"/>
      <c r="W22" s="706"/>
      <c r="X22" s="1354"/>
      <c r="Y22" s="3687"/>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1" t="str">
        <f>B23</f>
        <v>自然及人文环境</v>
      </c>
      <c r="R23" s="705" t="s">
        <v>18</v>
      </c>
      <c r="S23" s="706">
        <f>F23</f>
        <v>100</v>
      </c>
      <c r="T23" s="705" t="s">
        <v>18</v>
      </c>
      <c r="U23" s="706">
        <f>H23</f>
        <v>100</v>
      </c>
      <c r="V23" s="705" t="s">
        <v>18</v>
      </c>
      <c r="W23" s="706">
        <f>J23</f>
        <v>100</v>
      </c>
      <c r="X23" s="1354"/>
      <c r="Y23" s="368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4"/>
      <c r="Q24" s="1351"/>
      <c r="R24" s="705"/>
      <c r="S24" s="706"/>
      <c r="T24" s="705"/>
      <c r="U24" s="706"/>
      <c r="V24" s="705"/>
      <c r="W24" s="706"/>
      <c r="X24" s="1354"/>
      <c r="Y24" s="3687"/>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7"/>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4"/>
      <c r="Q26" s="1351" t="str">
        <f t="shared" si="11"/>
        <v>朝向</v>
      </c>
      <c r="R26" s="705" t="s">
        <v>18</v>
      </c>
      <c r="S26" s="706">
        <f t="shared" si="12"/>
        <v>100</v>
      </c>
      <c r="T26" s="705" t="s">
        <v>18</v>
      </c>
      <c r="U26" s="706">
        <f t="shared" si="13"/>
        <v>100</v>
      </c>
      <c r="V26" s="705" t="s">
        <v>18</v>
      </c>
      <c r="W26" s="706">
        <f t="shared" si="14"/>
        <v>100</v>
      </c>
      <c r="X26" s="1354"/>
      <c r="Y26" s="368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4"/>
      <c r="Q27" s="1342">
        <f t="shared" si="11"/>
        <v>111</v>
      </c>
      <c r="R27" s="701" t="s">
        <v>18</v>
      </c>
      <c r="S27" s="702">
        <f t="shared" si="12"/>
        <v>100</v>
      </c>
      <c r="T27" s="701" t="s">
        <v>18</v>
      </c>
      <c r="U27" s="702">
        <f t="shared" si="13"/>
        <v>100</v>
      </c>
      <c r="V27" s="701" t="s">
        <v>18</v>
      </c>
      <c r="W27" s="702">
        <f t="shared" si="14"/>
        <v>100</v>
      </c>
      <c r="X27" s="703"/>
      <c r="Y27" s="368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4"/>
      <c r="Q28" s="1351">
        <f t="shared" si="11"/>
        <v>111</v>
      </c>
      <c r="R28" s="705" t="s">
        <v>18</v>
      </c>
      <c r="S28" s="706">
        <f t="shared" si="12"/>
        <v>100</v>
      </c>
      <c r="T28" s="705" t="s">
        <v>18</v>
      </c>
      <c r="U28" s="706">
        <f t="shared" si="13"/>
        <v>100</v>
      </c>
      <c r="V28" s="705" t="s">
        <v>18</v>
      </c>
      <c r="W28" s="706">
        <f t="shared" si="14"/>
        <v>100</v>
      </c>
      <c r="X28" s="1354"/>
      <c r="Y28" s="368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4"/>
      <c r="Q29" s="1351">
        <f t="shared" si="11"/>
        <v>111</v>
      </c>
      <c r="R29" s="705" t="s">
        <v>18</v>
      </c>
      <c r="S29" s="706">
        <f t="shared" si="12"/>
        <v>100</v>
      </c>
      <c r="T29" s="705" t="s">
        <v>18</v>
      </c>
      <c r="U29" s="706">
        <f t="shared" si="13"/>
        <v>100</v>
      </c>
      <c r="V29" s="705" t="s">
        <v>18</v>
      </c>
      <c r="W29" s="706">
        <f t="shared" si="14"/>
        <v>100</v>
      </c>
      <c r="X29" s="1354"/>
      <c r="Y29" s="368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4"/>
      <c r="Q30" s="1351">
        <f t="shared" si="11"/>
        <v>111</v>
      </c>
      <c r="R30" s="705" t="s">
        <v>18</v>
      </c>
      <c r="S30" s="706">
        <f t="shared" si="12"/>
        <v>100</v>
      </c>
      <c r="T30" s="705" t="s">
        <v>18</v>
      </c>
      <c r="U30" s="706">
        <f t="shared" si="13"/>
        <v>100</v>
      </c>
      <c r="V30" s="705" t="s">
        <v>18</v>
      </c>
      <c r="W30" s="706">
        <f t="shared" si="14"/>
        <v>100</v>
      </c>
      <c r="X30" s="1354"/>
      <c r="Y30" s="368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4"/>
      <c r="Q31" s="1351">
        <f t="shared" si="11"/>
        <v>111</v>
      </c>
      <c r="R31" s="705" t="s">
        <v>18</v>
      </c>
      <c r="S31" s="706">
        <f t="shared" si="12"/>
        <v>100</v>
      </c>
      <c r="T31" s="705" t="s">
        <v>18</v>
      </c>
      <c r="U31" s="706">
        <f t="shared" si="13"/>
        <v>100</v>
      </c>
      <c r="V31" s="705" t="s">
        <v>18</v>
      </c>
      <c r="W31" s="706">
        <f t="shared" si="14"/>
        <v>100</v>
      </c>
      <c r="X31" s="1354"/>
      <c r="Y31" s="3687"/>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8" t="s">
        <v>1695</v>
      </c>
      <c r="Q32" s="1351" t="str">
        <f t="shared" si="11"/>
        <v>建筑类型</v>
      </c>
      <c r="R32" s="705" t="s">
        <v>18</v>
      </c>
      <c r="S32" s="706">
        <f t="shared" si="12"/>
        <v>100</v>
      </c>
      <c r="T32" s="705" t="s">
        <v>18</v>
      </c>
      <c r="U32" s="706">
        <f t="shared" si="13"/>
        <v>100</v>
      </c>
      <c r="V32" s="705" t="s">
        <v>18</v>
      </c>
      <c r="W32" s="706">
        <f t="shared" si="14"/>
        <v>100</v>
      </c>
      <c r="X32" s="1354"/>
      <c r="Y32" s="3691"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9"/>
      <c r="Q34" s="1351" t="str">
        <f t="shared" si="11"/>
        <v>建筑结构</v>
      </c>
      <c r="R34" s="705" t="s">
        <v>18</v>
      </c>
      <c r="S34" s="706">
        <f t="shared" si="12"/>
        <v>100</v>
      </c>
      <c r="T34" s="705" t="s">
        <v>18</v>
      </c>
      <c r="U34" s="706">
        <f t="shared" si="13"/>
        <v>100</v>
      </c>
      <c r="V34" s="705" t="s">
        <v>18</v>
      </c>
      <c r="W34" s="706">
        <f t="shared" si="14"/>
        <v>100</v>
      </c>
      <c r="X34" s="1354"/>
      <c r="Y34" s="3691"/>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9"/>
      <c r="Q35" s="1351" t="str">
        <f t="shared" si="11"/>
        <v>建筑品质</v>
      </c>
      <c r="R35" s="705" t="s">
        <v>18</v>
      </c>
      <c r="S35" s="706">
        <f t="shared" si="12"/>
        <v>100</v>
      </c>
      <c r="T35" s="705" t="s">
        <v>18</v>
      </c>
      <c r="U35" s="706">
        <f t="shared" si="13"/>
        <v>100</v>
      </c>
      <c r="V35" s="705" t="s">
        <v>18</v>
      </c>
      <c r="W35" s="706">
        <f t="shared" si="14"/>
        <v>100</v>
      </c>
      <c r="X35" s="1354"/>
      <c r="Y35" s="3691"/>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9"/>
      <c r="Q36" s="1351" t="str">
        <f t="shared" si="11"/>
        <v>公共部分装修</v>
      </c>
      <c r="R36" s="705" t="s">
        <v>18</v>
      </c>
      <c r="S36" s="706">
        <f t="shared" si="12"/>
        <v>100</v>
      </c>
      <c r="T36" s="705" t="s">
        <v>18</v>
      </c>
      <c r="U36" s="706">
        <f t="shared" si="13"/>
        <v>100</v>
      </c>
      <c r="V36" s="705" t="s">
        <v>18</v>
      </c>
      <c r="W36" s="706">
        <f t="shared" si="14"/>
        <v>100</v>
      </c>
      <c r="X36" s="1354"/>
      <c r="Y36" s="3691"/>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9"/>
      <c r="Q37" s="1342"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9" t="s">
        <v>1695</v>
      </c>
      <c r="Q38" s="1351" t="str">
        <f t="shared" si="11"/>
        <v>物业管理</v>
      </c>
      <c r="R38" s="705" t="s">
        <v>18</v>
      </c>
      <c r="S38" s="706">
        <f t="shared" si="12"/>
        <v>100</v>
      </c>
      <c r="T38" s="705" t="s">
        <v>18</v>
      </c>
      <c r="U38" s="706">
        <f t="shared" si="13"/>
        <v>100</v>
      </c>
      <c r="V38" s="705" t="s">
        <v>18</v>
      </c>
      <c r="W38" s="706">
        <f t="shared" si="14"/>
        <v>100</v>
      </c>
      <c r="X38" s="1354"/>
      <c r="Y38" s="3691"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9"/>
      <c r="Q39" s="1351" t="str">
        <f t="shared" si="11"/>
        <v>市政基础设施</v>
      </c>
      <c r="R39" s="705" t="s">
        <v>18</v>
      </c>
      <c r="S39" s="706">
        <f t="shared" si="12"/>
        <v>100</v>
      </c>
      <c r="T39" s="705" t="s">
        <v>18</v>
      </c>
      <c r="U39" s="706">
        <f t="shared" si="13"/>
        <v>100</v>
      </c>
      <c r="V39" s="705" t="s">
        <v>18</v>
      </c>
      <c r="W39" s="706">
        <f t="shared" si="14"/>
        <v>100</v>
      </c>
      <c r="X39" s="1354"/>
      <c r="Y39" s="3691"/>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9"/>
      <c r="Q40" s="1351" t="str">
        <f t="shared" si="11"/>
        <v>房型</v>
      </c>
      <c r="R40" s="705" t="s">
        <v>18</v>
      </c>
      <c r="S40" s="706">
        <f t="shared" si="12"/>
        <v>100</v>
      </c>
      <c r="T40" s="705" t="s">
        <v>18</v>
      </c>
      <c r="U40" s="706">
        <f t="shared" si="13"/>
        <v>100</v>
      </c>
      <c r="V40" s="705" t="s">
        <v>18</v>
      </c>
      <c r="W40" s="706">
        <f t="shared" si="14"/>
        <v>100</v>
      </c>
      <c r="X40" s="1354"/>
      <c r="Y40" s="3691"/>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9"/>
      <c r="Q42" s="1351" t="str">
        <f t="shared" si="11"/>
        <v>内部装修</v>
      </c>
      <c r="R42" s="705" t="s">
        <v>18</v>
      </c>
      <c r="S42" s="706">
        <f t="shared" si="12"/>
        <v>100</v>
      </c>
      <c r="T42" s="705" t="s">
        <v>18</v>
      </c>
      <c r="U42" s="706">
        <f t="shared" si="13"/>
        <v>100</v>
      </c>
      <c r="V42" s="705" t="s">
        <v>18</v>
      </c>
      <c r="W42" s="706">
        <f t="shared" si="14"/>
        <v>100</v>
      </c>
      <c r="X42" s="1354"/>
      <c r="Y42" s="3691"/>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9"/>
      <c r="Q43" s="1351" t="str">
        <f t="shared" si="11"/>
        <v>内部装修维护情况</v>
      </c>
      <c r="R43" s="705" t="s">
        <v>18</v>
      </c>
      <c r="S43" s="706">
        <f t="shared" si="12"/>
        <v>100</v>
      </c>
      <c r="T43" s="705" t="s">
        <v>18</v>
      </c>
      <c r="U43" s="706">
        <f t="shared" si="13"/>
        <v>100</v>
      </c>
      <c r="V43" s="705" t="s">
        <v>18</v>
      </c>
      <c r="W43" s="706">
        <f t="shared" si="14"/>
        <v>100</v>
      </c>
      <c r="X43" s="1354"/>
      <c r="Y43" s="369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9"/>
      <c r="Q44" s="1342">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9"/>
      <c r="Q45" s="1351">
        <f t="shared" si="11"/>
        <v>111</v>
      </c>
      <c r="R45" s="705" t="s">
        <v>18</v>
      </c>
      <c r="S45" s="706">
        <f t="shared" si="12"/>
        <v>100</v>
      </c>
      <c r="T45" s="705" t="s">
        <v>18</v>
      </c>
      <c r="U45" s="706">
        <f t="shared" si="13"/>
        <v>100</v>
      </c>
      <c r="V45" s="705" t="s">
        <v>18</v>
      </c>
      <c r="W45" s="706">
        <f t="shared" si="14"/>
        <v>100</v>
      </c>
      <c r="X45" s="1354"/>
      <c r="Y45" s="369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0"/>
      <c r="Q46" s="1351">
        <f t="shared" si="11"/>
        <v>111</v>
      </c>
      <c r="R46" s="705" t="s">
        <v>17</v>
      </c>
      <c r="S46" s="706">
        <f t="shared" si="12"/>
        <v>100</v>
      </c>
      <c r="T46" s="705" t="s">
        <v>17</v>
      </c>
      <c r="U46" s="706">
        <f t="shared" si="13"/>
        <v>100</v>
      </c>
      <c r="V46" s="705" t="s">
        <v>17</v>
      </c>
      <c r="W46" s="706">
        <f t="shared" si="14"/>
        <v>100</v>
      </c>
      <c r="X46" s="1354"/>
      <c r="Y46" s="3692"/>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7"/>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131855.63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4"/>
      <c r="Y4" s="3709" t="s">
        <v>1774</v>
      </c>
      <c r="Z4" s="3710"/>
      <c r="AA4" s="3696" t="s">
        <v>1770</v>
      </c>
      <c r="AB4" s="3715" t="s">
        <v>1771</v>
      </c>
      <c r="AC4" s="3696" t="s">
        <v>1772</v>
      </c>
    </row>
    <row r="5" spans="1:29" ht="15">
      <c r="A5" s="358"/>
      <c r="B5" s="359"/>
      <c r="C5" s="3718" t="s">
        <v>1672</v>
      </c>
      <c r="D5" s="3719"/>
      <c r="E5" s="3725" t="s">
        <v>1673</v>
      </c>
      <c r="F5" s="3726"/>
      <c r="G5" s="3718" t="s">
        <v>1674</v>
      </c>
      <c r="H5" s="3719"/>
      <c r="I5" s="3718" t="s">
        <v>1675</v>
      </c>
      <c r="J5" s="3719"/>
      <c r="K5" s="559"/>
      <c r="L5" s="2714"/>
      <c r="M5" s="2715"/>
      <c r="N5" s="2715"/>
      <c r="O5" s="2715"/>
      <c r="P5" s="3705"/>
      <c r="Q5" s="3706"/>
      <c r="R5" s="3711"/>
      <c r="S5" s="3712"/>
      <c r="T5" s="3711"/>
      <c r="U5" s="3712"/>
      <c r="V5" s="3715"/>
      <c r="W5" s="3715"/>
      <c r="X5" s="1354"/>
      <c r="Y5" s="3711"/>
      <c r="Z5" s="3712"/>
      <c r="AA5" s="3697"/>
      <c r="AB5" s="3715"/>
      <c r="AC5" s="3697"/>
    </row>
    <row r="6" spans="1:29" ht="15.75" thickBot="1">
      <c r="A6" s="360"/>
      <c r="B6" s="361"/>
      <c r="C6" s="3716" t="s">
        <v>1676</v>
      </c>
      <c r="D6" s="3717"/>
      <c r="E6" s="3723" t="s">
        <v>1676</v>
      </c>
      <c r="F6" s="3724"/>
      <c r="G6" s="3716" t="s">
        <v>1676</v>
      </c>
      <c r="H6" s="3717"/>
      <c r="I6" s="3716" t="s">
        <v>1676</v>
      </c>
      <c r="J6" s="3717"/>
      <c r="K6" s="559" t="s">
        <v>1677</v>
      </c>
      <c r="L6" s="2714"/>
      <c r="M6" s="2715"/>
      <c r="N6" s="2715"/>
      <c r="O6" s="2715"/>
      <c r="P6" s="3707"/>
      <c r="Q6" s="3708"/>
      <c r="R6" s="3711"/>
      <c r="S6" s="3712"/>
      <c r="T6" s="3713"/>
      <c r="U6" s="3714"/>
      <c r="V6" s="3715"/>
      <c r="W6" s="3715"/>
      <c r="X6" s="1354"/>
      <c r="Y6" s="3713"/>
      <c r="Z6" s="3714"/>
      <c r="AA6" s="3698"/>
      <c r="AB6" s="3715"/>
      <c r="AC6" s="3698"/>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0" t="s">
        <v>1679</v>
      </c>
      <c r="Q7" s="3722"/>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1685</v>
      </c>
      <c r="Q9" s="1342" t="str">
        <f t="shared" ref="Q9:Q15" si="6">B9</f>
        <v>用途</v>
      </c>
      <c r="R9" s="701" t="s">
        <v>14</v>
      </c>
      <c r="S9" s="702">
        <f t="shared" si="0"/>
        <v>100</v>
      </c>
      <c r="T9" s="701" t="s">
        <v>14</v>
      </c>
      <c r="U9" s="702">
        <f t="shared" si="1"/>
        <v>100</v>
      </c>
      <c r="V9" s="701" t="s">
        <v>14</v>
      </c>
      <c r="W9" s="702">
        <f t="shared" si="2"/>
        <v>100</v>
      </c>
      <c r="X9" s="703"/>
      <c r="Y9" s="355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3" t="s">
        <v>1690</v>
      </c>
      <c r="Q15" s="1351" t="str">
        <f t="shared" si="6"/>
        <v>商业繁华度</v>
      </c>
      <c r="R15" s="705" t="s">
        <v>14</v>
      </c>
      <c r="S15" s="706">
        <f t="shared" si="0"/>
        <v>100</v>
      </c>
      <c r="T15" s="705" t="s">
        <v>14</v>
      </c>
      <c r="U15" s="706">
        <f t="shared" si="1"/>
        <v>100</v>
      </c>
      <c r="V15" s="705" t="s">
        <v>14</v>
      </c>
      <c r="W15" s="706">
        <f t="shared" si="2"/>
        <v>100</v>
      </c>
      <c r="X15" s="1354"/>
      <c r="Y15" s="3686"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4"/>
      <c r="Q16" s="1351"/>
      <c r="R16" s="705"/>
      <c r="S16" s="706"/>
      <c r="T16" s="705"/>
      <c r="U16" s="706"/>
      <c r="V16" s="705"/>
      <c r="W16" s="706"/>
      <c r="X16" s="1354"/>
      <c r="Y16" s="3687"/>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4"/>
      <c r="Q18" s="1351"/>
      <c r="R18" s="705"/>
      <c r="S18" s="706"/>
      <c r="T18" s="705"/>
      <c r="U18" s="706"/>
      <c r="V18" s="705"/>
      <c r="W18" s="706"/>
      <c r="X18" s="1354"/>
      <c r="Y18" s="3687"/>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4"/>
      <c r="Q20" s="1351"/>
      <c r="R20" s="705"/>
      <c r="S20" s="706"/>
      <c r="T20" s="705"/>
      <c r="U20" s="706"/>
      <c r="V20" s="705"/>
      <c r="W20" s="706"/>
      <c r="X20" s="1354"/>
      <c r="Y20" s="3687"/>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94"/>
      <c r="Q22" s="1351"/>
      <c r="R22" s="705"/>
      <c r="S22" s="706"/>
      <c r="T22" s="705"/>
      <c r="U22" s="706"/>
      <c r="V22" s="705"/>
      <c r="W22" s="706"/>
      <c r="X22" s="1354"/>
      <c r="Y22" s="3687"/>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4"/>
      <c r="Q23" s="1351" t="str">
        <f>B23</f>
        <v>自然及人文环境</v>
      </c>
      <c r="R23" s="705" t="s">
        <v>14</v>
      </c>
      <c r="S23" s="706">
        <f>F23</f>
        <v>100</v>
      </c>
      <c r="T23" s="705" t="s">
        <v>14</v>
      </c>
      <c r="U23" s="706">
        <f>H23</f>
        <v>100</v>
      </c>
      <c r="V23" s="705" t="s">
        <v>14</v>
      </c>
      <c r="W23" s="706">
        <f>J23</f>
        <v>100</v>
      </c>
      <c r="X23" s="1354"/>
      <c r="Y23" s="368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4"/>
      <c r="Q24" s="1351"/>
      <c r="R24" s="705"/>
      <c r="S24" s="706"/>
      <c r="T24" s="705"/>
      <c r="U24" s="706"/>
      <c r="V24" s="705"/>
      <c r="W24" s="706"/>
      <c r="X24" s="1354"/>
      <c r="Y24" s="3687"/>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4"/>
      <c r="Q25" s="1351" t="str">
        <f t="shared" ref="Q25:Q46" si="11">B25</f>
        <v>临街状况</v>
      </c>
      <c r="R25" s="705" t="s">
        <v>14</v>
      </c>
      <c r="S25" s="706">
        <f>F25</f>
        <v>100</v>
      </c>
      <c r="T25" s="705" t="s">
        <v>14</v>
      </c>
      <c r="U25" s="706">
        <f>H25</f>
        <v>100</v>
      </c>
      <c r="V25" s="705" t="s">
        <v>14</v>
      </c>
      <c r="W25" s="706">
        <f>J25</f>
        <v>100</v>
      </c>
      <c r="X25" s="1354"/>
      <c r="Y25" s="3687"/>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4"/>
      <c r="Q26" s="1351" t="str">
        <f t="shared" si="11"/>
        <v>平面位置/可视性</v>
      </c>
      <c r="R26" s="705" t="s">
        <v>14</v>
      </c>
      <c r="S26" s="706">
        <f>F26</f>
        <v>100</v>
      </c>
      <c r="T26" s="705" t="s">
        <v>14</v>
      </c>
      <c r="U26" s="706">
        <f>H26</f>
        <v>100</v>
      </c>
      <c r="V26" s="705" t="s">
        <v>14</v>
      </c>
      <c r="W26" s="706">
        <f>J26</f>
        <v>100</v>
      </c>
      <c r="X26" s="1354"/>
      <c r="Y26" s="3687"/>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4"/>
      <c r="Q27" s="1342" t="str">
        <f t="shared" si="11"/>
        <v>人流量</v>
      </c>
      <c r="R27" s="701" t="s">
        <v>14</v>
      </c>
      <c r="S27" s="702">
        <f>F27</f>
        <v>100</v>
      </c>
      <c r="T27" s="701" t="s">
        <v>14</v>
      </c>
      <c r="U27" s="702">
        <f>H27</f>
        <v>100</v>
      </c>
      <c r="V27" s="701" t="s">
        <v>14</v>
      </c>
      <c r="W27" s="702">
        <f>J27</f>
        <v>100</v>
      </c>
      <c r="X27" s="703"/>
      <c r="Y27" s="3687"/>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1">
        <f t="shared" si="11"/>
        <v>111</v>
      </c>
      <c r="R29" s="705" t="s">
        <v>14</v>
      </c>
      <c r="S29" s="706">
        <f t="shared" si="12"/>
        <v>100</v>
      </c>
      <c r="T29" s="705" t="s">
        <v>14</v>
      </c>
      <c r="U29" s="706">
        <f t="shared" si="13"/>
        <v>100</v>
      </c>
      <c r="V29" s="705" t="s">
        <v>14</v>
      </c>
      <c r="W29" s="706">
        <f t="shared" si="14"/>
        <v>100</v>
      </c>
      <c r="X29" s="1354"/>
      <c r="Y29" s="368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8" t="s">
        <v>1695</v>
      </c>
      <c r="Q32" s="1351" t="str">
        <f t="shared" si="11"/>
        <v>商业类型</v>
      </c>
      <c r="R32" s="705" t="s">
        <v>14</v>
      </c>
      <c r="S32" s="706">
        <f t="shared" si="12"/>
        <v>100</v>
      </c>
      <c r="T32" s="705" t="s">
        <v>14</v>
      </c>
      <c r="U32" s="706">
        <f t="shared" si="13"/>
        <v>100</v>
      </c>
      <c r="V32" s="705" t="s">
        <v>14</v>
      </c>
      <c r="W32" s="706">
        <f t="shared" si="14"/>
        <v>100</v>
      </c>
      <c r="X32" s="1354"/>
      <c r="Y32" s="3691"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9"/>
      <c r="Q34" s="1351" t="str">
        <f t="shared" si="11"/>
        <v>建筑结构</v>
      </c>
      <c r="R34" s="705" t="s">
        <v>14</v>
      </c>
      <c r="S34" s="706">
        <f t="shared" si="12"/>
        <v>100</v>
      </c>
      <c r="T34" s="705" t="s">
        <v>14</v>
      </c>
      <c r="U34" s="706">
        <f t="shared" si="13"/>
        <v>100</v>
      </c>
      <c r="V34" s="705" t="s">
        <v>14</v>
      </c>
      <c r="W34" s="706">
        <f t="shared" si="14"/>
        <v>100</v>
      </c>
      <c r="X34" s="1354"/>
      <c r="Y34" s="3691"/>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9"/>
      <c r="Q35" s="1351" t="str">
        <f t="shared" si="11"/>
        <v>公共部分装修</v>
      </c>
      <c r="R35" s="705" t="s">
        <v>14</v>
      </c>
      <c r="S35" s="706">
        <f t="shared" si="12"/>
        <v>100</v>
      </c>
      <c r="T35" s="705" t="s">
        <v>14</v>
      </c>
      <c r="U35" s="706">
        <f t="shared" si="13"/>
        <v>100</v>
      </c>
      <c r="V35" s="705" t="s">
        <v>14</v>
      </c>
      <c r="W35" s="706">
        <f t="shared" si="14"/>
        <v>100</v>
      </c>
      <c r="X35" s="1354"/>
      <c r="Y35" s="3691"/>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9"/>
      <c r="Q36" s="1351" t="str">
        <f t="shared" si="11"/>
        <v>成新度</v>
      </c>
      <c r="R36" s="705" t="s">
        <v>14</v>
      </c>
      <c r="S36" s="706" t="e">
        <f t="shared" si="12"/>
        <v>#N/A</v>
      </c>
      <c r="T36" s="705" t="s">
        <v>14</v>
      </c>
      <c r="U36" s="706" t="e">
        <f t="shared" si="13"/>
        <v>#N/A</v>
      </c>
      <c r="V36" s="705" t="s">
        <v>14</v>
      </c>
      <c r="W36" s="706" t="e">
        <f t="shared" si="14"/>
        <v>#N/A</v>
      </c>
      <c r="X36" s="1354"/>
      <c r="Y36" s="3691"/>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9"/>
      <c r="Q37" s="1342"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9" t="s">
        <v>1695</v>
      </c>
      <c r="Q38" s="1351" t="str">
        <f t="shared" si="11"/>
        <v>业态</v>
      </c>
      <c r="R38" s="705" t="s">
        <v>14</v>
      </c>
      <c r="S38" s="706">
        <f t="shared" si="12"/>
        <v>100</v>
      </c>
      <c r="T38" s="705" t="s">
        <v>14</v>
      </c>
      <c r="U38" s="706">
        <f t="shared" si="13"/>
        <v>100</v>
      </c>
      <c r="V38" s="705" t="s">
        <v>14</v>
      </c>
      <c r="W38" s="706">
        <f t="shared" si="14"/>
        <v>100</v>
      </c>
      <c r="X38" s="1354"/>
      <c r="Y38" s="3691"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9"/>
      <c r="Q39" s="1351" t="str">
        <f t="shared" si="11"/>
        <v>层高</v>
      </c>
      <c r="R39" s="705" t="s">
        <v>14</v>
      </c>
      <c r="S39" s="706">
        <f t="shared" si="12"/>
        <v>100</v>
      </c>
      <c r="T39" s="705" t="s">
        <v>14</v>
      </c>
      <c r="U39" s="706">
        <f t="shared" si="13"/>
        <v>100</v>
      </c>
      <c r="V39" s="705" t="s">
        <v>14</v>
      </c>
      <c r="W39" s="706">
        <f t="shared" si="14"/>
        <v>100</v>
      </c>
      <c r="X39" s="1354"/>
      <c r="Y39" s="3691"/>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9"/>
      <c r="Q40" s="1351" t="str">
        <f t="shared" si="11"/>
        <v>单套建筑面积</v>
      </c>
      <c r="R40" s="705" t="s">
        <v>14</v>
      </c>
      <c r="S40" s="706">
        <f t="shared" si="12"/>
        <v>100</v>
      </c>
      <c r="T40" s="705" t="s">
        <v>14</v>
      </c>
      <c r="U40" s="706">
        <f t="shared" si="13"/>
        <v>100</v>
      </c>
      <c r="V40" s="705" t="s">
        <v>14</v>
      </c>
      <c r="W40" s="706">
        <f t="shared" si="14"/>
        <v>100</v>
      </c>
      <c r="X40" s="1354"/>
      <c r="Y40" s="3691"/>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9"/>
      <c r="Q42" s="1351" t="str">
        <f t="shared" si="11"/>
        <v>内部装修</v>
      </c>
      <c r="R42" s="705" t="s">
        <v>14</v>
      </c>
      <c r="S42" s="706">
        <f t="shared" si="12"/>
        <v>100</v>
      </c>
      <c r="T42" s="705" t="s">
        <v>14</v>
      </c>
      <c r="U42" s="706">
        <f t="shared" si="13"/>
        <v>100</v>
      </c>
      <c r="V42" s="705" t="s">
        <v>14</v>
      </c>
      <c r="W42" s="706">
        <f t="shared" si="14"/>
        <v>100</v>
      </c>
      <c r="X42" s="1354"/>
      <c r="Y42" s="3691"/>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9"/>
      <c r="Q43" s="1351" t="str">
        <f t="shared" si="11"/>
        <v>内部装修维护情况</v>
      </c>
      <c r="R43" s="705" t="s">
        <v>14</v>
      </c>
      <c r="S43" s="706">
        <f t="shared" si="12"/>
        <v>100</v>
      </c>
      <c r="T43" s="705" t="s">
        <v>14</v>
      </c>
      <c r="U43" s="706">
        <f t="shared" si="13"/>
        <v>100</v>
      </c>
      <c r="V43" s="705" t="s">
        <v>14</v>
      </c>
      <c r="W43" s="706">
        <f t="shared" si="14"/>
        <v>100</v>
      </c>
      <c r="X43" s="1354"/>
      <c r="Y43" s="369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9"/>
      <c r="Q44" s="1342">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9"/>
      <c r="Q45" s="1351">
        <f t="shared" si="11"/>
        <v>111</v>
      </c>
      <c r="R45" s="705" t="s">
        <v>14</v>
      </c>
      <c r="S45" s="706">
        <f t="shared" si="12"/>
        <v>100</v>
      </c>
      <c r="T45" s="705" t="s">
        <v>14</v>
      </c>
      <c r="U45" s="706">
        <f t="shared" si="13"/>
        <v>100</v>
      </c>
      <c r="V45" s="705" t="s">
        <v>14</v>
      </c>
      <c r="W45" s="706">
        <f t="shared" si="14"/>
        <v>100</v>
      </c>
      <c r="X45" s="1354"/>
      <c r="Y45" s="369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0"/>
      <c r="Q46" s="1351">
        <f t="shared" si="11"/>
        <v>111</v>
      </c>
      <c r="R46" s="705" t="s">
        <v>14</v>
      </c>
      <c r="S46" s="706">
        <f t="shared" si="12"/>
        <v>100</v>
      </c>
      <c r="T46" s="705" t="s">
        <v>14</v>
      </c>
      <c r="U46" s="706">
        <f t="shared" si="13"/>
        <v>100</v>
      </c>
      <c r="V46" s="705" t="s">
        <v>14</v>
      </c>
      <c r="W46" s="706">
        <f t="shared" si="14"/>
        <v>100</v>
      </c>
      <c r="X46" s="1354"/>
      <c r="Y46" s="3692"/>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131855.63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33" t="s">
        <v>1774</v>
      </c>
      <c r="Q4" s="3734"/>
      <c r="R4" s="3737" t="s">
        <v>1770</v>
      </c>
      <c r="S4" s="3738"/>
      <c r="T4" s="3737" t="s">
        <v>1771</v>
      </c>
      <c r="U4" s="3738"/>
      <c r="V4" s="3739" t="s">
        <v>1772</v>
      </c>
      <c r="W4" s="3739"/>
      <c r="X4" s="1957"/>
      <c r="Y4" s="3737" t="s">
        <v>1774</v>
      </c>
      <c r="Z4" s="3738"/>
      <c r="AA4" s="3741" t="s">
        <v>1770</v>
      </c>
      <c r="AB4" s="3741" t="s">
        <v>1771</v>
      </c>
      <c r="AC4" s="3730" t="s">
        <v>1772</v>
      </c>
    </row>
    <row r="5" spans="1:29" ht="15">
      <c r="A5" s="358"/>
      <c r="B5" s="359"/>
      <c r="C5" s="3718" t="s">
        <v>1672</v>
      </c>
      <c r="D5" s="3719"/>
      <c r="E5" s="3725" t="s">
        <v>1673</v>
      </c>
      <c r="F5" s="3726"/>
      <c r="G5" s="3718" t="s">
        <v>1674</v>
      </c>
      <c r="H5" s="3719"/>
      <c r="I5" s="3718" t="s">
        <v>1675</v>
      </c>
      <c r="J5" s="3719"/>
      <c r="K5" s="559"/>
      <c r="L5" s="2714"/>
      <c r="M5" s="2715"/>
      <c r="N5" s="2715"/>
      <c r="O5" s="2715"/>
      <c r="P5" s="3735"/>
      <c r="Q5" s="3706"/>
      <c r="R5" s="3711"/>
      <c r="S5" s="3712"/>
      <c r="T5" s="3711"/>
      <c r="U5" s="3712"/>
      <c r="V5" s="3715"/>
      <c r="W5" s="3715"/>
      <c r="X5" s="1354"/>
      <c r="Y5" s="3711"/>
      <c r="Z5" s="3712"/>
      <c r="AA5" s="3697"/>
      <c r="AB5" s="3697"/>
      <c r="AC5" s="3731"/>
    </row>
    <row r="6" spans="1:29" ht="15.75" thickBot="1">
      <c r="A6" s="360"/>
      <c r="B6" s="361"/>
      <c r="C6" s="3716" t="s">
        <v>1676</v>
      </c>
      <c r="D6" s="3717"/>
      <c r="E6" s="3723" t="s">
        <v>1676</v>
      </c>
      <c r="F6" s="3724"/>
      <c r="G6" s="3716" t="s">
        <v>1676</v>
      </c>
      <c r="H6" s="3717"/>
      <c r="I6" s="3716" t="s">
        <v>1676</v>
      </c>
      <c r="J6" s="3717"/>
      <c r="K6" s="559" t="s">
        <v>1677</v>
      </c>
      <c r="L6" s="2714"/>
      <c r="M6" s="2715"/>
      <c r="N6" s="2715"/>
      <c r="O6" s="2715"/>
      <c r="P6" s="3736"/>
      <c r="Q6" s="3708"/>
      <c r="R6" s="3711"/>
      <c r="S6" s="3712"/>
      <c r="T6" s="3713"/>
      <c r="U6" s="3714"/>
      <c r="V6" s="3715"/>
      <c r="W6" s="3715"/>
      <c r="X6" s="1354"/>
      <c r="Y6" s="3713"/>
      <c r="Z6" s="3714"/>
      <c r="AA6" s="3698"/>
      <c r="AB6" s="3698"/>
      <c r="AC6" s="3732"/>
    </row>
    <row r="7" spans="1:29" s="108" customFormat="1" ht="15.75" thickBot="1">
      <c r="A7" s="362" t="s">
        <v>1678</v>
      </c>
      <c r="B7" s="363"/>
      <c r="C7" s="364">
        <f>'数据-取费表'!B2</f>
        <v>44929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1679</v>
      </c>
      <c r="Q7" s="3722"/>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1682</v>
      </c>
      <c r="Q8" s="3721"/>
      <c r="R8" s="701" t="s">
        <v>14</v>
      </c>
      <c r="S8" s="702">
        <f t="shared" si="0"/>
        <v>100</v>
      </c>
      <c r="T8" s="701" t="s">
        <v>14</v>
      </c>
      <c r="U8" s="702">
        <f t="shared" si="1"/>
        <v>100</v>
      </c>
      <c r="V8" s="701" t="s">
        <v>14</v>
      </c>
      <c r="W8" s="702">
        <f t="shared" si="2"/>
        <v>100</v>
      </c>
      <c r="X8" s="703"/>
      <c r="Y8" s="3720" t="s">
        <v>1682</v>
      </c>
      <c r="Z8" s="3721"/>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1685</v>
      </c>
      <c r="Q9" s="1342" t="str">
        <f t="shared" ref="Q9:Q15" si="6">B9</f>
        <v>用途</v>
      </c>
      <c r="R9" s="701" t="s">
        <v>14</v>
      </c>
      <c r="S9" s="702">
        <f t="shared" si="0"/>
        <v>100</v>
      </c>
      <c r="T9" s="701" t="s">
        <v>14</v>
      </c>
      <c r="U9" s="702">
        <f t="shared" si="1"/>
        <v>100</v>
      </c>
      <c r="V9" s="701" t="s">
        <v>14</v>
      </c>
      <c r="W9" s="702">
        <f t="shared" si="2"/>
        <v>100</v>
      </c>
      <c r="X9" s="703"/>
      <c r="Y9" s="3559" t="s">
        <v>1686</v>
      </c>
      <c r="Z9" s="52" t="str">
        <f t="shared" ref="Z9:Z15" si="7">Q9</f>
        <v>用途</v>
      </c>
      <c r="AA9" s="704">
        <f t="shared" si="3"/>
        <v>1</v>
      </c>
      <c r="AB9" s="704">
        <f t="shared" si="4"/>
        <v>1</v>
      </c>
      <c r="AC9" s="1958">
        <f t="shared" si="5"/>
        <v>1</v>
      </c>
    </row>
    <row r="10" spans="1:29" s="378" customFormat="1" ht="27">
      <c r="A10" s="374"/>
      <c r="B10" s="375" t="s">
        <v>1687</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1690</v>
      </c>
      <c r="Q15" s="1351" t="str">
        <f t="shared" si="6"/>
        <v>办公集聚程度</v>
      </c>
      <c r="R15" s="705" t="s">
        <v>14</v>
      </c>
      <c r="S15" s="706">
        <f t="shared" si="0"/>
        <v>100</v>
      </c>
      <c r="T15" s="705" t="s">
        <v>14</v>
      </c>
      <c r="U15" s="706">
        <f t="shared" si="1"/>
        <v>100</v>
      </c>
      <c r="V15" s="705" t="s">
        <v>14</v>
      </c>
      <c r="W15" s="706">
        <f t="shared" si="2"/>
        <v>100</v>
      </c>
      <c r="X15" s="1354"/>
      <c r="Y15" s="3686"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4"/>
      <c r="Q16" s="1351"/>
      <c r="R16" s="705"/>
      <c r="S16" s="706"/>
      <c r="T16" s="705"/>
      <c r="U16" s="706"/>
      <c r="V16" s="705"/>
      <c r="W16" s="706"/>
      <c r="X16" s="1354"/>
      <c r="Y16" s="3687"/>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4"/>
      <c r="Q18" s="1351"/>
      <c r="R18" s="705"/>
      <c r="S18" s="706"/>
      <c r="T18" s="705"/>
      <c r="U18" s="706"/>
      <c r="V18" s="705"/>
      <c r="W18" s="706"/>
      <c r="X18" s="1354"/>
      <c r="Y18" s="3687"/>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4"/>
      <c r="Q20" s="1351"/>
      <c r="R20" s="705"/>
      <c r="S20" s="706"/>
      <c r="T20" s="705"/>
      <c r="U20" s="706"/>
      <c r="V20" s="705"/>
      <c r="W20" s="706"/>
      <c r="X20" s="1354"/>
      <c r="Y20" s="3687"/>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94"/>
      <c r="Q22" s="1351"/>
      <c r="R22" s="705"/>
      <c r="S22" s="706"/>
      <c r="T22" s="705"/>
      <c r="U22" s="706"/>
      <c r="V22" s="705"/>
      <c r="W22" s="706"/>
      <c r="X22" s="1354"/>
      <c r="Y22" s="3687"/>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4"/>
      <c r="Q24" s="1351"/>
      <c r="R24" s="705"/>
      <c r="S24" s="706"/>
      <c r="T24" s="705"/>
      <c r="U24" s="706"/>
      <c r="V24" s="705"/>
      <c r="W24" s="706"/>
      <c r="X24" s="1354"/>
      <c r="Y24" s="3687"/>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4"/>
      <c r="Q25" s="1351" t="str">
        <f>B25</f>
        <v>毗邻道路的类型与等级</v>
      </c>
      <c r="R25" s="705" t="s">
        <v>14</v>
      </c>
      <c r="S25" s="706">
        <f>F25</f>
        <v>100</v>
      </c>
      <c r="T25" s="705" t="s">
        <v>14</v>
      </c>
      <c r="U25" s="706">
        <f>H25</f>
        <v>100</v>
      </c>
      <c r="V25" s="705" t="s">
        <v>14</v>
      </c>
      <c r="W25" s="706">
        <f>J25</f>
        <v>100</v>
      </c>
      <c r="X25" s="1354"/>
      <c r="Y25" s="368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4"/>
      <c r="Q26" s="1351"/>
      <c r="R26" s="705"/>
      <c r="S26" s="706"/>
      <c r="T26" s="705"/>
      <c r="U26" s="706"/>
      <c r="V26" s="705"/>
      <c r="W26" s="706"/>
      <c r="X26" s="1354"/>
      <c r="Y26" s="3687"/>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4"/>
      <c r="Q27" s="1351" t="str">
        <f t="shared" ref="Q27:Q47" si="11">B27</f>
        <v>楼层</v>
      </c>
      <c r="R27" s="705" t="s">
        <v>14</v>
      </c>
      <c r="S27" s="706">
        <f>F27</f>
        <v>100</v>
      </c>
      <c r="T27" s="705" t="s">
        <v>14</v>
      </c>
      <c r="U27" s="706">
        <f>H27</f>
        <v>100</v>
      </c>
      <c r="V27" s="705" t="s">
        <v>14</v>
      </c>
      <c r="W27" s="706">
        <f>J27</f>
        <v>100</v>
      </c>
      <c r="X27" s="1354"/>
      <c r="Y27" s="3687"/>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4"/>
      <c r="Q28" s="1342" t="str">
        <f t="shared" si="11"/>
        <v>朝向</v>
      </c>
      <c r="R28" s="701" t="s">
        <v>14</v>
      </c>
      <c r="S28" s="702">
        <f>F28</f>
        <v>100</v>
      </c>
      <c r="T28" s="701" t="s">
        <v>14</v>
      </c>
      <c r="U28" s="702">
        <f>H28</f>
        <v>100</v>
      </c>
      <c r="V28" s="701" t="s">
        <v>14</v>
      </c>
      <c r="W28" s="702">
        <f>J28</f>
        <v>100</v>
      </c>
      <c r="X28" s="703"/>
      <c r="Y28" s="368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8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4"/>
      <c r="Q32" s="1351">
        <f t="shared" si="11"/>
        <v>111</v>
      </c>
      <c r="R32" s="705" t="s">
        <v>14</v>
      </c>
      <c r="S32" s="706">
        <f t="shared" si="12"/>
        <v>100</v>
      </c>
      <c r="T32" s="705" t="s">
        <v>14</v>
      </c>
      <c r="U32" s="706">
        <f t="shared" si="13"/>
        <v>100</v>
      </c>
      <c r="V32" s="705" t="s">
        <v>14</v>
      </c>
      <c r="W32" s="706">
        <f t="shared" si="14"/>
        <v>100</v>
      </c>
      <c r="X32" s="1354"/>
      <c r="Y32" s="3687"/>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8" t="s">
        <v>1695</v>
      </c>
      <c r="Q33" s="1351" t="str">
        <f t="shared" si="11"/>
        <v>建筑类型</v>
      </c>
      <c r="R33" s="705" t="s">
        <v>14</v>
      </c>
      <c r="S33" s="706">
        <f t="shared" si="12"/>
        <v>100</v>
      </c>
      <c r="T33" s="705" t="s">
        <v>14</v>
      </c>
      <c r="U33" s="706">
        <f t="shared" si="13"/>
        <v>100</v>
      </c>
      <c r="V33" s="705" t="s">
        <v>14</v>
      </c>
      <c r="W33" s="706">
        <f t="shared" si="14"/>
        <v>100</v>
      </c>
      <c r="X33" s="1354"/>
      <c r="Y33" s="3691"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9"/>
      <c r="Q35" s="1351" t="str">
        <f t="shared" si="11"/>
        <v>建筑结构</v>
      </c>
      <c r="R35" s="705" t="s">
        <v>14</v>
      </c>
      <c r="S35" s="706">
        <f t="shared" si="12"/>
        <v>100</v>
      </c>
      <c r="T35" s="705" t="s">
        <v>14</v>
      </c>
      <c r="U35" s="706">
        <f t="shared" si="13"/>
        <v>100</v>
      </c>
      <c r="V35" s="705" t="s">
        <v>14</v>
      </c>
      <c r="W35" s="706">
        <f t="shared" si="14"/>
        <v>100</v>
      </c>
      <c r="X35" s="1354"/>
      <c r="Y35" s="3691"/>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9"/>
      <c r="Q36" s="1351" t="str">
        <f t="shared" si="11"/>
        <v>公共部分装修</v>
      </c>
      <c r="R36" s="705" t="s">
        <v>14</v>
      </c>
      <c r="S36" s="706">
        <f t="shared" si="12"/>
        <v>100</v>
      </c>
      <c r="T36" s="705" t="s">
        <v>14</v>
      </c>
      <c r="U36" s="706">
        <f t="shared" si="13"/>
        <v>100</v>
      </c>
      <c r="V36" s="705" t="s">
        <v>14</v>
      </c>
      <c r="W36" s="706">
        <f t="shared" si="14"/>
        <v>100</v>
      </c>
      <c r="X36" s="1354"/>
      <c r="Y36" s="3691"/>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9"/>
      <c r="Q37" s="1351" t="str">
        <f t="shared" si="11"/>
        <v>成新度</v>
      </c>
      <c r="R37" s="705" t="s">
        <v>14</v>
      </c>
      <c r="S37" s="706" t="e">
        <f t="shared" si="12"/>
        <v>#N/A</v>
      </c>
      <c r="T37" s="705" t="s">
        <v>14</v>
      </c>
      <c r="U37" s="706" t="e">
        <f t="shared" si="13"/>
        <v>#N/A</v>
      </c>
      <c r="V37" s="705" t="s">
        <v>14</v>
      </c>
      <c r="W37" s="706" t="e">
        <f t="shared" si="14"/>
        <v>#N/A</v>
      </c>
      <c r="X37" s="1354"/>
      <c r="Y37" s="3691"/>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9"/>
      <c r="Q38" s="1342"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9" t="s">
        <v>1695</v>
      </c>
      <c r="Q39" s="1351" t="str">
        <f t="shared" si="11"/>
        <v>物业管理</v>
      </c>
      <c r="R39" s="705" t="s">
        <v>14</v>
      </c>
      <c r="S39" s="706">
        <f t="shared" si="12"/>
        <v>100</v>
      </c>
      <c r="T39" s="705" t="s">
        <v>14</v>
      </c>
      <c r="U39" s="706">
        <f t="shared" si="13"/>
        <v>100</v>
      </c>
      <c r="V39" s="705" t="s">
        <v>14</v>
      </c>
      <c r="W39" s="706">
        <f t="shared" si="14"/>
        <v>100</v>
      </c>
      <c r="X39" s="1354"/>
      <c r="Y39" s="3691"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9"/>
      <c r="Q40" s="1351" t="str">
        <f t="shared" si="11"/>
        <v>市政基础设施</v>
      </c>
      <c r="R40" s="705" t="s">
        <v>14</v>
      </c>
      <c r="S40" s="706">
        <f t="shared" si="12"/>
        <v>100</v>
      </c>
      <c r="T40" s="705" t="s">
        <v>14</v>
      </c>
      <c r="U40" s="706">
        <f t="shared" si="13"/>
        <v>100</v>
      </c>
      <c r="V40" s="705" t="s">
        <v>14</v>
      </c>
      <c r="W40" s="706">
        <f t="shared" si="14"/>
        <v>100</v>
      </c>
      <c r="X40" s="1354"/>
      <c r="Y40" s="3691"/>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9"/>
      <c r="Q41" s="1351" t="str">
        <f t="shared" si="11"/>
        <v>层高</v>
      </c>
      <c r="R41" s="705" t="s">
        <v>14</v>
      </c>
      <c r="S41" s="706">
        <f t="shared" si="12"/>
        <v>100</v>
      </c>
      <c r="T41" s="705" t="s">
        <v>14</v>
      </c>
      <c r="U41" s="706">
        <f t="shared" si="13"/>
        <v>100</v>
      </c>
      <c r="V41" s="705" t="s">
        <v>14</v>
      </c>
      <c r="W41" s="706">
        <f t="shared" si="14"/>
        <v>100</v>
      </c>
      <c r="X41" s="1354"/>
      <c r="Y41" s="3691"/>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9"/>
      <c r="Q43" s="1351" t="str">
        <f t="shared" si="11"/>
        <v>内部装修</v>
      </c>
      <c r="R43" s="705" t="s">
        <v>14</v>
      </c>
      <c r="S43" s="706">
        <f t="shared" si="12"/>
        <v>100</v>
      </c>
      <c r="T43" s="705" t="s">
        <v>14</v>
      </c>
      <c r="U43" s="706">
        <f t="shared" si="13"/>
        <v>100</v>
      </c>
      <c r="V43" s="705" t="s">
        <v>14</v>
      </c>
      <c r="W43" s="706">
        <f t="shared" si="14"/>
        <v>100</v>
      </c>
      <c r="X43" s="1354"/>
      <c r="Y43" s="3691"/>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9"/>
      <c r="Q44" s="1351" t="str">
        <f t="shared" si="11"/>
        <v>内部装修维护情况</v>
      </c>
      <c r="R44" s="705" t="s">
        <v>14</v>
      </c>
      <c r="S44" s="706">
        <f t="shared" si="12"/>
        <v>100</v>
      </c>
      <c r="T44" s="705" t="s">
        <v>14</v>
      </c>
      <c r="U44" s="706">
        <f t="shared" si="13"/>
        <v>100</v>
      </c>
      <c r="V44" s="705" t="s">
        <v>14</v>
      </c>
      <c r="W44" s="706">
        <f t="shared" si="14"/>
        <v>100</v>
      </c>
      <c r="X44" s="1354"/>
      <c r="Y44" s="369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9"/>
      <c r="Q45" s="1342">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9"/>
      <c r="Q46" s="1351">
        <f t="shared" si="11"/>
        <v>111</v>
      </c>
      <c r="R46" s="705" t="s">
        <v>14</v>
      </c>
      <c r="S46" s="706">
        <f t="shared" si="12"/>
        <v>100</v>
      </c>
      <c r="T46" s="705" t="s">
        <v>14</v>
      </c>
      <c r="U46" s="706">
        <f t="shared" si="13"/>
        <v>100</v>
      </c>
      <c r="V46" s="705" t="s">
        <v>14</v>
      </c>
      <c r="W46" s="706">
        <f t="shared" si="14"/>
        <v>100</v>
      </c>
      <c r="X46" s="1354"/>
      <c r="Y46" s="369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0"/>
      <c r="Q47" s="1351">
        <f t="shared" si="11"/>
        <v>111</v>
      </c>
      <c r="R47" s="705" t="s">
        <v>14</v>
      </c>
      <c r="S47" s="706">
        <f t="shared" si="12"/>
        <v>100</v>
      </c>
      <c r="T47" s="705" t="s">
        <v>14</v>
      </c>
      <c r="U47" s="706">
        <f t="shared" si="13"/>
        <v>100</v>
      </c>
      <c r="V47" s="705" t="s">
        <v>14</v>
      </c>
      <c r="W47" s="706">
        <f t="shared" si="14"/>
        <v>100</v>
      </c>
      <c r="X47" s="1354"/>
      <c r="Y47" s="3692"/>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估价对象为北京市房地产，为所有。根据《国有土地使用证》[]，估价对象（分摊）出让国有建设用地使用权面积为41486.36平方米，建筑面积为131855.63平方米。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估价对象为北京市房地产,属开发建设的，该项目尚在开发建设中。根据《国有土地使用证》[]，估价对象（分摊）出让国有建设用地使用权面积为41486.36平方米，规划建筑面积为131855.63平方米。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131855.63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913"/>
      <c r="M4" s="914"/>
      <c r="N4" s="914"/>
      <c r="O4" s="914"/>
      <c r="P4" s="3703" t="s">
        <v>1774</v>
      </c>
      <c r="Q4" s="3704"/>
      <c r="R4" s="3709" t="s">
        <v>1770</v>
      </c>
      <c r="S4" s="3710"/>
      <c r="T4" s="3709" t="s">
        <v>1771</v>
      </c>
      <c r="U4" s="3710"/>
      <c r="V4" s="3715" t="s">
        <v>1772</v>
      </c>
      <c r="W4" s="3715"/>
      <c r="X4" s="1354"/>
      <c r="Y4" s="3709" t="s">
        <v>1774</v>
      </c>
      <c r="Z4" s="3710"/>
      <c r="AA4" s="3696" t="s">
        <v>1770</v>
      </c>
      <c r="AB4" s="3697" t="s">
        <v>1771</v>
      </c>
      <c r="AC4" s="3696" t="s">
        <v>1772</v>
      </c>
    </row>
    <row r="5" spans="1:29" ht="15">
      <c r="A5" s="358"/>
      <c r="B5" s="359"/>
      <c r="C5" s="3718" t="s">
        <v>1672</v>
      </c>
      <c r="D5" s="3719"/>
      <c r="E5" s="3725" t="s">
        <v>1673</v>
      </c>
      <c r="F5" s="3726"/>
      <c r="G5" s="3718" t="s">
        <v>1674</v>
      </c>
      <c r="H5" s="3719"/>
      <c r="I5" s="3718" t="s">
        <v>1675</v>
      </c>
      <c r="J5" s="3719"/>
      <c r="K5" s="559"/>
      <c r="L5" s="913"/>
      <c r="M5" s="914"/>
      <c r="N5" s="914"/>
      <c r="O5" s="914"/>
      <c r="P5" s="3705"/>
      <c r="Q5" s="3706"/>
      <c r="R5" s="3711"/>
      <c r="S5" s="3712"/>
      <c r="T5" s="3711"/>
      <c r="U5" s="3712"/>
      <c r="V5" s="3715"/>
      <c r="W5" s="3715"/>
      <c r="X5" s="1354"/>
      <c r="Y5" s="3711"/>
      <c r="Z5" s="3712"/>
      <c r="AA5" s="3697"/>
      <c r="AB5" s="3697"/>
      <c r="AC5" s="3697"/>
    </row>
    <row r="6" spans="1:29" ht="15.75" thickBot="1">
      <c r="A6" s="360"/>
      <c r="B6" s="361"/>
      <c r="C6" s="3716" t="s">
        <v>1676</v>
      </c>
      <c r="D6" s="3717"/>
      <c r="E6" s="3723" t="s">
        <v>1676</v>
      </c>
      <c r="F6" s="3724"/>
      <c r="G6" s="3716" t="s">
        <v>1676</v>
      </c>
      <c r="H6" s="3717"/>
      <c r="I6" s="3716" t="s">
        <v>1676</v>
      </c>
      <c r="J6" s="3717"/>
      <c r="K6" s="559" t="s">
        <v>1677</v>
      </c>
      <c r="L6" s="913"/>
      <c r="M6" s="914"/>
      <c r="N6" s="914"/>
      <c r="O6" s="914"/>
      <c r="P6" s="3707"/>
      <c r="Q6" s="3708"/>
      <c r="R6" s="3711"/>
      <c r="S6" s="3712"/>
      <c r="T6" s="3713"/>
      <c r="U6" s="3714"/>
      <c r="V6" s="3715"/>
      <c r="W6" s="3715"/>
      <c r="X6" s="1354"/>
      <c r="Y6" s="3713"/>
      <c r="Z6" s="3714"/>
      <c r="AA6" s="3698"/>
      <c r="AB6" s="3698"/>
      <c r="AC6" s="3698"/>
    </row>
    <row r="7" spans="1:29" s="108" customFormat="1" ht="15.75" thickBot="1">
      <c r="A7" s="362" t="s">
        <v>1678</v>
      </c>
      <c r="B7" s="363"/>
      <c r="C7" s="364">
        <f>'数据-取费表'!B2</f>
        <v>44929</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1679</v>
      </c>
      <c r="Q7" s="3722"/>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1682</v>
      </c>
      <c r="Q8" s="3721"/>
      <c r="R8" s="701" t="s">
        <v>14</v>
      </c>
      <c r="S8" s="702">
        <f t="shared" si="0"/>
        <v>100</v>
      </c>
      <c r="T8" s="701" t="s">
        <v>14</v>
      </c>
      <c r="U8" s="702">
        <f t="shared" si="1"/>
        <v>100</v>
      </c>
      <c r="V8" s="701" t="s">
        <v>14</v>
      </c>
      <c r="W8" s="702">
        <f t="shared" si="2"/>
        <v>100</v>
      </c>
      <c r="X8" s="703"/>
      <c r="Y8" s="3720" t="s">
        <v>1682</v>
      </c>
      <c r="Z8" s="372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1685</v>
      </c>
      <c r="Q9" s="1342" t="str">
        <f t="shared" ref="Q9:Q15" si="6">B9</f>
        <v>用途</v>
      </c>
      <c r="R9" s="701" t="s">
        <v>14</v>
      </c>
      <c r="S9" s="702">
        <f t="shared" si="0"/>
        <v>100</v>
      </c>
      <c r="T9" s="701" t="s">
        <v>14</v>
      </c>
      <c r="U9" s="702">
        <f t="shared" si="1"/>
        <v>100</v>
      </c>
      <c r="V9" s="701" t="s">
        <v>14</v>
      </c>
      <c r="W9" s="702">
        <f t="shared" si="2"/>
        <v>100</v>
      </c>
      <c r="X9" s="703"/>
      <c r="Y9" s="355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1690</v>
      </c>
      <c r="Q15" s="1351" t="str">
        <f t="shared" si="6"/>
        <v>产业集聚程度</v>
      </c>
      <c r="R15" s="705" t="s">
        <v>14</v>
      </c>
      <c r="S15" s="706">
        <f t="shared" si="0"/>
        <v>100</v>
      </c>
      <c r="T15" s="705" t="s">
        <v>14</v>
      </c>
      <c r="U15" s="706">
        <f t="shared" si="1"/>
        <v>100</v>
      </c>
      <c r="V15" s="705" t="s">
        <v>14</v>
      </c>
      <c r="W15" s="706">
        <f t="shared" si="2"/>
        <v>100</v>
      </c>
      <c r="X15" s="1354"/>
      <c r="Y15" s="3686"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7"/>
      <c r="Q16" s="1351"/>
      <c r="R16" s="705"/>
      <c r="S16" s="706"/>
      <c r="T16" s="705"/>
      <c r="U16" s="706"/>
      <c r="V16" s="705"/>
      <c r="W16" s="706"/>
      <c r="X16" s="1354"/>
      <c r="Y16" s="3687"/>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7"/>
      <c r="Q18" s="1351"/>
      <c r="R18" s="705"/>
      <c r="S18" s="706"/>
      <c r="T18" s="705"/>
      <c r="U18" s="706"/>
      <c r="V18" s="705"/>
      <c r="W18" s="706"/>
      <c r="X18" s="1354"/>
      <c r="Y18" s="3687"/>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7"/>
      <c r="Q20" s="1351"/>
      <c r="R20" s="705"/>
      <c r="S20" s="706"/>
      <c r="T20" s="705"/>
      <c r="U20" s="706"/>
      <c r="V20" s="705"/>
      <c r="W20" s="706"/>
      <c r="X20" s="1354"/>
      <c r="Y20" s="3687"/>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7"/>
      <c r="Q22" s="1351"/>
      <c r="R22" s="705"/>
      <c r="S22" s="706"/>
      <c r="T22" s="705"/>
      <c r="U22" s="706"/>
      <c r="V22" s="705"/>
      <c r="W22" s="706"/>
      <c r="X22" s="1354"/>
      <c r="Y22" s="3687"/>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7"/>
      <c r="Q24" s="1351"/>
      <c r="R24" s="705"/>
      <c r="S24" s="706"/>
      <c r="T24" s="705"/>
      <c r="U24" s="706"/>
      <c r="V24" s="705"/>
      <c r="W24" s="706"/>
      <c r="X24" s="1354"/>
      <c r="Y24" s="368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1">
        <f>B25</f>
        <v>111</v>
      </c>
      <c r="R25" s="705" t="s">
        <v>14</v>
      </c>
      <c r="S25" s="706">
        <f>F25</f>
        <v>100</v>
      </c>
      <c r="T25" s="705" t="s">
        <v>14</v>
      </c>
      <c r="U25" s="706">
        <f>H25</f>
        <v>100</v>
      </c>
      <c r="V25" s="705" t="s">
        <v>14</v>
      </c>
      <c r="W25" s="706">
        <f>J25</f>
        <v>100</v>
      </c>
      <c r="X25" s="1354"/>
      <c r="Y25" s="368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1">
        <f t="shared" ref="Q26:Q40" si="11">B26</f>
        <v>111</v>
      </c>
      <c r="R26" s="705" t="s">
        <v>14</v>
      </c>
      <c r="S26" s="706">
        <f>F26</f>
        <v>100</v>
      </c>
      <c r="T26" s="705" t="s">
        <v>14</v>
      </c>
      <c r="U26" s="706">
        <f>H26</f>
        <v>100</v>
      </c>
      <c r="V26" s="705" t="s">
        <v>14</v>
      </c>
      <c r="W26" s="706">
        <f>J26</f>
        <v>100</v>
      </c>
      <c r="X26" s="1354"/>
      <c r="Y26" s="368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2">
        <f t="shared" si="11"/>
        <v>111</v>
      </c>
      <c r="R27" s="701" t="s">
        <v>14</v>
      </c>
      <c r="S27" s="702">
        <f>F27</f>
        <v>100</v>
      </c>
      <c r="T27" s="701" t="s">
        <v>14</v>
      </c>
      <c r="U27" s="702">
        <f>H27</f>
        <v>100</v>
      </c>
      <c r="V27" s="701" t="s">
        <v>14</v>
      </c>
      <c r="W27" s="702">
        <f>J27</f>
        <v>100</v>
      </c>
      <c r="X27" s="703"/>
      <c r="Y27" s="368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1">
        <f t="shared" si="11"/>
        <v>111</v>
      </c>
      <c r="R28" s="705" t="s">
        <v>14</v>
      </c>
      <c r="S28" s="706">
        <f t="shared" ref="S28:S40" si="12">F28</f>
        <v>100</v>
      </c>
      <c r="T28" s="705" t="s">
        <v>14</v>
      </c>
      <c r="U28" s="706">
        <f t="shared" ref="U28:U40" si="13">H28</f>
        <v>100</v>
      </c>
      <c r="V28" s="705" t="s">
        <v>14</v>
      </c>
      <c r="W28" s="706">
        <f t="shared" ref="W28:W40" si="14">J28</f>
        <v>100</v>
      </c>
      <c r="X28" s="1354"/>
      <c r="Y28" s="3687"/>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1695</v>
      </c>
      <c r="Q29" s="1351" t="str">
        <f t="shared" si="11"/>
        <v>建筑类型</v>
      </c>
      <c r="R29" s="705" t="s">
        <v>14</v>
      </c>
      <c r="S29" s="706">
        <f t="shared" si="12"/>
        <v>100</v>
      </c>
      <c r="T29" s="705" t="s">
        <v>14</v>
      </c>
      <c r="U29" s="706">
        <f t="shared" si="13"/>
        <v>100</v>
      </c>
      <c r="V29" s="705" t="s">
        <v>14</v>
      </c>
      <c r="W29" s="706">
        <f t="shared" si="14"/>
        <v>100</v>
      </c>
      <c r="X29" s="1354"/>
      <c r="Y29" s="3691"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1" t="str">
        <f t="shared" si="11"/>
        <v>建筑结构</v>
      </c>
      <c r="R31" s="705" t="s">
        <v>14</v>
      </c>
      <c r="S31" s="706">
        <f t="shared" si="12"/>
        <v>100</v>
      </c>
      <c r="T31" s="705" t="s">
        <v>14</v>
      </c>
      <c r="U31" s="706">
        <f t="shared" si="13"/>
        <v>100</v>
      </c>
      <c r="V31" s="705" t="s">
        <v>14</v>
      </c>
      <c r="W31" s="706">
        <f t="shared" si="14"/>
        <v>100</v>
      </c>
      <c r="X31" s="1354"/>
      <c r="Y31" s="3691"/>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1" t="str">
        <f t="shared" si="11"/>
        <v>公共部分装修</v>
      </c>
      <c r="R32" s="705" t="s">
        <v>14</v>
      </c>
      <c r="S32" s="706">
        <f t="shared" si="12"/>
        <v>100</v>
      </c>
      <c r="T32" s="705" t="s">
        <v>14</v>
      </c>
      <c r="U32" s="706">
        <f t="shared" si="13"/>
        <v>100</v>
      </c>
      <c r="V32" s="705" t="s">
        <v>14</v>
      </c>
      <c r="W32" s="706">
        <f t="shared" si="14"/>
        <v>100</v>
      </c>
      <c r="X32" s="1354"/>
      <c r="Y32" s="3691"/>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1" t="str">
        <f t="shared" si="11"/>
        <v>成新度</v>
      </c>
      <c r="R33" s="705" t="s">
        <v>14</v>
      </c>
      <c r="S33" s="706" t="e">
        <f t="shared" si="12"/>
        <v>#N/A</v>
      </c>
      <c r="T33" s="705" t="s">
        <v>14</v>
      </c>
      <c r="U33" s="706" t="e">
        <f t="shared" si="13"/>
        <v>#N/A</v>
      </c>
      <c r="V33" s="705" t="s">
        <v>14</v>
      </c>
      <c r="W33" s="706" t="e">
        <f t="shared" si="14"/>
        <v>#N/A</v>
      </c>
      <c r="X33" s="1354"/>
      <c r="Y33" s="3691"/>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2"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1695</v>
      </c>
      <c r="Q35" s="1351" t="str">
        <f t="shared" si="11"/>
        <v>市政基础设施</v>
      </c>
      <c r="R35" s="705" t="s">
        <v>14</v>
      </c>
      <c r="S35" s="706">
        <f t="shared" si="12"/>
        <v>100</v>
      </c>
      <c r="T35" s="705" t="s">
        <v>14</v>
      </c>
      <c r="U35" s="706">
        <f t="shared" si="13"/>
        <v>100</v>
      </c>
      <c r="V35" s="705" t="s">
        <v>14</v>
      </c>
      <c r="W35" s="706">
        <f t="shared" si="14"/>
        <v>100</v>
      </c>
      <c r="X35" s="1354"/>
      <c r="Y35" s="3691"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1" t="str">
        <f t="shared" si="11"/>
        <v>内部装修</v>
      </c>
      <c r="R36" s="705" t="s">
        <v>14</v>
      </c>
      <c r="S36" s="706">
        <f t="shared" si="12"/>
        <v>100</v>
      </c>
      <c r="T36" s="705" t="s">
        <v>14</v>
      </c>
      <c r="U36" s="706">
        <f t="shared" si="13"/>
        <v>100</v>
      </c>
      <c r="V36" s="705" t="s">
        <v>14</v>
      </c>
      <c r="W36" s="706">
        <f t="shared" si="14"/>
        <v>100</v>
      </c>
      <c r="X36" s="1354"/>
      <c r="Y36" s="3691"/>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1" t="str">
        <f t="shared" si="11"/>
        <v>内部装修状况</v>
      </c>
      <c r="R37" s="705" t="s">
        <v>14</v>
      </c>
      <c r="S37" s="706">
        <f t="shared" si="12"/>
        <v>100</v>
      </c>
      <c r="T37" s="705" t="s">
        <v>14</v>
      </c>
      <c r="U37" s="706">
        <f t="shared" si="13"/>
        <v>100</v>
      </c>
      <c r="V37" s="705" t="s">
        <v>14</v>
      </c>
      <c r="W37" s="706">
        <f t="shared" si="14"/>
        <v>100</v>
      </c>
      <c r="X37" s="1354"/>
      <c r="Y37" s="369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1">
        <f t="shared" si="11"/>
        <v>111</v>
      </c>
      <c r="R39" s="705" t="s">
        <v>14</v>
      </c>
      <c r="S39" s="706">
        <f t="shared" si="12"/>
        <v>100</v>
      </c>
      <c r="T39" s="705" t="s">
        <v>14</v>
      </c>
      <c r="U39" s="706">
        <f t="shared" si="13"/>
        <v>100</v>
      </c>
      <c r="V39" s="705" t="s">
        <v>14</v>
      </c>
      <c r="W39" s="706">
        <f t="shared" si="14"/>
        <v>100</v>
      </c>
      <c r="X39" s="1354"/>
      <c r="Y39" s="369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1">
        <f t="shared" si="11"/>
        <v>111</v>
      </c>
      <c r="R40" s="705" t="s">
        <v>14</v>
      </c>
      <c r="S40" s="706">
        <f t="shared" si="12"/>
        <v>100</v>
      </c>
      <c r="T40" s="705" t="s">
        <v>14</v>
      </c>
      <c r="U40" s="706">
        <f t="shared" si="13"/>
        <v>100</v>
      </c>
      <c r="V40" s="705" t="s">
        <v>14</v>
      </c>
      <c r="W40" s="706">
        <f t="shared" si="14"/>
        <v>100</v>
      </c>
      <c r="X40" s="1354"/>
      <c r="Y40" s="3692"/>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3340</v>
      </c>
      <c r="C1" s="1223" t="s">
        <v>1661</v>
      </c>
      <c r="D1" s="1224"/>
      <c r="E1" s="3434"/>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4"/>
      <c r="Y4" s="3709" t="s">
        <v>1774</v>
      </c>
      <c r="Z4" s="3710"/>
      <c r="AA4" s="3696" t="s">
        <v>1770</v>
      </c>
      <c r="AB4" s="3697" t="s">
        <v>1771</v>
      </c>
      <c r="AC4" s="3696" t="s">
        <v>1772</v>
      </c>
    </row>
    <row r="5" spans="1:29" ht="15">
      <c r="A5" s="358"/>
      <c r="B5" s="359"/>
      <c r="C5" s="3718" t="s">
        <v>1672</v>
      </c>
      <c r="D5" s="3719"/>
      <c r="E5" s="3725" t="s">
        <v>1673</v>
      </c>
      <c r="F5" s="3726"/>
      <c r="G5" s="3718" t="s">
        <v>1674</v>
      </c>
      <c r="H5" s="3719"/>
      <c r="I5" s="3718" t="s">
        <v>1675</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1676</v>
      </c>
      <c r="D6" s="3717"/>
      <c r="E6" s="3723" t="s">
        <v>1676</v>
      </c>
      <c r="F6" s="3724"/>
      <c r="G6" s="3716" t="s">
        <v>1676</v>
      </c>
      <c r="H6" s="3717"/>
      <c r="I6" s="3716" t="s">
        <v>1676</v>
      </c>
      <c r="J6" s="3717"/>
      <c r="K6" s="559" t="s">
        <v>1677</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1678</v>
      </c>
      <c r="B7" s="363"/>
      <c r="C7" s="364">
        <f>'数据-取费表'!B2</f>
        <v>44929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1679</v>
      </c>
      <c r="Q7" s="3722"/>
      <c r="R7" s="701" t="s">
        <v>14</v>
      </c>
      <c r="S7" s="702">
        <f t="shared" ref="S7:S14" si="0">F7</f>
        <v>0</v>
      </c>
      <c r="T7" s="701" t="s">
        <v>14</v>
      </c>
      <c r="U7" s="702">
        <f t="shared" ref="U7:U14" si="1">H7</f>
        <v>0</v>
      </c>
      <c r="V7" s="701" t="s">
        <v>14</v>
      </c>
      <c r="W7" s="702">
        <f t="shared" ref="W7:W14"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4" t="s">
        <v>1685</v>
      </c>
      <c r="Q9" s="1342" t="str">
        <f t="shared" ref="Q9:Q14" si="6">B9</f>
        <v>用途</v>
      </c>
      <c r="R9" s="701" t="s">
        <v>14</v>
      </c>
      <c r="S9" s="702">
        <f t="shared" si="0"/>
        <v>100</v>
      </c>
      <c r="T9" s="701" t="s">
        <v>14</v>
      </c>
      <c r="U9" s="702">
        <f t="shared" si="1"/>
        <v>100</v>
      </c>
      <c r="V9" s="701" t="s">
        <v>14</v>
      </c>
      <c r="W9" s="702">
        <f t="shared" si="2"/>
        <v>100</v>
      </c>
      <c r="X9" s="703"/>
      <c r="Y9" s="3559" t="s">
        <v>1686</v>
      </c>
      <c r="Z9" s="52" t="str">
        <f t="shared" ref="Z9:Z14" si="7">Q9</f>
        <v>用途</v>
      </c>
      <c r="AA9" s="704">
        <f t="shared" si="3"/>
        <v>1</v>
      </c>
      <c r="AB9" s="704">
        <f t="shared" si="4"/>
        <v>1</v>
      </c>
      <c r="AC9" s="704">
        <f t="shared" si="5"/>
        <v>1</v>
      </c>
    </row>
    <row r="10" spans="1:29" s="378" customFormat="1" ht="27">
      <c r="A10" s="589"/>
      <c r="B10" s="590" t="s">
        <v>1687</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6" t="s">
        <v>1690</v>
      </c>
      <c r="Q14" s="1351" t="str">
        <f t="shared" si="6"/>
        <v>交通便捷度</v>
      </c>
      <c r="R14" s="705" t="s">
        <v>14</v>
      </c>
      <c r="S14" s="706">
        <f t="shared" si="0"/>
        <v>100</v>
      </c>
      <c r="T14" s="705" t="s">
        <v>14</v>
      </c>
      <c r="U14" s="706">
        <f t="shared" si="1"/>
        <v>100</v>
      </c>
      <c r="V14" s="705" t="s">
        <v>14</v>
      </c>
      <c r="W14" s="706">
        <f t="shared" si="2"/>
        <v>100</v>
      </c>
      <c r="X14" s="1354"/>
      <c r="Y14" s="3686"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7"/>
      <c r="Q15" s="1351"/>
      <c r="R15" s="705"/>
      <c r="S15" s="706"/>
      <c r="T15" s="705"/>
      <c r="U15" s="706"/>
      <c r="V15" s="705"/>
      <c r="W15" s="706"/>
      <c r="X15" s="1354"/>
      <c r="Y15" s="3687"/>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7"/>
      <c r="Q17" s="1351"/>
      <c r="R17" s="705"/>
      <c r="S17" s="706"/>
      <c r="T17" s="705"/>
      <c r="U17" s="706"/>
      <c r="V17" s="705"/>
      <c r="W17" s="706"/>
      <c r="X17" s="1354"/>
      <c r="Y17" s="3687"/>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87"/>
      <c r="Q19" s="1351"/>
      <c r="R19" s="705"/>
      <c r="S19" s="706"/>
      <c r="T19" s="705"/>
      <c r="U19" s="706"/>
      <c r="V19" s="705"/>
      <c r="W19" s="706"/>
      <c r="X19" s="1354"/>
      <c r="Y19" s="3687"/>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7"/>
      <c r="Q21" s="1351"/>
      <c r="R21" s="705"/>
      <c r="S21" s="706"/>
      <c r="T21" s="705"/>
      <c r="U21" s="706"/>
      <c r="V21" s="705"/>
      <c r="W21" s="706"/>
      <c r="X21" s="1354"/>
      <c r="Y21" s="3687"/>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7"/>
      <c r="Q24" s="1351">
        <f t="shared" ref="Q24:Q36"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1"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1"/>
      <c r="Q28" s="1351" t="str">
        <f t="shared" si="11"/>
        <v>公共部分装修</v>
      </c>
      <c r="R28" s="705" t="s">
        <v>14</v>
      </c>
      <c r="S28" s="706">
        <f t="shared" si="12"/>
        <v>100</v>
      </c>
      <c r="T28" s="705" t="s">
        <v>14</v>
      </c>
      <c r="U28" s="706">
        <f t="shared" si="13"/>
        <v>100</v>
      </c>
      <c r="V28" s="705" t="s">
        <v>14</v>
      </c>
      <c r="W28" s="706">
        <f t="shared" si="14"/>
        <v>100</v>
      </c>
      <c r="X28" s="1354"/>
      <c r="Y28" s="3691"/>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1"/>
      <c r="Q29" s="1351" t="str">
        <f t="shared" si="11"/>
        <v>成新率</v>
      </c>
      <c r="R29" s="705" t="s">
        <v>14</v>
      </c>
      <c r="S29" s="706" t="e">
        <f t="shared" si="12"/>
        <v>#N/A</v>
      </c>
      <c r="T29" s="705" t="s">
        <v>14</v>
      </c>
      <c r="U29" s="706" t="e">
        <f t="shared" si="13"/>
        <v>#N/A</v>
      </c>
      <c r="V29" s="705" t="s">
        <v>14</v>
      </c>
      <c r="W29" s="706" t="e">
        <f t="shared" si="14"/>
        <v>#N/A</v>
      </c>
      <c r="X29" s="1354"/>
      <c r="Y29" s="3691"/>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1"/>
      <c r="Q30" s="1351" t="str">
        <f t="shared" si="11"/>
        <v>物业等级</v>
      </c>
      <c r="R30" s="705" t="s">
        <v>14</v>
      </c>
      <c r="S30" s="706">
        <f t="shared" si="12"/>
        <v>100</v>
      </c>
      <c r="T30" s="705" t="s">
        <v>14</v>
      </c>
      <c r="U30" s="706">
        <f t="shared" si="13"/>
        <v>100</v>
      </c>
      <c r="V30" s="705" t="s">
        <v>14</v>
      </c>
      <c r="W30" s="706">
        <f t="shared" si="14"/>
        <v>100</v>
      </c>
      <c r="X30" s="1354"/>
      <c r="Y30" s="3691"/>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1"/>
      <c r="Q31" s="1342"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1" t="s">
        <v>1695</v>
      </c>
      <c r="Q32" s="1351" t="str">
        <f t="shared" si="11"/>
        <v>车位类型</v>
      </c>
      <c r="R32" s="705" t="s">
        <v>14</v>
      </c>
      <c r="S32" s="706">
        <f t="shared" si="12"/>
        <v>100</v>
      </c>
      <c r="T32" s="705" t="s">
        <v>14</v>
      </c>
      <c r="U32" s="706">
        <f t="shared" si="13"/>
        <v>100</v>
      </c>
      <c r="V32" s="705" t="s">
        <v>14</v>
      </c>
      <c r="W32" s="706">
        <f t="shared" si="14"/>
        <v>100</v>
      </c>
      <c r="X32" s="1354"/>
      <c r="Y32" s="3691"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1"/>
      <c r="Q33" s="1351" t="str">
        <f t="shared" si="11"/>
        <v>是否直接入户</v>
      </c>
      <c r="R33" s="705" t="s">
        <v>14</v>
      </c>
      <c r="S33" s="706">
        <f t="shared" si="12"/>
        <v>100</v>
      </c>
      <c r="T33" s="705" t="s">
        <v>14</v>
      </c>
      <c r="U33" s="706">
        <f t="shared" si="13"/>
        <v>100</v>
      </c>
      <c r="V33" s="705" t="s">
        <v>14</v>
      </c>
      <c r="W33" s="706">
        <f t="shared" si="14"/>
        <v>100</v>
      </c>
      <c r="X33" s="1354"/>
      <c r="Y33" s="369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1"/>
      <c r="Q36" s="1351">
        <f t="shared" si="11"/>
        <v>111</v>
      </c>
      <c r="R36" s="705" t="s">
        <v>14</v>
      </c>
      <c r="S36" s="706">
        <f t="shared" si="12"/>
        <v>100</v>
      </c>
      <c r="T36" s="705" t="s">
        <v>14</v>
      </c>
      <c r="U36" s="706">
        <f t="shared" si="13"/>
        <v>100</v>
      </c>
      <c r="V36" s="705" t="s">
        <v>14</v>
      </c>
      <c r="W36" s="706">
        <f t="shared" si="14"/>
        <v>100</v>
      </c>
      <c r="X36" s="1354"/>
      <c r="Y36" s="3691"/>
      <c r="Z36" s="1355">
        <f t="shared" si="15"/>
        <v>111</v>
      </c>
      <c r="AA36" s="1352">
        <f t="shared" si="3"/>
        <v>1</v>
      </c>
      <c r="AB36" s="1352">
        <f t="shared" si="4"/>
        <v>1</v>
      </c>
      <c r="AC36" s="1352">
        <f t="shared" si="5"/>
        <v>1</v>
      </c>
    </row>
    <row r="37" spans="1:29" ht="15">
      <c r="A37" s="430" t="s">
        <v>1843</v>
      </c>
      <c r="B37" s="1972" t="s">
        <v>3361</v>
      </c>
      <c r="C37" s="1154" t="s">
        <v>0</v>
      </c>
      <c r="D37" s="1155"/>
      <c r="E37" s="1156"/>
      <c r="F37" s="1157"/>
      <c r="G37" s="1158"/>
      <c r="H37" s="1159"/>
      <c r="I37" s="1156"/>
      <c r="J37" s="1159"/>
      <c r="K37" s="568"/>
      <c r="L37" s="2723"/>
      <c r="M37" s="2724"/>
      <c r="N37" s="2715"/>
      <c r="O37" s="2724"/>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3341</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4"/>
      <c r="Y4" s="3709" t="s">
        <v>1774</v>
      </c>
      <c r="Z4" s="3710"/>
      <c r="AA4" s="3696" t="s">
        <v>1770</v>
      </c>
      <c r="AB4" s="3697" t="s">
        <v>1771</v>
      </c>
      <c r="AC4" s="3696" t="s">
        <v>1772</v>
      </c>
    </row>
    <row r="5" spans="1:29" ht="15">
      <c r="A5" s="358"/>
      <c r="B5" s="359"/>
      <c r="C5" s="3718" t="s">
        <v>1672</v>
      </c>
      <c r="D5" s="3719"/>
      <c r="E5" s="3725" t="s">
        <v>1673</v>
      </c>
      <c r="F5" s="3726"/>
      <c r="G5" s="3718" t="s">
        <v>1674</v>
      </c>
      <c r="H5" s="3719"/>
      <c r="I5" s="3718" t="s">
        <v>1675</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16" t="s">
        <v>1676</v>
      </c>
      <c r="D6" s="3717"/>
      <c r="E6" s="3723" t="s">
        <v>1676</v>
      </c>
      <c r="F6" s="3724"/>
      <c r="G6" s="3716" t="s">
        <v>1676</v>
      </c>
      <c r="H6" s="3717"/>
      <c r="I6" s="3716" t="s">
        <v>1676</v>
      </c>
      <c r="J6" s="3717"/>
      <c r="K6" s="559" t="s">
        <v>1677</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1678</v>
      </c>
      <c r="B7" s="363"/>
      <c r="C7" s="364">
        <f>'数据-取费表'!B2</f>
        <v>44929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0" t="s">
        <v>1679</v>
      </c>
      <c r="Q7" s="3722"/>
      <c r="R7" s="701" t="s">
        <v>14</v>
      </c>
      <c r="S7" s="702">
        <f t="shared" ref="S7:S14" si="0">F7</f>
        <v>0</v>
      </c>
      <c r="T7" s="701" t="s">
        <v>14</v>
      </c>
      <c r="U7" s="702">
        <f t="shared" ref="U7:U14" si="1">H7</f>
        <v>0</v>
      </c>
      <c r="V7" s="701" t="s">
        <v>14</v>
      </c>
      <c r="W7" s="702">
        <f t="shared" ref="W7:W14"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4" t="s">
        <v>1685</v>
      </c>
      <c r="Q9" s="1342" t="str">
        <f t="shared" ref="Q9:Q14" si="6">B9</f>
        <v>用途</v>
      </c>
      <c r="R9" s="701" t="s">
        <v>14</v>
      </c>
      <c r="S9" s="702">
        <f t="shared" si="0"/>
        <v>100</v>
      </c>
      <c r="T9" s="701" t="s">
        <v>14</v>
      </c>
      <c r="U9" s="702">
        <f t="shared" si="1"/>
        <v>100</v>
      </c>
      <c r="V9" s="701" t="s">
        <v>14</v>
      </c>
      <c r="W9" s="702">
        <f t="shared" si="2"/>
        <v>100</v>
      </c>
      <c r="X9" s="703"/>
      <c r="Y9" s="3559" t="s">
        <v>1686</v>
      </c>
      <c r="Z9" s="52" t="str">
        <f t="shared" ref="Z9:Z14" si="7">Q9</f>
        <v>用途</v>
      </c>
      <c r="AA9" s="704">
        <f t="shared" si="3"/>
        <v>1</v>
      </c>
      <c r="AB9" s="704">
        <f t="shared" si="4"/>
        <v>1</v>
      </c>
      <c r="AC9" s="704">
        <f t="shared" si="5"/>
        <v>1</v>
      </c>
    </row>
    <row r="10" spans="1:29" s="378" customFormat="1" ht="27">
      <c r="A10" s="374"/>
      <c r="B10" s="375" t="s">
        <v>1687</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6" t="s">
        <v>1690</v>
      </c>
      <c r="Q14" s="1351" t="str">
        <f t="shared" si="6"/>
        <v>交通便捷度</v>
      </c>
      <c r="R14" s="705" t="s">
        <v>14</v>
      </c>
      <c r="S14" s="706">
        <f t="shared" si="0"/>
        <v>100</v>
      </c>
      <c r="T14" s="705" t="s">
        <v>14</v>
      </c>
      <c r="U14" s="706">
        <f t="shared" si="1"/>
        <v>100</v>
      </c>
      <c r="V14" s="705" t="s">
        <v>14</v>
      </c>
      <c r="W14" s="706">
        <f t="shared" si="2"/>
        <v>100</v>
      </c>
      <c r="X14" s="1354"/>
      <c r="Y14" s="3686"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7"/>
      <c r="Q15" s="1351"/>
      <c r="R15" s="705"/>
      <c r="S15" s="706"/>
      <c r="T15" s="705"/>
      <c r="U15" s="706"/>
      <c r="V15" s="705"/>
      <c r="W15" s="706"/>
      <c r="X15" s="1354"/>
      <c r="Y15" s="3687"/>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7"/>
      <c r="Q17" s="1351"/>
      <c r="R17" s="705"/>
      <c r="S17" s="706"/>
      <c r="T17" s="705"/>
      <c r="U17" s="706"/>
      <c r="V17" s="705"/>
      <c r="W17" s="706"/>
      <c r="X17" s="1354"/>
      <c r="Y17" s="3687"/>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87"/>
      <c r="Q19" s="1351"/>
      <c r="R19" s="705"/>
      <c r="S19" s="706"/>
      <c r="T19" s="705"/>
      <c r="U19" s="706"/>
      <c r="V19" s="705"/>
      <c r="W19" s="706"/>
      <c r="X19" s="1354"/>
      <c r="Y19" s="3687"/>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7"/>
      <c r="Q21" s="1351"/>
      <c r="R21" s="705"/>
      <c r="S21" s="706"/>
      <c r="T21" s="705"/>
      <c r="U21" s="706"/>
      <c r="V21" s="705"/>
      <c r="W21" s="706"/>
      <c r="X21" s="1354"/>
      <c r="Y21" s="3687"/>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7"/>
      <c r="Q24" s="1351">
        <f t="shared" ref="Q24:Q34"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1"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1"/>
      <c r="Q28" s="1351" t="str">
        <f t="shared" si="11"/>
        <v>物业等级</v>
      </c>
      <c r="R28" s="705" t="s">
        <v>14</v>
      </c>
      <c r="S28" s="706">
        <f t="shared" si="12"/>
        <v>100</v>
      </c>
      <c r="T28" s="705" t="s">
        <v>14</v>
      </c>
      <c r="U28" s="706">
        <f t="shared" si="13"/>
        <v>100</v>
      </c>
      <c r="V28" s="705" t="s">
        <v>14</v>
      </c>
      <c r="W28" s="706">
        <f t="shared" si="14"/>
        <v>100</v>
      </c>
      <c r="X28" s="1354"/>
      <c r="Y28" s="3691"/>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1"/>
      <c r="Q29" s="1351" t="str">
        <f t="shared" si="11"/>
        <v>有无电梯</v>
      </c>
      <c r="R29" s="705" t="s">
        <v>14</v>
      </c>
      <c r="S29" s="706">
        <f t="shared" si="12"/>
        <v>100</v>
      </c>
      <c r="T29" s="705" t="s">
        <v>14</v>
      </c>
      <c r="U29" s="706">
        <f t="shared" si="13"/>
        <v>100</v>
      </c>
      <c r="V29" s="705" t="s">
        <v>14</v>
      </c>
      <c r="W29" s="706">
        <f t="shared" si="14"/>
        <v>100</v>
      </c>
      <c r="X29" s="1354"/>
      <c r="Y29" s="3691"/>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1"/>
      <c r="Q30" s="1351" t="str">
        <f t="shared" si="11"/>
        <v>建筑面积</v>
      </c>
      <c r="R30" s="705" t="s">
        <v>14</v>
      </c>
      <c r="S30" s="706" t="e">
        <f t="shared" si="12"/>
        <v>#N/A</v>
      </c>
      <c r="T30" s="705" t="s">
        <v>14</v>
      </c>
      <c r="U30" s="706" t="e">
        <f t="shared" si="13"/>
        <v>#N/A</v>
      </c>
      <c r="V30" s="705" t="s">
        <v>14</v>
      </c>
      <c r="W30" s="706" t="e">
        <f t="shared" si="14"/>
        <v>#N/A</v>
      </c>
      <c r="X30" s="1354"/>
      <c r="Y30" s="3691"/>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1"/>
      <c r="Q31" s="1342"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1" t="s">
        <v>1695</v>
      </c>
      <c r="Q32" s="1351">
        <f t="shared" si="11"/>
        <v>111</v>
      </c>
      <c r="R32" s="705" t="s">
        <v>14</v>
      </c>
      <c r="S32" s="706">
        <f t="shared" si="12"/>
        <v>100</v>
      </c>
      <c r="T32" s="705" t="s">
        <v>14</v>
      </c>
      <c r="U32" s="706">
        <f t="shared" si="13"/>
        <v>100</v>
      </c>
      <c r="V32" s="705" t="s">
        <v>14</v>
      </c>
      <c r="W32" s="706">
        <f t="shared" si="14"/>
        <v>100</v>
      </c>
      <c r="X32" s="1354"/>
      <c r="Y32" s="3691"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1"/>
      <c r="Q33" s="1351">
        <f t="shared" si="11"/>
        <v>111</v>
      </c>
      <c r="R33" s="705" t="s">
        <v>14</v>
      </c>
      <c r="S33" s="706">
        <f t="shared" si="12"/>
        <v>100</v>
      </c>
      <c r="T33" s="705" t="s">
        <v>14</v>
      </c>
      <c r="U33" s="706">
        <f t="shared" si="13"/>
        <v>100</v>
      </c>
      <c r="V33" s="705" t="s">
        <v>14</v>
      </c>
      <c r="W33" s="706">
        <f t="shared" si="14"/>
        <v>100</v>
      </c>
      <c r="X33" s="1354"/>
      <c r="Y33" s="369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 zoomScale="85" zoomScaleNormal="60" zoomScaleSheetLayoutView="85" workbookViewId="0">
      <selection activeCell="M21" sqref="M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8.75" style="357" customWidth="1"/>
    <col min="6" max="6" width="12.25" style="357" customWidth="1"/>
    <col min="7" max="7" width="19.5" style="357" customWidth="1"/>
    <col min="8" max="8" width="12.25" style="357" customWidth="1"/>
    <col min="9" max="9" width="15.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121515</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9216</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4"/>
      <c r="Y4" s="3709" t="s">
        <v>1774</v>
      </c>
      <c r="Z4" s="3710"/>
      <c r="AA4" s="3696" t="s">
        <v>1770</v>
      </c>
      <c r="AB4" s="3697" t="s">
        <v>1771</v>
      </c>
      <c r="AC4" s="3696" t="s">
        <v>1772</v>
      </c>
    </row>
    <row r="5" spans="1:30" ht="15">
      <c r="A5" s="358"/>
      <c r="B5" s="359"/>
      <c r="C5" s="3718" t="s">
        <v>1672</v>
      </c>
      <c r="D5" s="3719"/>
      <c r="E5" s="3725" t="str">
        <f>案例!A2</f>
        <v>北京市海淀区西北旺镇永丰产业基地(新)HD00-0403-009地块F3其他类多功能用地</v>
      </c>
      <c r="F5" s="3726"/>
      <c r="G5" s="3718" t="str">
        <f>案例!A3</f>
        <v>北京市海淀区西北旺镇永丰产业基地(新)HD00-0403-001地块F3其他类多功能用地</v>
      </c>
      <c r="H5" s="3719"/>
      <c r="I5" s="3718" t="str">
        <f>案例!A18</f>
        <v>北京市昌平区朱辛庄新区(二期)土地一级开发项目ZXZ-010地块F3其他类多功能用地</v>
      </c>
      <c r="J5" s="3719"/>
      <c r="K5" s="559"/>
      <c r="L5" s="2714"/>
      <c r="M5" s="2715"/>
      <c r="N5" s="2715"/>
      <c r="O5" s="2715"/>
      <c r="P5" s="3705"/>
      <c r="Q5" s="3706"/>
      <c r="R5" s="3711"/>
      <c r="S5" s="3712"/>
      <c r="T5" s="3711"/>
      <c r="U5" s="3712"/>
      <c r="V5" s="3715"/>
      <c r="W5" s="3715"/>
      <c r="X5" s="1354"/>
      <c r="Y5" s="3711"/>
      <c r="Z5" s="3712"/>
      <c r="AA5" s="3697"/>
      <c r="AB5" s="3697"/>
      <c r="AC5" s="3697"/>
    </row>
    <row r="6" spans="1:30" ht="15.75" thickBot="1">
      <c r="A6" s="360"/>
      <c r="B6" s="361"/>
      <c r="C6" s="3716" t="s">
        <v>1676</v>
      </c>
      <c r="D6" s="3717"/>
      <c r="E6" s="3723" t="s">
        <v>1676</v>
      </c>
      <c r="F6" s="3724"/>
      <c r="G6" s="3716" t="s">
        <v>1676</v>
      </c>
      <c r="H6" s="3717"/>
      <c r="I6" s="3716" t="s">
        <v>1676</v>
      </c>
      <c r="J6" s="3717"/>
      <c r="K6" s="559" t="s">
        <v>1677</v>
      </c>
      <c r="L6" s="2714"/>
      <c r="M6" s="2715"/>
      <c r="N6" s="2715"/>
      <c r="O6" s="2715"/>
      <c r="P6" s="3707"/>
      <c r="Q6" s="3708"/>
      <c r="R6" s="3711"/>
      <c r="S6" s="3712"/>
      <c r="T6" s="3713"/>
      <c r="U6" s="3714"/>
      <c r="V6" s="3715"/>
      <c r="W6" s="3715"/>
      <c r="X6" s="1354"/>
      <c r="Y6" s="3713"/>
      <c r="Z6" s="3714"/>
      <c r="AA6" s="3698"/>
      <c r="AB6" s="3698"/>
      <c r="AC6" s="3698"/>
    </row>
    <row r="7" spans="1:30" s="108" customFormat="1" ht="15.75" thickBot="1">
      <c r="A7" s="362" t="s">
        <v>1678</v>
      </c>
      <c r="B7" s="363"/>
      <c r="C7" s="364">
        <f>'数据-取费表'!B2</f>
        <v>44929</v>
      </c>
      <c r="D7" s="365">
        <v>100</v>
      </c>
      <c r="E7" s="366">
        <f>案例!M2</f>
        <v>44865.000497685185</v>
      </c>
      <c r="F7" s="367">
        <f>SUMIF(69:69,YEAR(E7)&amp;"-"&amp;INT((MONTH(E7)+2)/3),70:70)</f>
        <v>99.7</v>
      </c>
      <c r="G7" s="1973">
        <f>案例!M3</f>
        <v>44865.000497685185</v>
      </c>
      <c r="H7" s="365">
        <f>SUMIF(69:69,YEAR(G7)&amp;"-"&amp;INT((MONTH(G7)+2)/3),70:70)</f>
        <v>99.7</v>
      </c>
      <c r="I7" s="1973">
        <f>案例!M18</f>
        <v>43923.000497685185</v>
      </c>
      <c r="J7" s="365">
        <f>SUMIF(69:69,YEAR(I7)&amp;"-"&amp;INT((MONTH(I7)+2)/3),70:70)</f>
        <v>96.700000000000031</v>
      </c>
      <c r="K7" s="560"/>
      <c r="L7" s="2716"/>
      <c r="M7" s="2717"/>
      <c r="N7" s="2717"/>
      <c r="O7" s="2717"/>
      <c r="P7" s="3720" t="s">
        <v>1679</v>
      </c>
      <c r="Q7" s="3722"/>
      <c r="R7" s="701" t="s">
        <v>14</v>
      </c>
      <c r="S7" s="702">
        <f t="shared" ref="S7:S15" si="0">F7</f>
        <v>99.7</v>
      </c>
      <c r="T7" s="701" t="s">
        <v>14</v>
      </c>
      <c r="U7" s="702">
        <f t="shared" ref="U7:U15" si="1">H7</f>
        <v>99.7</v>
      </c>
      <c r="V7" s="701" t="s">
        <v>14</v>
      </c>
      <c r="W7" s="702">
        <f t="shared" ref="W7:W15" si="2">J7</f>
        <v>96.700000000000031</v>
      </c>
      <c r="X7" s="703"/>
      <c r="Y7" s="3720" t="s">
        <v>1679</v>
      </c>
      <c r="Z7" s="3721"/>
      <c r="AA7" s="704">
        <f>D7/F7</f>
        <v>1.0030090270812437</v>
      </c>
      <c r="AB7" s="704">
        <f>D7/H7</f>
        <v>1.0030090270812437</v>
      </c>
      <c r="AC7" s="704">
        <f>D7/J7</f>
        <v>1.0341261633919334</v>
      </c>
    </row>
    <row r="8" spans="1:30" s="108" customFormat="1" ht="15.75" thickBot="1">
      <c r="A8" s="362" t="s">
        <v>1680</v>
      </c>
      <c r="B8" s="363"/>
      <c r="C8" s="368" t="s">
        <v>1681</v>
      </c>
      <c r="D8" s="365">
        <v>100</v>
      </c>
      <c r="E8" s="368" t="s">
        <v>3730</v>
      </c>
      <c r="F8" s="367">
        <f>SUMIF(72:72,E8,73:73)-SUMIF(72:72,C8,73:73)+100</f>
        <v>100</v>
      </c>
      <c r="G8" s="368" t="s">
        <v>3730</v>
      </c>
      <c r="H8" s="365">
        <f>SUMIF(72:72,G8,73:73)-SUMIF(72:72,C8,73:73)+100</f>
        <v>100</v>
      </c>
      <c r="I8" s="368" t="s">
        <v>3730</v>
      </c>
      <c r="J8" s="365">
        <f>SUMIF(72:72,I8,73:73)-SUMIF(72:72,C8,73:73)+100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45" si="3">D8/F8</f>
        <v>1</v>
      </c>
      <c r="AB8" s="704">
        <f t="shared" ref="AB8:AB45" si="4">D8/H8</f>
        <v>1</v>
      </c>
      <c r="AC8" s="704">
        <f t="shared" ref="AC8:AC45" si="5">D8/J8</f>
        <v>1</v>
      </c>
    </row>
    <row r="9" spans="1:30" s="108" customFormat="1" ht="15">
      <c r="A9" s="369" t="s">
        <v>1683</v>
      </c>
      <c r="B9" s="63" t="s">
        <v>1684</v>
      </c>
      <c r="C9" s="1976" t="s">
        <v>3729</v>
      </c>
      <c r="D9" s="126">
        <v>100</v>
      </c>
      <c r="E9" s="1976" t="s">
        <v>3731</v>
      </c>
      <c r="F9" s="126">
        <f>SUMIF(74:74,E9,75:75)-SUMIF(74:74,C9,75:75)+100</f>
        <v>120</v>
      </c>
      <c r="G9" s="1976" t="s">
        <v>3731</v>
      </c>
      <c r="H9" s="126">
        <f>SUMIF(74:74,G9,75:75)-SUMIF(74:74,C9,75:75)+100</f>
        <v>120</v>
      </c>
      <c r="I9" s="1976" t="s">
        <v>3731</v>
      </c>
      <c r="J9" s="126">
        <f>SUMIF(74:74,I9,75:75)-SUMIF(74:74,C9,75:75)+100</f>
        <v>120</v>
      </c>
      <c r="K9" s="560"/>
      <c r="L9" s="2716"/>
      <c r="M9" s="2717"/>
      <c r="N9" s="2717"/>
      <c r="O9" s="2771"/>
      <c r="P9" s="3684" t="s">
        <v>1685</v>
      </c>
      <c r="Q9" s="1342" t="str">
        <f t="shared" ref="Q9:Q15" si="6">B9</f>
        <v>用途</v>
      </c>
      <c r="R9" s="701" t="s">
        <v>14</v>
      </c>
      <c r="S9" s="702">
        <f t="shared" si="0"/>
        <v>120</v>
      </c>
      <c r="T9" s="701" t="s">
        <v>14</v>
      </c>
      <c r="U9" s="702">
        <f t="shared" si="1"/>
        <v>120</v>
      </c>
      <c r="V9" s="701" t="s">
        <v>14</v>
      </c>
      <c r="W9" s="702">
        <f t="shared" si="2"/>
        <v>120</v>
      </c>
      <c r="X9" s="703"/>
      <c r="Y9" s="3559" t="s">
        <v>1686</v>
      </c>
      <c r="Z9" s="52" t="str">
        <f t="shared" ref="Z9:Z15" si="7">Q9</f>
        <v>用途</v>
      </c>
      <c r="AA9" s="704">
        <f t="shared" si="3"/>
        <v>0.83333333333333337</v>
      </c>
      <c r="AB9" s="704">
        <f t="shared" si="4"/>
        <v>0.83333333333333337</v>
      </c>
      <c r="AC9" s="704">
        <f t="shared" si="5"/>
        <v>0.83333333333333337</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684"/>
      <c r="Q10" s="1342" t="str">
        <f t="shared" si="6"/>
        <v>土地使用年限（年）</v>
      </c>
      <c r="R10" s="701" t="s">
        <v>14</v>
      </c>
      <c r="S10" s="702">
        <f t="shared" si="0"/>
        <v>104</v>
      </c>
      <c r="T10" s="701" t="s">
        <v>14</v>
      </c>
      <c r="U10" s="702">
        <f t="shared" si="1"/>
        <v>104</v>
      </c>
      <c r="V10" s="701" t="s">
        <v>14</v>
      </c>
      <c r="W10" s="702">
        <f t="shared" si="2"/>
        <v>104</v>
      </c>
      <c r="X10" s="703"/>
      <c r="Y10" s="3559"/>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f>'数据-汇总表'!I4</f>
        <v>2.2000000000000002</v>
      </c>
      <c r="D11" s="127">
        <v>100</v>
      </c>
      <c r="E11" s="380">
        <v>2.2000000000000002</v>
      </c>
      <c r="F11" s="127">
        <f>LOOKUP(E11,79:79,80:80)-LOOKUP(C11,79:79,80:80)+100</f>
        <v>100</v>
      </c>
      <c r="G11" s="381">
        <v>2.2000000000000002</v>
      </c>
      <c r="H11" s="127">
        <f>LOOKUP(G11,79:79,80:80)-LOOKUP(C11,79:79,80:80)+100</f>
        <v>100</v>
      </c>
      <c r="I11" s="380">
        <v>3</v>
      </c>
      <c r="J11" s="127">
        <f>LOOKUP(I11,79:79,80:80)-LOOKUP(C11,79:79,80:80)+100</f>
        <v>98</v>
      </c>
      <c r="K11" s="621">
        <v>2</v>
      </c>
      <c r="L11" s="2720"/>
      <c r="M11" s="2715"/>
      <c r="N11" s="2715"/>
      <c r="O11" s="2773"/>
      <c r="P11" s="3684"/>
      <c r="Q11" s="1342" t="str">
        <f t="shared" si="6"/>
        <v>容积率</v>
      </c>
      <c r="R11" s="701" t="s">
        <v>14</v>
      </c>
      <c r="S11" s="702">
        <f t="shared" si="0"/>
        <v>100</v>
      </c>
      <c r="T11" s="701" t="s">
        <v>14</v>
      </c>
      <c r="U11" s="702">
        <f t="shared" si="1"/>
        <v>100</v>
      </c>
      <c r="V11" s="701" t="s">
        <v>14</v>
      </c>
      <c r="W11" s="702">
        <f t="shared" si="2"/>
        <v>98</v>
      </c>
      <c r="X11" s="703"/>
      <c r="Y11" s="3559"/>
      <c r="Z11" s="52" t="str">
        <f t="shared" si="7"/>
        <v>容积率</v>
      </c>
      <c r="AA11" s="704">
        <f t="shared" si="3"/>
        <v>1</v>
      </c>
      <c r="AB11" s="704">
        <f t="shared" si="4"/>
        <v>1</v>
      </c>
      <c r="AC11" s="704">
        <f t="shared" si="5"/>
        <v>1.0204081632653061</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4"/>
      <c r="Q12" s="1342"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6" t="s">
        <v>1690</v>
      </c>
      <c r="Q15" s="1351" t="str">
        <f t="shared" si="6"/>
        <v>居住社区成熟度</v>
      </c>
      <c r="R15" s="705" t="s">
        <v>14</v>
      </c>
      <c r="S15" s="706">
        <f t="shared" si="0"/>
        <v>100</v>
      </c>
      <c r="T15" s="705" t="s">
        <v>14</v>
      </c>
      <c r="U15" s="706">
        <f t="shared" si="1"/>
        <v>100</v>
      </c>
      <c r="V15" s="705" t="s">
        <v>14</v>
      </c>
      <c r="W15" s="706">
        <f t="shared" si="2"/>
        <v>100</v>
      </c>
      <c r="X15" s="1354"/>
      <c r="Y15" s="3686"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687"/>
      <c r="Q16" s="1351"/>
      <c r="R16" s="705"/>
      <c r="S16" s="706"/>
      <c r="T16" s="705"/>
      <c r="U16" s="706"/>
      <c r="V16" s="705"/>
      <c r="W16" s="706"/>
      <c r="X16" s="1354"/>
      <c r="Y16" s="3687"/>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7"/>
      <c r="Q17" s="1351" t="str">
        <f>B17</f>
        <v>商业繁华度</v>
      </c>
      <c r="R17" s="705" t="s">
        <v>14</v>
      </c>
      <c r="S17" s="706">
        <f>F17</f>
        <v>100</v>
      </c>
      <c r="T17" s="705" t="s">
        <v>14</v>
      </c>
      <c r="U17" s="706">
        <f>H17</f>
        <v>100</v>
      </c>
      <c r="V17" s="705" t="s">
        <v>14</v>
      </c>
      <c r="W17" s="706">
        <f>J17</f>
        <v>100</v>
      </c>
      <c r="X17" s="1354"/>
      <c r="Y17" s="3687"/>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687"/>
      <c r="Q18" s="1351"/>
      <c r="R18" s="705"/>
      <c r="S18" s="706"/>
      <c r="T18" s="705"/>
      <c r="U18" s="706"/>
      <c r="V18" s="705"/>
      <c r="W18" s="706"/>
      <c r="X18" s="1354"/>
      <c r="Y18" s="3687"/>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98</v>
      </c>
      <c r="K19" s="621">
        <v>2</v>
      </c>
      <c r="L19" s="2721"/>
      <c r="M19" s="2715"/>
      <c r="N19" s="2715"/>
      <c r="O19" s="2773"/>
      <c r="P19" s="3687"/>
      <c r="Q19" s="1351" t="str">
        <f>B19</f>
        <v>办公集聚程度</v>
      </c>
      <c r="R19" s="705" t="s">
        <v>14</v>
      </c>
      <c r="S19" s="706">
        <f>F19</f>
        <v>100</v>
      </c>
      <c r="T19" s="705" t="s">
        <v>14</v>
      </c>
      <c r="U19" s="706">
        <f>H19</f>
        <v>100</v>
      </c>
      <c r="V19" s="705" t="s">
        <v>14</v>
      </c>
      <c r="W19" s="706">
        <f>J19</f>
        <v>98</v>
      </c>
      <c r="X19" s="1354"/>
      <c r="Y19" s="3687"/>
      <c r="Z19" s="1355" t="str">
        <f>Q19</f>
        <v>办公集聚程度</v>
      </c>
      <c r="AA19" s="1352">
        <f t="shared" si="3"/>
        <v>1</v>
      </c>
      <c r="AB19" s="1352">
        <f t="shared" si="4"/>
        <v>1</v>
      </c>
      <c r="AC19" s="1352">
        <f t="shared" si="5"/>
        <v>1.0204081632653061</v>
      </c>
    </row>
    <row r="20" spans="1:29" ht="15">
      <c r="A20" s="379"/>
      <c r="B20" s="407"/>
      <c r="C20" s="398" t="s">
        <v>3733</v>
      </c>
      <c r="D20" s="399"/>
      <c r="E20" s="1897" t="s">
        <v>3733</v>
      </c>
      <c r="F20" s="399"/>
      <c r="G20" s="1897" t="s">
        <v>3733</v>
      </c>
      <c r="H20" s="399"/>
      <c r="I20" s="1896" t="s">
        <v>3734</v>
      </c>
      <c r="J20" s="399"/>
      <c r="K20" s="620"/>
      <c r="L20" s="2721"/>
      <c r="M20" s="2715"/>
      <c r="N20" s="2715"/>
      <c r="O20" s="2773"/>
      <c r="P20" s="3687"/>
      <c r="Q20" s="1351"/>
      <c r="R20" s="705"/>
      <c r="S20" s="706"/>
      <c r="T20" s="705"/>
      <c r="U20" s="706"/>
      <c r="V20" s="705"/>
      <c r="W20" s="706"/>
      <c r="X20" s="1354"/>
      <c r="Y20" s="3687"/>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105</v>
      </c>
      <c r="G21" s="403"/>
      <c r="H21" s="401">
        <f>SUMIF(93:93,G22,94:94)-SUMIF(93:93,C22,94:94)+100</f>
        <v>105</v>
      </c>
      <c r="I21" s="405"/>
      <c r="J21" s="401">
        <f>SUMIF(93:93,I22,94:94)-SUMIF(93:93,C22,94:94)+100</f>
        <v>100</v>
      </c>
      <c r="K21" s="621">
        <v>5</v>
      </c>
      <c r="L21" s="2721"/>
      <c r="M21" s="2715"/>
      <c r="N21" s="2715"/>
      <c r="O21" s="2773"/>
      <c r="P21" s="3687"/>
      <c r="Q21" s="1351" t="str">
        <f>B21</f>
        <v>交通便捷度</v>
      </c>
      <c r="R21" s="705" t="s">
        <v>14</v>
      </c>
      <c r="S21" s="706">
        <f>F21</f>
        <v>105</v>
      </c>
      <c r="T21" s="705" t="s">
        <v>14</v>
      </c>
      <c r="U21" s="706">
        <f>H21</f>
        <v>105</v>
      </c>
      <c r="V21" s="705" t="s">
        <v>14</v>
      </c>
      <c r="W21" s="706">
        <f>J21</f>
        <v>100</v>
      </c>
      <c r="X21" s="1354"/>
      <c r="Y21" s="3687"/>
      <c r="Z21" s="1355" t="str">
        <f>Q21</f>
        <v>交通便捷度</v>
      </c>
      <c r="AA21" s="1352">
        <f t="shared" si="3"/>
        <v>0.95238095238095233</v>
      </c>
      <c r="AB21" s="1352">
        <f t="shared" si="4"/>
        <v>0.95238095238095233</v>
      </c>
      <c r="AC21" s="1352">
        <f t="shared" si="5"/>
        <v>1</v>
      </c>
    </row>
    <row r="22" spans="1:29" ht="15">
      <c r="A22" s="379"/>
      <c r="B22" s="1131"/>
      <c r="C22" s="398" t="s">
        <v>3734</v>
      </c>
      <c r="D22" s="401"/>
      <c r="E22" s="398" t="s">
        <v>3733</v>
      </c>
      <c r="F22" s="399"/>
      <c r="G22" s="398" t="s">
        <v>3733</v>
      </c>
      <c r="H22" s="399"/>
      <c r="I22" s="398" t="s">
        <v>3734</v>
      </c>
      <c r="J22" s="399"/>
      <c r="K22" s="620"/>
      <c r="L22" s="2721"/>
      <c r="M22" s="2715"/>
      <c r="N22" s="2715"/>
      <c r="O22" s="2773"/>
      <c r="P22" s="3687"/>
      <c r="Q22" s="1351"/>
      <c r="R22" s="705"/>
      <c r="S22" s="706"/>
      <c r="T22" s="705"/>
      <c r="U22" s="706"/>
      <c r="V22" s="705"/>
      <c r="W22" s="706"/>
      <c r="X22" s="1354"/>
      <c r="Y22" s="3687"/>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87"/>
      <c r="Q23" s="1351" t="str">
        <f t="shared" ref="Q23:Q37" si="8">B23</f>
        <v>区域土地利用方向</v>
      </c>
      <c r="R23" s="705" t="s">
        <v>14</v>
      </c>
      <c r="S23" s="706">
        <f>F23</f>
        <v>100</v>
      </c>
      <c r="T23" s="705" t="s">
        <v>14</v>
      </c>
      <c r="U23" s="706">
        <f>H23</f>
        <v>100</v>
      </c>
      <c r="V23" s="705" t="s">
        <v>14</v>
      </c>
      <c r="W23" s="706">
        <f>J23</f>
        <v>100</v>
      </c>
      <c r="X23" s="1354"/>
      <c r="Y23" s="3687"/>
      <c r="Z23" s="1355" t="str">
        <f>Q23</f>
        <v>区域土地利用方向</v>
      </c>
      <c r="AA23" s="1352">
        <f t="shared" si="3"/>
        <v>1</v>
      </c>
      <c r="AB23" s="1352">
        <f t="shared" si="4"/>
        <v>1</v>
      </c>
      <c r="AC23" s="1352">
        <f t="shared" si="5"/>
        <v>1</v>
      </c>
    </row>
    <row r="24" spans="1:29" ht="15">
      <c r="A24" s="358"/>
      <c r="B24" s="407"/>
      <c r="C24" s="565" t="s">
        <v>3733</v>
      </c>
      <c r="D24" s="399"/>
      <c r="E24" s="565" t="s">
        <v>3733</v>
      </c>
      <c r="F24" s="399"/>
      <c r="G24" s="565" t="s">
        <v>3733</v>
      </c>
      <c r="H24" s="399"/>
      <c r="I24" s="1896" t="s">
        <v>3733</v>
      </c>
      <c r="J24" s="399"/>
      <c r="K24" s="740"/>
      <c r="L24" s="2721"/>
      <c r="M24" s="2715"/>
      <c r="N24" s="2715"/>
      <c r="O24" s="2773"/>
      <c r="P24" s="3687"/>
      <c r="Q24" s="1351"/>
      <c r="R24" s="705"/>
      <c r="S24" s="706"/>
      <c r="T24" s="705"/>
      <c r="U24" s="706"/>
      <c r="V24" s="705"/>
      <c r="W24" s="706"/>
      <c r="X24" s="1354"/>
      <c r="Y24" s="3687"/>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21"/>
      <c r="M25" s="2715"/>
      <c r="N25" s="2715"/>
      <c r="O25" s="2773"/>
      <c r="P25" s="3687"/>
      <c r="Q25" s="1351" t="str">
        <f t="shared" si="8"/>
        <v>自然及人文环境状况</v>
      </c>
      <c r="R25" s="705" t="s">
        <v>14</v>
      </c>
      <c r="S25" s="706">
        <f>F25</f>
        <v>100</v>
      </c>
      <c r="T25" s="705" t="s">
        <v>14</v>
      </c>
      <c r="U25" s="706">
        <f>H25</f>
        <v>100</v>
      </c>
      <c r="V25" s="705" t="s">
        <v>14</v>
      </c>
      <c r="W25" s="706">
        <f>J25</f>
        <v>100</v>
      </c>
      <c r="X25" s="1354"/>
      <c r="Y25" s="3687"/>
      <c r="Z25" s="1355" t="str">
        <f>Q25</f>
        <v>自然及人文环境状况</v>
      </c>
      <c r="AA25" s="1352">
        <f t="shared" si="3"/>
        <v>1</v>
      </c>
      <c r="AB25" s="1352">
        <f t="shared" si="4"/>
        <v>1</v>
      </c>
      <c r="AC25" s="1352">
        <f t="shared" si="5"/>
        <v>1</v>
      </c>
    </row>
    <row r="26" spans="1:29" ht="15">
      <c r="A26" s="358"/>
      <c r="B26" s="407"/>
      <c r="C26" s="398" t="s">
        <v>3733</v>
      </c>
      <c r="D26" s="399"/>
      <c r="E26" s="1903" t="s">
        <v>3733</v>
      </c>
      <c r="F26" s="399"/>
      <c r="G26" s="1903" t="s">
        <v>3733</v>
      </c>
      <c r="H26" s="399"/>
      <c r="I26" s="1903" t="s">
        <v>3733</v>
      </c>
      <c r="J26" s="399"/>
      <c r="K26" s="620"/>
      <c r="L26" s="2721"/>
      <c r="M26" s="2715"/>
      <c r="N26" s="2715"/>
      <c r="O26" s="2773"/>
      <c r="P26" s="3687"/>
      <c r="Q26" s="1351"/>
      <c r="R26" s="705"/>
      <c r="S26" s="706"/>
      <c r="T26" s="705"/>
      <c r="U26" s="706"/>
      <c r="V26" s="705"/>
      <c r="W26" s="706"/>
      <c r="X26" s="1354"/>
      <c r="Y26" s="3687"/>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6"/>
      <c r="M27" s="2717"/>
      <c r="N27" s="2717"/>
      <c r="O27" s="2771"/>
      <c r="P27" s="3687"/>
      <c r="Q27" s="1342" t="str">
        <f t="shared" si="8"/>
        <v>公共配套设施</v>
      </c>
      <c r="R27" s="701" t="s">
        <v>14</v>
      </c>
      <c r="S27" s="702">
        <f>F27</f>
        <v>100</v>
      </c>
      <c r="T27" s="701" t="s">
        <v>14</v>
      </c>
      <c r="U27" s="702">
        <f>H27</f>
        <v>100</v>
      </c>
      <c r="V27" s="701" t="s">
        <v>14</v>
      </c>
      <c r="W27" s="702">
        <f>J27</f>
        <v>100</v>
      </c>
      <c r="X27" s="703"/>
      <c r="Y27" s="3687"/>
      <c r="Z27" s="52" t="str">
        <f>Q27</f>
        <v>公共配套设施</v>
      </c>
      <c r="AA27" s="1352">
        <f>D27/F27</f>
        <v>1</v>
      </c>
      <c r="AB27" s="1352">
        <f>D27/H27</f>
        <v>1</v>
      </c>
      <c r="AC27" s="1352">
        <f>D27/J27</f>
        <v>1</v>
      </c>
    </row>
    <row r="28" spans="1:29" s="108" customFormat="1" ht="15">
      <c r="A28" s="597"/>
      <c r="B28" s="407"/>
      <c r="C28" s="1977" t="s">
        <v>3733</v>
      </c>
      <c r="D28" s="399"/>
      <c r="E28" s="1977" t="s">
        <v>3733</v>
      </c>
      <c r="F28" s="399"/>
      <c r="G28" s="1977" t="s">
        <v>3733</v>
      </c>
      <c r="H28" s="399"/>
      <c r="I28" s="1977" t="s">
        <v>3733</v>
      </c>
      <c r="J28" s="399"/>
      <c r="K28" s="620"/>
      <c r="L28" s="2716"/>
      <c r="M28" s="2717"/>
      <c r="N28" s="2717"/>
      <c r="O28" s="2771"/>
      <c r="P28" s="3687"/>
      <c r="Q28" s="1342"/>
      <c r="R28" s="701"/>
      <c r="S28" s="702"/>
      <c r="T28" s="701"/>
      <c r="U28" s="702"/>
      <c r="V28" s="701"/>
      <c r="W28" s="702"/>
      <c r="X28" s="703"/>
      <c r="Y28" s="3687"/>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6"/>
      <c r="M29" s="2717"/>
      <c r="N29" s="2717"/>
      <c r="O29" s="2771"/>
      <c r="P29" s="3687"/>
      <c r="Q29" s="1342"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2">
        <f>D29/F29</f>
        <v>1</v>
      </c>
      <c r="AB29" s="1352">
        <f>D29/H29</f>
        <v>1</v>
      </c>
      <c r="AC29" s="1352">
        <f>D29/J29</f>
        <v>1</v>
      </c>
    </row>
    <row r="30" spans="1:29" s="108" customFormat="1" ht="15.75" thickBot="1">
      <c r="A30" s="597"/>
      <c r="B30" s="407"/>
      <c r="C30" s="1977" t="s">
        <v>3736</v>
      </c>
      <c r="D30" s="399"/>
      <c r="E30" s="1977" t="s">
        <v>3736</v>
      </c>
      <c r="F30" s="399"/>
      <c r="G30" s="1977" t="s">
        <v>3736</v>
      </c>
      <c r="H30" s="399"/>
      <c r="I30" s="1977" t="s">
        <v>3736</v>
      </c>
      <c r="J30" s="399"/>
      <c r="K30" s="620"/>
      <c r="L30" s="2716"/>
      <c r="M30" s="2717"/>
      <c r="N30" s="2717"/>
      <c r="O30" s="2771"/>
      <c r="P30" s="3687"/>
      <c r="Q30" s="1342"/>
      <c r="R30" s="701"/>
      <c r="S30" s="702"/>
      <c r="T30" s="701"/>
      <c r="U30" s="702"/>
      <c r="V30" s="701"/>
      <c r="W30" s="702"/>
      <c r="X30" s="703"/>
      <c r="Y30" s="3687"/>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7"/>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7"/>
      <c r="Q32" s="1351" t="str">
        <f t="shared" si="8"/>
        <v>毗邻道路的类型与等级</v>
      </c>
      <c r="R32" s="705" t="s">
        <v>14</v>
      </c>
      <c r="S32" s="706">
        <f t="shared" si="10"/>
        <v>100</v>
      </c>
      <c r="T32" s="705" t="s">
        <v>14</v>
      </c>
      <c r="U32" s="706">
        <f t="shared" si="11"/>
        <v>100</v>
      </c>
      <c r="V32" s="705" t="s">
        <v>14</v>
      </c>
      <c r="W32" s="706">
        <f t="shared" si="12"/>
        <v>100</v>
      </c>
      <c r="X32" s="1354"/>
      <c r="Y32" s="3687"/>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1"/>
      <c r="M33" s="2715"/>
      <c r="N33" s="2715"/>
      <c r="O33" s="2773"/>
      <c r="P33" s="3687"/>
      <c r="Q33" s="1351"/>
      <c r="R33" s="705"/>
      <c r="S33" s="706"/>
      <c r="T33" s="705"/>
      <c r="U33" s="706"/>
      <c r="V33" s="705"/>
      <c r="W33" s="706"/>
      <c r="X33" s="1354"/>
      <c r="Y33" s="3687"/>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7"/>
      <c r="Q34" s="1351" t="str">
        <f t="shared" si="8"/>
        <v>土地级别</v>
      </c>
      <c r="R34" s="705" t="s">
        <v>14</v>
      </c>
      <c r="S34" s="706">
        <f t="shared" si="10"/>
        <v>100</v>
      </c>
      <c r="T34" s="705" t="s">
        <v>14</v>
      </c>
      <c r="U34" s="706">
        <f t="shared" si="11"/>
        <v>100</v>
      </c>
      <c r="V34" s="705" t="s">
        <v>14</v>
      </c>
      <c r="W34" s="706">
        <f t="shared" si="12"/>
        <v>100</v>
      </c>
      <c r="X34" s="1354"/>
      <c r="Y34" s="3687"/>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7"/>
      <c r="Q35" s="1351">
        <f t="shared" si="8"/>
        <v>111</v>
      </c>
      <c r="R35" s="705" t="s">
        <v>14</v>
      </c>
      <c r="S35" s="706">
        <f t="shared" si="10"/>
        <v>100</v>
      </c>
      <c r="T35" s="705" t="s">
        <v>14</v>
      </c>
      <c r="U35" s="706">
        <f t="shared" si="11"/>
        <v>100</v>
      </c>
      <c r="V35" s="705" t="s">
        <v>14</v>
      </c>
      <c r="W35" s="706">
        <f t="shared" si="12"/>
        <v>100</v>
      </c>
      <c r="X35" s="1354"/>
      <c r="Y35" s="3687"/>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1695</v>
      </c>
      <c r="Q36" s="1351">
        <f t="shared" si="8"/>
        <v>111</v>
      </c>
      <c r="R36" s="705" t="s">
        <v>14</v>
      </c>
      <c r="S36" s="706">
        <f t="shared" si="10"/>
        <v>100</v>
      </c>
      <c r="T36" s="705" t="s">
        <v>14</v>
      </c>
      <c r="U36" s="706">
        <f t="shared" si="11"/>
        <v>100</v>
      </c>
      <c r="V36" s="705" t="s">
        <v>14</v>
      </c>
      <c r="W36" s="706">
        <f t="shared" si="12"/>
        <v>100</v>
      </c>
      <c r="X36" s="1354"/>
      <c r="Y36" s="3691"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1"/>
      <c r="Q37" s="1351">
        <f t="shared" si="8"/>
        <v>111</v>
      </c>
      <c r="R37" s="708" t="s">
        <v>14</v>
      </c>
      <c r="S37" s="709">
        <f t="shared" si="10"/>
        <v>100</v>
      </c>
      <c r="T37" s="708" t="s">
        <v>14</v>
      </c>
      <c r="U37" s="709">
        <f t="shared" si="11"/>
        <v>100</v>
      </c>
      <c r="V37" s="708" t="s">
        <v>14</v>
      </c>
      <c r="W37" s="709">
        <f t="shared" si="12"/>
        <v>100</v>
      </c>
      <c r="X37" s="710"/>
      <c r="Y37" s="3691"/>
      <c r="Z37" s="711">
        <f t="shared" si="13"/>
        <v>111</v>
      </c>
      <c r="AA37" s="1352">
        <f t="shared" si="3"/>
        <v>1</v>
      </c>
      <c r="AB37" s="1352">
        <f t="shared" si="4"/>
        <v>1</v>
      </c>
      <c r="AC37" s="1352">
        <f t="shared" si="5"/>
        <v>1</v>
      </c>
    </row>
    <row r="38" spans="1:29" ht="15">
      <c r="A38" s="423" t="s">
        <v>1693</v>
      </c>
      <c r="B38" s="407" t="s">
        <v>1873</v>
      </c>
      <c r="C38" s="627">
        <f>'数据-基础表'!A3</f>
        <v>56732.22</v>
      </c>
      <c r="D38" s="418">
        <v>100</v>
      </c>
      <c r="E38" s="627">
        <f>案例!G2</f>
        <v>32733.22</v>
      </c>
      <c r="F38" s="418">
        <f>LOOKUP(E38,116:116,117:117)-LOOKUP(C38,116:116,117:117)+100</f>
        <v>99.5</v>
      </c>
      <c r="G38" s="627">
        <f>案例!G3</f>
        <v>29506.55</v>
      </c>
      <c r="H38" s="418">
        <f>LOOKUP(G38,116:116,117:117)-LOOKUP(C38,116:116,117:117)+100</f>
        <v>99.5</v>
      </c>
      <c r="I38" s="479">
        <f>案例!G18</f>
        <v>12501.51</v>
      </c>
      <c r="J38" s="418">
        <f>LOOKUP(I38,116:116,117:117)-LOOKUP(C38,116:116,117:117)+100</f>
        <v>99</v>
      </c>
      <c r="K38" s="562"/>
      <c r="L38" s="2721"/>
      <c r="M38" s="2715"/>
      <c r="N38" s="2715"/>
      <c r="O38" s="2773"/>
      <c r="P38" s="3691"/>
      <c r="Q38" s="1351" t="str">
        <f>B38</f>
        <v>宗地面积</v>
      </c>
      <c r="R38" s="705" t="s">
        <v>14</v>
      </c>
      <c r="S38" s="706">
        <f t="shared" si="10"/>
        <v>99.5</v>
      </c>
      <c r="T38" s="705" t="s">
        <v>14</v>
      </c>
      <c r="U38" s="706">
        <f t="shared" si="11"/>
        <v>99.5</v>
      </c>
      <c r="V38" s="705" t="s">
        <v>14</v>
      </c>
      <c r="W38" s="706">
        <f t="shared" si="12"/>
        <v>99</v>
      </c>
      <c r="X38" s="1354"/>
      <c r="Y38" s="3691"/>
      <c r="Z38" s="1355" t="str">
        <f t="shared" si="13"/>
        <v>宗地面积</v>
      </c>
      <c r="AA38" s="1352">
        <f t="shared" si="3"/>
        <v>1.0050251256281406</v>
      </c>
      <c r="AB38" s="1352">
        <f t="shared" si="4"/>
        <v>1.0050251256281406</v>
      </c>
      <c r="AC38" s="1352">
        <f t="shared" si="5"/>
        <v>1.0101010101010102</v>
      </c>
    </row>
    <row r="39" spans="1:29" ht="15">
      <c r="A39" s="423"/>
      <c r="B39" s="375" t="s">
        <v>1874</v>
      </c>
      <c r="C39" s="1905" t="s">
        <v>3737</v>
      </c>
      <c r="D39" s="386">
        <v>100</v>
      </c>
      <c r="E39" s="1905" t="s">
        <v>3737</v>
      </c>
      <c r="F39" s="386">
        <f>SUMIF(118:118,E39,119:119)-SUMIF(118:118,C39,119:119)+100</f>
        <v>100</v>
      </c>
      <c r="G39" s="1905" t="s">
        <v>3737</v>
      </c>
      <c r="H39" s="386">
        <f>SUMIF(118:118,G39,119:119)-SUMIF(118:118,C39,119:119)+100</f>
        <v>100</v>
      </c>
      <c r="I39" s="1905" t="s">
        <v>3737</v>
      </c>
      <c r="J39" s="386">
        <f>SUMIF(118:118,I39,119:119)-SUMIF(118:118,C39,119:119)+100</f>
        <v>100</v>
      </c>
      <c r="K39" s="561">
        <v>2</v>
      </c>
      <c r="L39" s="2721"/>
      <c r="M39" s="2715"/>
      <c r="N39" s="2715"/>
      <c r="O39" s="2773"/>
      <c r="P39" s="3691"/>
      <c r="Q39" s="1351" t="str">
        <f t="shared" ref="Q39:Q45" si="14">B39</f>
        <v>宗地形状</v>
      </c>
      <c r="R39" s="705" t="s">
        <v>14</v>
      </c>
      <c r="S39" s="706">
        <f t="shared" si="10"/>
        <v>100</v>
      </c>
      <c r="T39" s="705" t="s">
        <v>14</v>
      </c>
      <c r="U39" s="706">
        <f t="shared" si="11"/>
        <v>100</v>
      </c>
      <c r="V39" s="705" t="s">
        <v>14</v>
      </c>
      <c r="W39" s="706">
        <f t="shared" si="12"/>
        <v>100</v>
      </c>
      <c r="X39" s="1354"/>
      <c r="Y39" s="3691"/>
      <c r="Z39" s="1355" t="str">
        <f t="shared" si="13"/>
        <v>宗地形状</v>
      </c>
      <c r="AA39" s="1352">
        <f t="shared" si="3"/>
        <v>1</v>
      </c>
      <c r="AB39" s="1352">
        <f t="shared" si="4"/>
        <v>1</v>
      </c>
      <c r="AC39" s="1352">
        <f t="shared" si="5"/>
        <v>1</v>
      </c>
    </row>
    <row r="40" spans="1:29" ht="15">
      <c r="A40" s="423"/>
      <c r="B40" s="375" t="s">
        <v>1875</v>
      </c>
      <c r="C40" s="1905" t="s">
        <v>3739</v>
      </c>
      <c r="D40" s="386">
        <v>100</v>
      </c>
      <c r="E40" s="1905" t="s">
        <v>3739</v>
      </c>
      <c r="F40" s="386">
        <f>SUMIF(120:120,E40,121:121)-SUMIF(120:120,C40,121:121)+100</f>
        <v>100</v>
      </c>
      <c r="G40" s="1905" t="s">
        <v>3739</v>
      </c>
      <c r="H40" s="386">
        <f>SUMIF(120:120,G40,121:121)-SUMIF(120:120,C40,121:121)+100</f>
        <v>100</v>
      </c>
      <c r="I40" s="1905" t="s">
        <v>3739</v>
      </c>
      <c r="J40" s="386">
        <f>SUMIF(120:120,I40,121:121)-SUMIF(120:120,C40,121:121)+100</f>
        <v>100</v>
      </c>
      <c r="K40" s="561">
        <v>2</v>
      </c>
      <c r="L40" s="2721"/>
      <c r="M40" s="2715"/>
      <c r="N40" s="2715"/>
      <c r="O40" s="2773"/>
      <c r="P40" s="3691"/>
      <c r="Q40" s="1351" t="str">
        <f t="shared" si="14"/>
        <v>临街宽度及深度</v>
      </c>
      <c r="R40" s="705" t="s">
        <v>14</v>
      </c>
      <c r="S40" s="706">
        <f t="shared" si="10"/>
        <v>100</v>
      </c>
      <c r="T40" s="705" t="s">
        <v>14</v>
      </c>
      <c r="U40" s="706">
        <f t="shared" si="11"/>
        <v>100</v>
      </c>
      <c r="V40" s="705" t="s">
        <v>14</v>
      </c>
      <c r="W40" s="706">
        <f t="shared" si="12"/>
        <v>100</v>
      </c>
      <c r="X40" s="1354"/>
      <c r="Y40" s="3691"/>
      <c r="Z40" s="1355" t="str">
        <f t="shared" si="13"/>
        <v>临街宽度及深度</v>
      </c>
      <c r="AA40" s="1352">
        <f t="shared" si="3"/>
        <v>1</v>
      </c>
      <c r="AB40" s="1352">
        <f t="shared" si="4"/>
        <v>1</v>
      </c>
      <c r="AC40" s="1352">
        <f t="shared" si="5"/>
        <v>1</v>
      </c>
    </row>
    <row r="41" spans="1:29" s="108" customFormat="1" ht="15">
      <c r="A41" s="424"/>
      <c r="B41" s="375" t="s">
        <v>1876</v>
      </c>
      <c r="C41" s="1979" t="s">
        <v>3742</v>
      </c>
      <c r="D41" s="127">
        <v>100</v>
      </c>
      <c r="E41" s="1979" t="s">
        <v>3744</v>
      </c>
      <c r="F41" s="386">
        <f>SUMIF(122:122,E41,123:123)-SUMIF(122:122,C41,123:123)+100</f>
        <v>99.5</v>
      </c>
      <c r="G41" s="1979" t="s">
        <v>3744</v>
      </c>
      <c r="H41" s="386">
        <f>SUMIF(122:122,G41,123:123)-SUMIF(122:122,C41,123:123)+100</f>
        <v>99.5</v>
      </c>
      <c r="I41" s="1979" t="s">
        <v>3744</v>
      </c>
      <c r="J41" s="386">
        <f>SUMIF(122:122,I41,123:123)-SUMIF(122:122,C41,123:123)+100</f>
        <v>99.5</v>
      </c>
      <c r="K41" s="561">
        <v>0.5</v>
      </c>
      <c r="L41" s="2716"/>
      <c r="M41" s="2717"/>
      <c r="N41" s="2717"/>
      <c r="O41" s="2771"/>
      <c r="P41" s="3691"/>
      <c r="Q41" s="1351" t="str">
        <f t="shared" si="14"/>
        <v>宗地开发程度</v>
      </c>
      <c r="R41" s="701" t="s">
        <v>14</v>
      </c>
      <c r="S41" s="702">
        <f t="shared" si="10"/>
        <v>99.5</v>
      </c>
      <c r="T41" s="701" t="s">
        <v>14</v>
      </c>
      <c r="U41" s="702">
        <f t="shared" si="11"/>
        <v>99.5</v>
      </c>
      <c r="V41" s="701" t="s">
        <v>14</v>
      </c>
      <c r="W41" s="702">
        <f t="shared" si="12"/>
        <v>99.5</v>
      </c>
      <c r="X41" s="703"/>
      <c r="Y41" s="3691"/>
      <c r="Z41" s="52" t="str">
        <f t="shared" si="13"/>
        <v>宗地开发程度</v>
      </c>
      <c r="AA41" s="704">
        <f t="shared" si="3"/>
        <v>1.0050251256281406</v>
      </c>
      <c r="AB41" s="704">
        <f t="shared" si="4"/>
        <v>1.0050251256281406</v>
      </c>
      <c r="AC41" s="704">
        <f t="shared" si="5"/>
        <v>1.0050251256281406</v>
      </c>
    </row>
    <row r="42" spans="1:29" ht="15.75" thickBot="1">
      <c r="A42" s="423"/>
      <c r="B42" s="375" t="s">
        <v>1877</v>
      </c>
      <c r="C42" s="1905" t="s">
        <v>3733</v>
      </c>
      <c r="D42" s="386">
        <v>100</v>
      </c>
      <c r="E42" s="1905" t="s">
        <v>3733</v>
      </c>
      <c r="F42" s="386">
        <f>SUMIF(124:124,E42,125:125)-SUMIF(124:124,C42,125:125)+100</f>
        <v>100</v>
      </c>
      <c r="G42" s="1905" t="s">
        <v>3733</v>
      </c>
      <c r="H42" s="386">
        <f>SUMIF(124:124,G42,125:125)-SUMIF(124:124,C42,125:125)+100</f>
        <v>100</v>
      </c>
      <c r="I42" s="1905" t="s">
        <v>3733</v>
      </c>
      <c r="J42" s="386">
        <f>SUMIF(124:124,I42,125:125)-SUMIF(124:124,C42,125:125)+100</f>
        <v>100</v>
      </c>
      <c r="K42" s="561">
        <v>2</v>
      </c>
      <c r="L42" s="2721"/>
      <c r="M42" s="2715"/>
      <c r="N42" s="2715"/>
      <c r="O42" s="2773"/>
      <c r="P42" s="3691" t="s">
        <v>1695</v>
      </c>
      <c r="Q42" s="1351" t="str">
        <f t="shared" si="14"/>
        <v>工程地质条件</v>
      </c>
      <c r="R42" s="705" t="s">
        <v>14</v>
      </c>
      <c r="S42" s="706">
        <f t="shared" si="10"/>
        <v>100</v>
      </c>
      <c r="T42" s="705" t="s">
        <v>14</v>
      </c>
      <c r="U42" s="706">
        <f t="shared" si="11"/>
        <v>100</v>
      </c>
      <c r="V42" s="705" t="s">
        <v>14</v>
      </c>
      <c r="W42" s="706">
        <f t="shared" si="12"/>
        <v>100</v>
      </c>
      <c r="X42" s="1354"/>
      <c r="Y42" s="3691"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1"/>
      <c r="Q43" s="1351">
        <f t="shared" si="14"/>
        <v>111</v>
      </c>
      <c r="R43" s="705" t="s">
        <v>14</v>
      </c>
      <c r="S43" s="706">
        <f t="shared" si="10"/>
        <v>100</v>
      </c>
      <c r="T43" s="705" t="s">
        <v>14</v>
      </c>
      <c r="U43" s="706">
        <f t="shared" si="11"/>
        <v>100</v>
      </c>
      <c r="V43" s="705" t="s">
        <v>14</v>
      </c>
      <c r="W43" s="706">
        <f t="shared" si="12"/>
        <v>100</v>
      </c>
      <c r="X43" s="1354"/>
      <c r="Y43" s="3691"/>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1"/>
      <c r="Q44" s="1351">
        <f t="shared" si="14"/>
        <v>111</v>
      </c>
      <c r="R44" s="705" t="s">
        <v>14</v>
      </c>
      <c r="S44" s="706">
        <f t="shared" si="10"/>
        <v>100</v>
      </c>
      <c r="T44" s="705" t="s">
        <v>14</v>
      </c>
      <c r="U44" s="706">
        <f t="shared" si="11"/>
        <v>100</v>
      </c>
      <c r="V44" s="705" t="s">
        <v>14</v>
      </c>
      <c r="W44" s="706">
        <f t="shared" si="12"/>
        <v>100</v>
      </c>
      <c r="X44" s="1354"/>
      <c r="Y44" s="3691"/>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1"/>
      <c r="Q45" s="1351">
        <f t="shared" si="14"/>
        <v>111</v>
      </c>
      <c r="R45" s="708" t="s">
        <v>14</v>
      </c>
      <c r="S45" s="709">
        <f t="shared" si="10"/>
        <v>100</v>
      </c>
      <c r="T45" s="708" t="s">
        <v>14</v>
      </c>
      <c r="U45" s="709">
        <f t="shared" si="11"/>
        <v>100</v>
      </c>
      <c r="V45" s="708" t="s">
        <v>14</v>
      </c>
      <c r="W45" s="709">
        <f t="shared" si="12"/>
        <v>100</v>
      </c>
      <c r="X45" s="710"/>
      <c r="Y45" s="3691"/>
      <c r="Z45" s="711">
        <f t="shared" si="13"/>
        <v>111</v>
      </c>
      <c r="AA45" s="1352">
        <f t="shared" si="3"/>
        <v>1</v>
      </c>
      <c r="AB45" s="1352">
        <f t="shared" si="4"/>
        <v>1</v>
      </c>
      <c r="AC45" s="1352">
        <f t="shared" si="5"/>
        <v>1</v>
      </c>
    </row>
    <row r="46" spans="1:29" ht="15">
      <c r="A46" s="430" t="s">
        <v>1843</v>
      </c>
      <c r="B46" s="1981" t="s">
        <v>1878</v>
      </c>
      <c r="C46" s="630" t="s">
        <v>0</v>
      </c>
      <c r="D46" s="432"/>
      <c r="E46" s="433">
        <f>案例!R2</f>
        <v>20691</v>
      </c>
      <c r="F46" s="434"/>
      <c r="G46" s="435">
        <f>案例!R3</f>
        <v>20797</v>
      </c>
      <c r="H46" s="436"/>
      <c r="I46" s="433">
        <f>案例!R18</f>
        <v>14931</v>
      </c>
      <c r="J46" s="436"/>
      <c r="K46" s="714"/>
      <c r="L46" s="2723"/>
      <c r="M46" s="2724"/>
      <c r="N46" s="2715"/>
      <c r="O46" s="2724"/>
      <c r="P46" s="3684" t="str">
        <f>A46</f>
        <v>成交单价</v>
      </c>
      <c r="Q46" s="3684"/>
      <c r="R46" s="3715">
        <f>E46</f>
        <v>20691</v>
      </c>
      <c r="S46" s="3715"/>
      <c r="T46" s="3715">
        <f>G46</f>
        <v>20797</v>
      </c>
      <c r="U46" s="3715"/>
      <c r="V46" s="3715">
        <f>I46</f>
        <v>14931</v>
      </c>
      <c r="W46" s="3715"/>
      <c r="X46" s="690"/>
      <c r="Y46" s="712"/>
      <c r="Z46" s="690"/>
      <c r="AA46" s="690"/>
      <c r="AB46" s="690"/>
      <c r="AC46" s="690"/>
    </row>
    <row r="47" spans="1:29" ht="15.75" thickBot="1">
      <c r="A47" s="437" t="s">
        <v>1792</v>
      </c>
      <c r="B47" s="631"/>
      <c r="C47" s="440">
        <f>R48</f>
        <v>15051</v>
      </c>
      <c r="D47" s="2316" t="s">
        <v>2136</v>
      </c>
      <c r="E47" s="440">
        <f>R47</f>
        <v>15997</v>
      </c>
      <c r="F47" s="2317"/>
      <c r="G47" s="439">
        <f>T47</f>
        <v>16079</v>
      </c>
      <c r="H47" s="2317"/>
      <c r="I47" s="440">
        <f>V47</f>
        <v>13078</v>
      </c>
      <c r="J47" s="2317"/>
      <c r="K47" s="2319">
        <f>F47+H47+J47</f>
        <v>0</v>
      </c>
      <c r="L47" s="2723"/>
      <c r="M47" s="2724"/>
      <c r="N47" s="2724"/>
      <c r="O47" s="2724"/>
      <c r="P47" s="3684" t="str">
        <f>A47</f>
        <v>比较价值（元/平方米）</v>
      </c>
      <c r="Q47" s="3684"/>
      <c r="R47" s="3744">
        <f>ROUND(PRODUCT(R46,AA7:AA45),0)</f>
        <v>15997</v>
      </c>
      <c r="S47" s="3744"/>
      <c r="T47" s="3744">
        <f>ROUND(PRODUCT(T46,AB7:AB45),0)</f>
        <v>16079</v>
      </c>
      <c r="U47" s="3744"/>
      <c r="V47" s="3744">
        <f>ROUND(PRODUCT(V46,AC7:AC45),0)</f>
        <v>13078</v>
      </c>
      <c r="W47" s="3744"/>
      <c r="X47" s="690"/>
      <c r="Y47" s="690"/>
      <c r="Z47" s="690"/>
      <c r="AA47" s="690"/>
      <c r="AB47" s="690"/>
      <c r="AC47" s="690"/>
    </row>
    <row r="48" spans="1:29" ht="15.75" thickBot="1">
      <c r="A48" s="441" t="s">
        <v>1879</v>
      </c>
      <c r="B48" s="442"/>
      <c r="C48" s="443">
        <f>R48</f>
        <v>15051</v>
      </c>
      <c r="D48" s="443"/>
      <c r="E48" s="443"/>
      <c r="F48" s="443"/>
      <c r="G48" s="443"/>
      <c r="H48" s="443"/>
      <c r="I48" s="443"/>
      <c r="J48" s="443"/>
      <c r="K48" s="715"/>
      <c r="L48" s="2723"/>
      <c r="M48" s="2724"/>
      <c r="N48" s="2724"/>
      <c r="O48" s="2724"/>
      <c r="P48" s="3681" t="str">
        <f>A48</f>
        <v>估价对象XX用房的比较价值（楼面单价，元/平方米）</v>
      </c>
      <c r="Q48" s="3682"/>
      <c r="R48" s="3745">
        <f>ROUND(IF(D47="简单平均",AVERAGE(R47:W47),R47*F47+T47*H47+V47*J47),0)</f>
        <v>15051</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0.29343001812839908</v>
      </c>
      <c r="F51" s="449" t="str">
        <f>IF(OR(E51&gt;=0.3,E51&lt;=-0.3),"超过30%","")</f>
        <v/>
      </c>
      <c r="G51" s="448">
        <f>IF(G46&lt;G47,G47/G46-1,G46/G47-1)</f>
        <v>0.29342620809751851</v>
      </c>
      <c r="H51" s="449" t="str">
        <f>IF(OR(G51&gt;=0.3,G51&lt;=-0.3),"超过30%","")</f>
        <v/>
      </c>
      <c r="I51" s="448">
        <f>IF(I46&lt;I47,I47/I46-1,I46/I47-1)</f>
        <v>0.1416883315491666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5.1259611177094655E-3</v>
      </c>
      <c r="F52" s="449" t="str">
        <f>IF(OR(E52&gt;=0.2,E52&lt;=-0.2),"超过20%","")</f>
        <v/>
      </c>
      <c r="G52" s="448">
        <f>IF(G47&lt;I47,I47/G47-1,G47/I47-1)</f>
        <v>0.22946933781923851</v>
      </c>
      <c r="H52" s="449" t="str">
        <f>IF(OR(G52&gt;=0.2,G52&lt;=-0.2),"超过20%","")</f>
        <v>超过20%</v>
      </c>
      <c r="I52" s="448">
        <f>IF(I47&lt;E47,E47/I47-1,I47/E47-1)</f>
        <v>0.22319926594280481</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5.1230003383113676E-3</v>
      </c>
      <c r="F53" s="449" t="str">
        <f>IF(OR(E53&gt;=0.3,E53&lt;=-0.3),"超过30%","")</f>
        <v/>
      </c>
      <c r="G53" s="448">
        <f>IF(G46&lt;I46,I46/G46-1,G46/I46-1)</f>
        <v>0.39287388654477251</v>
      </c>
      <c r="H53" s="449" t="str">
        <f>IF(OR(G53&gt;=0.3,G53&lt;=-0.3),"超过30%","")</f>
        <v>超过30%</v>
      </c>
      <c r="I53" s="448">
        <f>IF(I46&lt;E46,E46/I46-1,I46/E46-1)</f>
        <v>0.38577456298975288</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699" t="s">
        <v>1886</v>
      </c>
      <c r="H55" s="374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15051</v>
      </c>
      <c r="C56" s="638">
        <v>1</v>
      </c>
      <c r="D56" s="944">
        <v>1</v>
      </c>
      <c r="E56" s="638">
        <f>'数据-汇总表'!E8+'数据-汇总表'!E9</f>
        <v>78056.28</v>
      </c>
      <c r="F56" s="886">
        <f t="shared" ref="F56:F64" si="15">ROUND(B56*E56/10000,0)</f>
        <v>117483</v>
      </c>
      <c r="G56" s="3695"/>
      <c r="H56" s="368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f>ROUND($C$48*C57*D57,0)</f>
        <v>0</v>
      </c>
      <c r="C57" s="171">
        <f t="shared" ref="C57:C64" si="16">IF($C$55="北京市系数",I57,J57)</f>
        <v>0</v>
      </c>
      <c r="D57" s="945">
        <v>0.25</v>
      </c>
      <c r="E57" s="642"/>
      <c r="F57" s="886">
        <f t="shared" si="15"/>
        <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f t="shared" si="17"/>
        <v>941</v>
      </c>
      <c r="C60" s="171">
        <f t="shared" si="16"/>
        <v>0.25</v>
      </c>
      <c r="D60" s="945">
        <v>0.25</v>
      </c>
      <c r="E60" s="217">
        <f>'数据-汇总表'!E11</f>
        <v>32607.03</v>
      </c>
      <c r="F60" s="886">
        <f t="shared" si="15"/>
        <v>3068</v>
      </c>
      <c r="G60" s="1986" t="s">
        <v>1895</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f t="shared" si="17"/>
        <v>941</v>
      </c>
      <c r="C61" s="171">
        <f t="shared" si="16"/>
        <v>0.25</v>
      </c>
      <c r="D61" s="945">
        <v>0.25</v>
      </c>
      <c r="E61" s="217">
        <f>'数据-汇总表'!E12</f>
        <v>0</v>
      </c>
      <c r="F61" s="886">
        <f t="shared" si="15"/>
        <v>0</v>
      </c>
      <c r="G61" s="892" t="s">
        <v>1897</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f t="shared" si="17"/>
        <v>564</v>
      </c>
      <c r="C62" s="171">
        <f t="shared" si="16"/>
        <v>0.15</v>
      </c>
      <c r="D62" s="945">
        <v>0.25</v>
      </c>
      <c r="E62" s="217">
        <f>'数据-汇总表'!E13</f>
        <v>17089.22</v>
      </c>
      <c r="F62" s="886">
        <f t="shared" si="15"/>
        <v>964</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f t="shared" si="17"/>
        <v>0</v>
      </c>
      <c r="C63" s="171">
        <f t="shared" si="16"/>
        <v>0</v>
      </c>
      <c r="D63" s="945">
        <v>0.25</v>
      </c>
      <c r="E63" s="217">
        <f>'数据-汇总表'!E14</f>
        <v>0</v>
      </c>
      <c r="F63" s="886">
        <f t="shared" si="15"/>
        <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f t="shared" si="17"/>
        <v>564</v>
      </c>
      <c r="C64" s="171">
        <f t="shared" si="16"/>
        <v>0.15</v>
      </c>
      <c r="D64" s="945">
        <v>0.25</v>
      </c>
      <c r="E64" s="217">
        <f>'数据-汇总表'!E15</f>
        <v>0</v>
      </c>
      <c r="F64" s="886">
        <f t="shared" si="15"/>
        <v>0</v>
      </c>
      <c r="G64" s="1987" t="s">
        <v>1895</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127752.53</v>
      </c>
      <c r="F65" s="645">
        <f>IF(B46="楼面地价",SUM(F56:F64),ROUND(C48*E65/10000,0))</f>
        <v>121515</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3732</v>
      </c>
      <c r="B70" s="288" t="str">
        <f>"北京市平均增长率"&amp;TEXT(SUMIF(基准地价修正!N25:N29,A70,基准地价修正!P25:P29),"0.00%")</f>
        <v>北京市平均增长率0.00%</v>
      </c>
      <c r="C70" s="552">
        <v>100</v>
      </c>
      <c r="D70" s="544">
        <f>C70-0.3</f>
        <v>99.7</v>
      </c>
      <c r="E70" s="544">
        <f t="shared" ref="E70:O70" si="20">D70-0.3</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t="s">
        <v>3727</v>
      </c>
      <c r="D74" s="479" t="s">
        <v>3728</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95</v>
      </c>
      <c r="E94" s="493">
        <f>D94-$K21</f>
        <v>90</v>
      </c>
      <c r="F94" s="493">
        <f>E94-$K21</f>
        <v>85</v>
      </c>
      <c r="G94" s="493">
        <f>F94-$K21</f>
        <v>80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f>C116+20000</f>
        <v>20000</v>
      </c>
      <c r="E116" s="544">
        <f t="shared" ref="E116:H116" si="27">D116+20000</f>
        <v>40000</v>
      </c>
      <c r="F116" s="544">
        <f t="shared" si="27"/>
        <v>60000</v>
      </c>
      <c r="G116" s="544">
        <f t="shared" si="27"/>
        <v>80000</v>
      </c>
      <c r="H116" s="544">
        <f t="shared" si="27"/>
        <v>100000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C117+0.5</f>
        <v>100.5</v>
      </c>
      <c r="E117" s="540">
        <f t="shared" ref="E117:H117" si="28">D117+0.5</f>
        <v>101</v>
      </c>
      <c r="F117" s="540">
        <f t="shared" si="28"/>
        <v>101.5</v>
      </c>
      <c r="G117" s="540">
        <f t="shared" si="28"/>
        <v>102</v>
      </c>
      <c r="H117" s="540">
        <f t="shared" si="28"/>
        <v>102.5</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3466" t="s">
        <v>3738</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3467" t="s">
        <v>3740</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3467" t="s">
        <v>3741</v>
      </c>
      <c r="D122" s="3467" t="s">
        <v>3743</v>
      </c>
      <c r="E122" s="3467" t="s">
        <v>3745</v>
      </c>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1">C123-$K41</f>
        <v>99.5</v>
      </c>
      <c r="E123" s="493">
        <f t="shared" si="31"/>
        <v>99</v>
      </c>
      <c r="F123" s="493">
        <f t="shared" si="31"/>
        <v>98.5</v>
      </c>
      <c r="G123" s="493">
        <f t="shared" si="31"/>
        <v>98</v>
      </c>
      <c r="H123" s="493">
        <f t="shared" si="31"/>
        <v>97.5</v>
      </c>
      <c r="I123" s="493">
        <f t="shared" si="31"/>
        <v>97</v>
      </c>
      <c r="J123" s="493">
        <f t="shared" si="31"/>
        <v>96.5</v>
      </c>
      <c r="K123" s="493">
        <f t="shared" si="31"/>
        <v>96</v>
      </c>
      <c r="L123" s="493">
        <f t="shared" si="31"/>
        <v>95.5</v>
      </c>
      <c r="M123" s="494">
        <f t="shared" si="31"/>
        <v>95</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3467" t="s">
        <v>3746</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1" activeCellId="1" sqref="E26 H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9" t="s">
        <v>1769</v>
      </c>
      <c r="D4" s="3700"/>
      <c r="E4" s="3701" t="s">
        <v>1770</v>
      </c>
      <c r="F4" s="3702"/>
      <c r="G4" s="3699" t="s">
        <v>1771</v>
      </c>
      <c r="H4" s="3700"/>
      <c r="I4" s="3699" t="s">
        <v>1772</v>
      </c>
      <c r="J4" s="3700"/>
      <c r="K4" s="559" t="s">
        <v>1773</v>
      </c>
      <c r="L4" s="2714"/>
      <c r="M4" s="2715"/>
      <c r="N4" s="2715"/>
      <c r="O4" s="2715"/>
      <c r="P4" s="3703" t="s">
        <v>1774</v>
      </c>
      <c r="Q4" s="3704"/>
      <c r="R4" s="3709" t="s">
        <v>1770</v>
      </c>
      <c r="S4" s="3710"/>
      <c r="T4" s="3709" t="s">
        <v>1771</v>
      </c>
      <c r="U4" s="3710"/>
      <c r="V4" s="3715" t="s">
        <v>1772</v>
      </c>
      <c r="W4" s="3715"/>
      <c r="X4" s="1354"/>
      <c r="Y4" s="3709" t="s">
        <v>1774</v>
      </c>
      <c r="Z4" s="3710"/>
      <c r="AA4" s="3696" t="s">
        <v>1770</v>
      </c>
      <c r="AB4" s="3697" t="s">
        <v>1771</v>
      </c>
      <c r="AC4" s="3696" t="s">
        <v>1772</v>
      </c>
    </row>
    <row r="5" spans="1:29" ht="15">
      <c r="A5" s="358"/>
      <c r="B5" s="359"/>
      <c r="C5" s="3718" t="s">
        <v>1672</v>
      </c>
      <c r="D5" s="3719"/>
      <c r="E5" s="3725" t="s">
        <v>1673</v>
      </c>
      <c r="F5" s="3726"/>
      <c r="G5" s="3718" t="s">
        <v>1674</v>
      </c>
      <c r="H5" s="3719"/>
      <c r="I5" s="3718" t="s">
        <v>1675</v>
      </c>
      <c r="J5" s="3719"/>
      <c r="K5" s="559"/>
      <c r="L5" s="2714"/>
      <c r="M5" s="2715"/>
      <c r="N5" s="2715"/>
      <c r="O5" s="2715"/>
      <c r="P5" s="3705"/>
      <c r="Q5" s="3706"/>
      <c r="R5" s="3711"/>
      <c r="S5" s="3712"/>
      <c r="T5" s="3711"/>
      <c r="U5" s="3712"/>
      <c r="V5" s="3715"/>
      <c r="W5" s="3715"/>
      <c r="X5" s="1354"/>
      <c r="Y5" s="3711"/>
      <c r="Z5" s="3712"/>
      <c r="AA5" s="3697"/>
      <c r="AB5" s="3697"/>
      <c r="AC5" s="3697"/>
    </row>
    <row r="6" spans="1:29" ht="15.75" thickBot="1">
      <c r="A6" s="360"/>
      <c r="B6" s="361"/>
      <c r="C6" s="3747" t="s">
        <v>1917</v>
      </c>
      <c r="D6" s="3748"/>
      <c r="E6" s="3749" t="s">
        <v>1917</v>
      </c>
      <c r="F6" s="3750"/>
      <c r="G6" s="3747" t="s">
        <v>1917</v>
      </c>
      <c r="H6" s="3748"/>
      <c r="I6" s="3747" t="s">
        <v>1917</v>
      </c>
      <c r="J6" s="3748"/>
      <c r="K6" s="559" t="s">
        <v>1677</v>
      </c>
      <c r="L6" s="2714"/>
      <c r="M6" s="2715"/>
      <c r="N6" s="2715"/>
      <c r="O6" s="2715"/>
      <c r="P6" s="3707"/>
      <c r="Q6" s="3708"/>
      <c r="R6" s="3711"/>
      <c r="S6" s="3712"/>
      <c r="T6" s="3713"/>
      <c r="U6" s="3714"/>
      <c r="V6" s="3715"/>
      <c r="W6" s="3715"/>
      <c r="X6" s="1354"/>
      <c r="Y6" s="3713"/>
      <c r="Z6" s="3714"/>
      <c r="AA6" s="3698"/>
      <c r="AB6" s="3698"/>
      <c r="AC6" s="3698"/>
    </row>
    <row r="7" spans="1:29" s="108" customFormat="1" ht="15.75" thickBot="1">
      <c r="A7" s="362" t="s">
        <v>1678</v>
      </c>
      <c r="B7" s="363"/>
      <c r="C7" s="364">
        <f>'数据-取费表'!B2</f>
        <v>44929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0" t="s">
        <v>1679</v>
      </c>
      <c r="Q7" s="3722"/>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1682</v>
      </c>
      <c r="Q8" s="3721"/>
      <c r="R8" s="701" t="s">
        <v>14</v>
      </c>
      <c r="S8" s="702">
        <f t="shared" si="0"/>
        <v>0</v>
      </c>
      <c r="T8" s="701" t="s">
        <v>14</v>
      </c>
      <c r="U8" s="702">
        <f t="shared" si="1"/>
        <v>0</v>
      </c>
      <c r="V8" s="701" t="s">
        <v>14</v>
      </c>
      <c r="W8" s="702">
        <f t="shared" si="2"/>
        <v>0</v>
      </c>
      <c r="X8" s="703"/>
      <c r="Y8" s="3720" t="s">
        <v>1682</v>
      </c>
      <c r="Z8" s="3721"/>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4" t="s">
        <v>1685</v>
      </c>
      <c r="Q9" s="1342" t="str">
        <f t="shared" ref="Q9:Q15" si="6">B9</f>
        <v>用途</v>
      </c>
      <c r="R9" s="701" t="s">
        <v>14</v>
      </c>
      <c r="S9" s="702">
        <f t="shared" si="0"/>
        <v>100</v>
      </c>
      <c r="T9" s="701" t="s">
        <v>14</v>
      </c>
      <c r="U9" s="702">
        <f t="shared" si="1"/>
        <v>100</v>
      </c>
      <c r="V9" s="701" t="s">
        <v>14</v>
      </c>
      <c r="W9" s="702">
        <f t="shared" si="2"/>
        <v>100</v>
      </c>
      <c r="X9" s="703"/>
      <c r="Y9" s="355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684"/>
      <c r="Q10" s="1342" t="str">
        <f t="shared" si="6"/>
        <v>土地使用年限（年）</v>
      </c>
      <c r="R10" s="701" t="s">
        <v>14</v>
      </c>
      <c r="S10" s="702">
        <f t="shared" si="0"/>
        <v>104</v>
      </c>
      <c r="T10" s="701" t="s">
        <v>14</v>
      </c>
      <c r="U10" s="702">
        <f t="shared" si="1"/>
        <v>104</v>
      </c>
      <c r="V10" s="701" t="s">
        <v>14</v>
      </c>
      <c r="W10" s="702">
        <f t="shared" si="2"/>
        <v>104</v>
      </c>
      <c r="X10" s="703"/>
      <c r="Y10" s="3559"/>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4"/>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1689</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6" t="s">
        <v>1690</v>
      </c>
      <c r="Q15" s="1351" t="str">
        <f t="shared" si="6"/>
        <v>产业集聚程度</v>
      </c>
      <c r="R15" s="705" t="s">
        <v>14</v>
      </c>
      <c r="S15" s="706">
        <f t="shared" si="0"/>
        <v>100</v>
      </c>
      <c r="T15" s="705" t="s">
        <v>14</v>
      </c>
      <c r="U15" s="706">
        <f t="shared" si="1"/>
        <v>100</v>
      </c>
      <c r="V15" s="705" t="s">
        <v>14</v>
      </c>
      <c r="W15" s="706">
        <f t="shared" si="2"/>
        <v>100</v>
      </c>
      <c r="X15" s="1354"/>
      <c r="Y15" s="3686"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7"/>
      <c r="Q16" s="1351"/>
      <c r="R16" s="705"/>
      <c r="S16" s="706"/>
      <c r="T16" s="705"/>
      <c r="U16" s="706"/>
      <c r="V16" s="705"/>
      <c r="W16" s="706"/>
      <c r="X16" s="1354"/>
      <c r="Y16" s="3687"/>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7"/>
      <c r="Q18" s="1351"/>
      <c r="R18" s="705"/>
      <c r="S18" s="706"/>
      <c r="T18" s="705"/>
      <c r="U18" s="706"/>
      <c r="V18" s="705"/>
      <c r="W18" s="706"/>
      <c r="X18" s="1354"/>
      <c r="Y18" s="3687"/>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7"/>
      <c r="Q19" s="1351" t="str">
        <f t="shared" ref="Q19:Q33" si="8">B19</f>
        <v>区域土地利用方向</v>
      </c>
      <c r="R19" s="705" t="s">
        <v>14</v>
      </c>
      <c r="S19" s="706">
        <f>F19</f>
        <v>100</v>
      </c>
      <c r="T19" s="705" t="s">
        <v>14</v>
      </c>
      <c r="U19" s="706">
        <f>H19</f>
        <v>100</v>
      </c>
      <c r="V19" s="705" t="s">
        <v>14</v>
      </c>
      <c r="W19" s="706">
        <f>J19</f>
        <v>100</v>
      </c>
      <c r="X19" s="1354"/>
      <c r="Y19" s="368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87"/>
      <c r="Q20" s="1351"/>
      <c r="R20" s="705"/>
      <c r="S20" s="706"/>
      <c r="T20" s="705"/>
      <c r="U20" s="706"/>
      <c r="V20" s="705"/>
      <c r="W20" s="706"/>
      <c r="X20" s="1354"/>
      <c r="Y20" s="3687"/>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7"/>
      <c r="Q21" s="1351" t="str">
        <f t="shared" si="8"/>
        <v>环境状况</v>
      </c>
      <c r="R21" s="705" t="s">
        <v>14</v>
      </c>
      <c r="S21" s="706">
        <f>F21</f>
        <v>100</v>
      </c>
      <c r="T21" s="705" t="s">
        <v>14</v>
      </c>
      <c r="U21" s="706">
        <f>H21</f>
        <v>100</v>
      </c>
      <c r="V21" s="705" t="s">
        <v>14</v>
      </c>
      <c r="W21" s="706">
        <f>J21</f>
        <v>100</v>
      </c>
      <c r="X21" s="1354"/>
      <c r="Y21" s="368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7"/>
      <c r="Q22" s="1351"/>
      <c r="R22" s="705"/>
      <c r="S22" s="706"/>
      <c r="T22" s="705"/>
      <c r="U22" s="706"/>
      <c r="V22" s="705"/>
      <c r="W22" s="706"/>
      <c r="X22" s="1354"/>
      <c r="Y22" s="3687"/>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7"/>
      <c r="Q23" s="1342" t="str">
        <f t="shared" si="8"/>
        <v>公共配套设施</v>
      </c>
      <c r="R23" s="701" t="s">
        <v>14</v>
      </c>
      <c r="S23" s="702">
        <f>F23</f>
        <v>100</v>
      </c>
      <c r="T23" s="701" t="s">
        <v>14</v>
      </c>
      <c r="U23" s="702">
        <f>H23</f>
        <v>100</v>
      </c>
      <c r="V23" s="701" t="s">
        <v>14</v>
      </c>
      <c r="W23" s="702">
        <f>J23</f>
        <v>100</v>
      </c>
      <c r="X23" s="703"/>
      <c r="Y23" s="368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7"/>
      <c r="Q24" s="1342"/>
      <c r="R24" s="701"/>
      <c r="S24" s="702"/>
      <c r="T24" s="701"/>
      <c r="U24" s="702"/>
      <c r="V24" s="701"/>
      <c r="W24" s="702"/>
      <c r="X24" s="703"/>
      <c r="Y24" s="368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7"/>
      <c r="Q25" s="1342"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7"/>
      <c r="Q26" s="1342"/>
      <c r="R26" s="701"/>
      <c r="S26" s="702"/>
      <c r="T26" s="701"/>
      <c r="U26" s="702"/>
      <c r="V26" s="701"/>
      <c r="W26" s="702"/>
      <c r="X26" s="703"/>
      <c r="Y26" s="368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7"/>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7"/>
      <c r="Q28" s="1351" t="str">
        <f t="shared" si="8"/>
        <v>毗邻道路的类型与等级</v>
      </c>
      <c r="R28" s="705" t="s">
        <v>14</v>
      </c>
      <c r="S28" s="706">
        <f t="shared" si="10"/>
        <v>100</v>
      </c>
      <c r="T28" s="705" t="s">
        <v>14</v>
      </c>
      <c r="U28" s="706">
        <f t="shared" si="11"/>
        <v>100</v>
      </c>
      <c r="V28" s="705" t="s">
        <v>14</v>
      </c>
      <c r="W28" s="706">
        <f t="shared" si="12"/>
        <v>100</v>
      </c>
      <c r="X28" s="1354"/>
      <c r="Y28" s="368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7"/>
      <c r="Q29" s="1351"/>
      <c r="R29" s="705"/>
      <c r="S29" s="706"/>
      <c r="T29" s="705"/>
      <c r="U29" s="706"/>
      <c r="V29" s="705"/>
      <c r="W29" s="706"/>
      <c r="X29" s="1354"/>
      <c r="Y29" s="3687"/>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7"/>
      <c r="Q30" s="1351" t="str">
        <f t="shared" si="8"/>
        <v>土地级别</v>
      </c>
      <c r="R30" s="705" t="s">
        <v>14</v>
      </c>
      <c r="S30" s="706">
        <f t="shared" si="10"/>
        <v>100</v>
      </c>
      <c r="T30" s="705" t="s">
        <v>14</v>
      </c>
      <c r="U30" s="706">
        <f t="shared" si="11"/>
        <v>100</v>
      </c>
      <c r="V30" s="705" t="s">
        <v>14</v>
      </c>
      <c r="W30" s="706">
        <f t="shared" si="12"/>
        <v>100</v>
      </c>
      <c r="X30" s="1354"/>
      <c r="Y30" s="368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7"/>
      <c r="Q31" s="1351">
        <f t="shared" si="8"/>
        <v>111</v>
      </c>
      <c r="R31" s="705" t="s">
        <v>14</v>
      </c>
      <c r="S31" s="706">
        <f t="shared" si="10"/>
        <v>100</v>
      </c>
      <c r="T31" s="705" t="s">
        <v>14</v>
      </c>
      <c r="U31" s="706">
        <f t="shared" si="11"/>
        <v>100</v>
      </c>
      <c r="V31" s="705" t="s">
        <v>14</v>
      </c>
      <c r="W31" s="706">
        <f t="shared" si="12"/>
        <v>100</v>
      </c>
      <c r="X31" s="1354"/>
      <c r="Y31" s="368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1695</v>
      </c>
      <c r="Q32" s="1351">
        <f t="shared" si="8"/>
        <v>111</v>
      </c>
      <c r="R32" s="705" t="s">
        <v>14</v>
      </c>
      <c r="S32" s="706">
        <f t="shared" si="10"/>
        <v>100</v>
      </c>
      <c r="T32" s="705" t="s">
        <v>14</v>
      </c>
      <c r="U32" s="706">
        <f t="shared" si="11"/>
        <v>100</v>
      </c>
      <c r="V32" s="705" t="s">
        <v>14</v>
      </c>
      <c r="W32" s="706">
        <f t="shared" si="12"/>
        <v>100</v>
      </c>
      <c r="X32" s="1354"/>
      <c r="Y32" s="3691"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1"/>
      <c r="Q33" s="1351">
        <f t="shared" si="8"/>
        <v>111</v>
      </c>
      <c r="R33" s="708" t="s">
        <v>14</v>
      </c>
      <c r="S33" s="709">
        <f t="shared" si="10"/>
        <v>100</v>
      </c>
      <c r="T33" s="708" t="s">
        <v>14</v>
      </c>
      <c r="U33" s="709">
        <f t="shared" si="11"/>
        <v>100</v>
      </c>
      <c r="V33" s="708" t="s">
        <v>14</v>
      </c>
      <c r="W33" s="709">
        <f t="shared" si="12"/>
        <v>100</v>
      </c>
      <c r="X33" s="710"/>
      <c r="Y33" s="3691"/>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1"/>
      <c r="Q34" s="1351" t="str">
        <f>B34</f>
        <v>宗地面积</v>
      </c>
      <c r="R34" s="705" t="s">
        <v>14</v>
      </c>
      <c r="S34" s="706" t="e">
        <f t="shared" si="10"/>
        <v>#N/A</v>
      </c>
      <c r="T34" s="705" t="s">
        <v>14</v>
      </c>
      <c r="U34" s="706" t="e">
        <f t="shared" si="11"/>
        <v>#N/A</v>
      </c>
      <c r="V34" s="705" t="s">
        <v>14</v>
      </c>
      <c r="W34" s="706" t="e">
        <f t="shared" si="12"/>
        <v>#N/A</v>
      </c>
      <c r="X34" s="1354"/>
      <c r="Y34" s="3691"/>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1"/>
      <c r="Q35" s="1351" t="str">
        <f t="shared" ref="Q35:Q40" si="14">B35</f>
        <v>宗地形状</v>
      </c>
      <c r="R35" s="705" t="s">
        <v>14</v>
      </c>
      <c r="S35" s="706">
        <f t="shared" si="10"/>
        <v>100</v>
      </c>
      <c r="T35" s="705" t="s">
        <v>14</v>
      </c>
      <c r="U35" s="706">
        <f t="shared" si="11"/>
        <v>100</v>
      </c>
      <c r="V35" s="705" t="s">
        <v>14</v>
      </c>
      <c r="W35" s="706">
        <f t="shared" si="12"/>
        <v>100</v>
      </c>
      <c r="X35" s="1354"/>
      <c r="Y35" s="3691"/>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1"/>
      <c r="Q36" s="1351"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1" t="s">
        <v>1695</v>
      </c>
      <c r="Q37" s="1351" t="str">
        <f t="shared" si="14"/>
        <v>工程地质条件</v>
      </c>
      <c r="R37" s="705" t="s">
        <v>14</v>
      </c>
      <c r="S37" s="706">
        <f t="shared" si="10"/>
        <v>100</v>
      </c>
      <c r="T37" s="705" t="s">
        <v>14</v>
      </c>
      <c r="U37" s="706">
        <f t="shared" si="11"/>
        <v>100</v>
      </c>
      <c r="V37" s="705" t="s">
        <v>14</v>
      </c>
      <c r="W37" s="706">
        <f t="shared" si="12"/>
        <v>100</v>
      </c>
      <c r="X37" s="1354"/>
      <c r="Y37" s="3691"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1"/>
      <c r="Q38" s="1351">
        <f t="shared" si="14"/>
        <v>111</v>
      </c>
      <c r="R38" s="705" t="s">
        <v>14</v>
      </c>
      <c r="S38" s="706">
        <f t="shared" si="10"/>
        <v>100</v>
      </c>
      <c r="T38" s="705" t="s">
        <v>14</v>
      </c>
      <c r="U38" s="706">
        <f t="shared" si="11"/>
        <v>100</v>
      </c>
      <c r="V38" s="705" t="s">
        <v>14</v>
      </c>
      <c r="W38" s="706">
        <f t="shared" si="12"/>
        <v>100</v>
      </c>
      <c r="X38" s="1354"/>
      <c r="Y38" s="369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1"/>
      <c r="Q39" s="1351">
        <f t="shared" si="14"/>
        <v>111</v>
      </c>
      <c r="R39" s="705" t="s">
        <v>14</v>
      </c>
      <c r="S39" s="706">
        <f t="shared" si="10"/>
        <v>100</v>
      </c>
      <c r="T39" s="705" t="s">
        <v>14</v>
      </c>
      <c r="U39" s="706">
        <f t="shared" si="11"/>
        <v>100</v>
      </c>
      <c r="V39" s="705" t="s">
        <v>14</v>
      </c>
      <c r="W39" s="706">
        <f t="shared" si="12"/>
        <v>100</v>
      </c>
      <c r="X39" s="1354"/>
      <c r="Y39" s="369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1"/>
      <c r="Q40" s="1351">
        <f t="shared" si="14"/>
        <v>111</v>
      </c>
      <c r="R40" s="708" t="s">
        <v>14</v>
      </c>
      <c r="S40" s="709">
        <f t="shared" si="10"/>
        <v>100</v>
      </c>
      <c r="T40" s="708" t="s">
        <v>14</v>
      </c>
      <c r="U40" s="709">
        <f t="shared" si="11"/>
        <v>100</v>
      </c>
      <c r="V40" s="708" t="s">
        <v>14</v>
      </c>
      <c r="W40" s="709">
        <f t="shared" si="12"/>
        <v>100</v>
      </c>
      <c r="X40" s="710"/>
      <c r="Y40" s="3691"/>
      <c r="Z40" s="711">
        <f t="shared" si="13"/>
        <v>111</v>
      </c>
      <c r="AA40" s="1352">
        <f t="shared" si="3"/>
        <v>1</v>
      </c>
      <c r="AB40" s="1352">
        <f t="shared" si="4"/>
        <v>1</v>
      </c>
      <c r="AC40" s="1352">
        <f t="shared" si="5"/>
        <v>1</v>
      </c>
    </row>
    <row r="41" spans="1:31" ht="15">
      <c r="A41" s="430" t="s">
        <v>1843</v>
      </c>
      <c r="B41" s="1981" t="s">
        <v>1920</v>
      </c>
      <c r="C41" s="630" t="s">
        <v>0</v>
      </c>
      <c r="D41" s="432"/>
      <c r="E41" s="433"/>
      <c r="F41" s="434"/>
      <c r="G41" s="435"/>
      <c r="H41" s="436"/>
      <c r="I41" s="433"/>
      <c r="J41" s="436"/>
      <c r="K41" s="714"/>
      <c r="L41" s="2723"/>
      <c r="M41" s="2715"/>
      <c r="N41" s="2715"/>
      <c r="O41" s="2724"/>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699" t="s">
        <v>1886</v>
      </c>
      <c r="H50" s="3746"/>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78056.28</v>
      </c>
      <c r="F51" s="639" t="e">
        <f t="shared" ref="F51:F60" si="15">ROUND(B51*E51/10000,0)</f>
        <v>#DIV/0!</v>
      </c>
      <c r="G51" s="3695"/>
      <c r="H51" s="368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0.25</v>
      </c>
      <c r="D56" s="945">
        <v>0.25</v>
      </c>
      <c r="E56" s="217">
        <f>'数据-汇总表'!E11</f>
        <v>32607.03</v>
      </c>
      <c r="F56" s="639" t="e">
        <f t="shared" si="15"/>
        <v>#DIV/0!</v>
      </c>
      <c r="G56" s="1986" t="s">
        <v>1895</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17089.22</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0.15</v>
      </c>
      <c r="D60" s="945">
        <v>0.25</v>
      </c>
      <c r="E60" s="217">
        <f>'数据-汇总表'!E15</f>
        <v>0</v>
      </c>
      <c r="F60" s="639" t="e">
        <f t="shared" si="15"/>
        <v>#DIV/0!</v>
      </c>
      <c r="G60" s="1987" t="s">
        <v>1895</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41486.36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41" activeCellId="1" sqref="E26 H41"/>
      <selection pane="bottomLeft" activeCell="H41" activeCellId="1" sqref="E26 H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4" t="s">
        <v>2082</v>
      </c>
      <c r="D1" s="3755"/>
      <c r="E1" s="3755"/>
      <c r="F1" s="3755"/>
      <c r="G1" s="3755"/>
      <c r="H1" s="3755"/>
      <c r="I1" s="3755"/>
      <c r="J1" s="3755"/>
      <c r="K1" s="3755"/>
      <c r="L1" s="3755"/>
      <c r="M1" s="3755"/>
      <c r="N1" s="3755"/>
      <c r="O1" s="3755"/>
      <c r="P1" s="3755"/>
      <c r="Q1" s="3755"/>
      <c r="R1" s="3755"/>
      <c r="S1" s="375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41" activeCellId="1" sqref="E26 H4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68035</v>
      </c>
      <c r="C2" s="2144" t="s">
        <v>2072</v>
      </c>
      <c r="D2" s="2144" t="s">
        <v>2073</v>
      </c>
      <c r="E2" s="2611">
        <f ca="1">SUMIF(E6:E13,"&lt;&gt;#ref!",E6:E13)</f>
        <v>127752.53</v>
      </c>
      <c r="F2" s="2792"/>
      <c r="G2" s="2792"/>
      <c r="H2" s="2792"/>
      <c r="I2" s="2792"/>
      <c r="J2" s="2792"/>
      <c r="K2" s="2792"/>
      <c r="L2" s="2792"/>
      <c r="M2" s="2792"/>
      <c r="N2" s="2792"/>
      <c r="O2" s="2792"/>
      <c r="P2" s="2792"/>
    </row>
    <row r="3" spans="1:16" ht="15.75">
      <c r="A3" s="2144" t="s">
        <v>2074</v>
      </c>
      <c r="B3" s="2601">
        <f ca="1">ROUND(B2*10000/E2,0)</f>
        <v>5326</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68035</v>
      </c>
      <c r="C6" s="2144" t="s">
        <v>2072</v>
      </c>
      <c r="D6" s="2792"/>
      <c r="E6" s="2611">
        <f ca="1">SUMIF(INDIRECT("'"&amp;A6&amp;"'"&amp;"!C:C"),"建筑面积",INDIRECT("'"&amp;A6&amp;"'"&amp;"!D:D"))</f>
        <v>127752.53</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0" zoomScale="85" zoomScaleNormal="80" zoomScaleSheetLayoutView="85" workbookViewId="0">
      <selection activeCell="E68" sqref="E6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127752.53</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68035</v>
      </c>
      <c r="C2" s="1998" t="s">
        <v>1933</v>
      </c>
      <c r="D2" s="1999" t="s">
        <v>1934</v>
      </c>
      <c r="E2" s="3423" t="s">
        <v>21</v>
      </c>
      <c r="F2" s="1999" t="s">
        <v>1935</v>
      </c>
      <c r="G2" s="2000" t="str">
        <f>IF(E2="商业",项目基本情况!B37,IF(E2="办公",项目基本情况!C37,IF(E2="住宅",项目基本情况!D37,IF(E2="工业",项目基本情况!E37,项目基本情况!F37))))</f>
        <v>七级</v>
      </c>
      <c r="H2" s="1999" t="s">
        <v>1936</v>
      </c>
      <c r="I2" s="2000" t="str">
        <f>IF(E2="商业",项目基本情况!B38,IF(E2="办公",项目基本情况!C38,IF(E2="住宅",项目基本情况!D38,IF(E2="工业",项目基本情况!E38,项目基本情况!F38))))</f>
        <v>Ⅶ-昌2</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2">
        <f>ROUND(SUMPRODUCT((B106:B110=R2)*(C105:N105=G2)*(C106:N110)),4)</f>
        <v>1.5019</v>
      </c>
      <c r="T2" s="3362">
        <f t="shared" ref="T2:T16" si="0">ROUND($C$5*$C$22*$C$23*$C$24*S2*$C$28,0)</f>
        <v>11226</v>
      </c>
      <c r="U2" s="1212"/>
      <c r="V2" s="3362">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5326</v>
      </c>
      <c r="C3" s="1998" t="s">
        <v>1939</v>
      </c>
      <c r="D3" s="1999" t="s">
        <v>1940</v>
      </c>
      <c r="E3" s="3421" t="s">
        <v>2459</v>
      </c>
      <c r="F3" s="2003" t="s">
        <v>3403</v>
      </c>
      <c r="G3" s="752">
        <f>IF(F3="宗地容积率",'数据-汇总表'!I4,IF(F3="估价对象容积率",'数据-汇总表'!I6,'数据-汇总表'!I7))</f>
        <v>2.2000000000000002</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2">
        <f>ROUND(SUMPRODUCT((B106:B110=R3)*(C105:N105=G2)*(C106:N110)),4)</f>
        <v>1.1838</v>
      </c>
      <c r="T3" s="3362">
        <f t="shared" si="0"/>
        <v>8849</v>
      </c>
      <c r="U3" s="1212"/>
      <c r="V3" s="3362">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2">
        <f>ROUND(SUMPRODUCT((B106:B110=R4)*(C105:N105=G2)*(C106:N110)),4)</f>
        <v>1.0004999999999999</v>
      </c>
      <c r="T4" s="3362">
        <f t="shared" si="0"/>
        <v>7479</v>
      </c>
      <c r="U4" s="1212"/>
      <c r="V4" s="3362">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9004</v>
      </c>
      <c r="D5" s="1338">
        <f>ROUND(C6*C17+C20,0)</f>
        <v>9004</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2">
        <f>ROUND(SUMPRODUCT((B106:B110=R5)*(C105:N105=G2)*(C106:N110)),4)</f>
        <v>0.88239999999999996</v>
      </c>
      <c r="T5" s="3362">
        <f t="shared" si="0"/>
        <v>6596</v>
      </c>
      <c r="U5" s="1212"/>
      <c r="V5" s="3362">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9020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2">
        <f>ROUND(SUMPRODUCT((B106:B110=R6)*(C105:N105=G2)*(C106:N110)),4)</f>
        <v>0.84799999999999998</v>
      </c>
      <c r="T6" s="3362">
        <f t="shared" si="0"/>
        <v>6339</v>
      </c>
      <c r="U6" s="1212"/>
      <c r="V6" s="3362">
        <f t="shared" si="1"/>
        <v>0</v>
      </c>
      <c r="W6" s="1215"/>
      <c r="X6" s="1215"/>
      <c r="Y6" s="1215"/>
      <c r="Z6" s="1215"/>
      <c r="AA6" s="1215"/>
      <c r="AB6" s="1215"/>
      <c r="AC6" s="2010"/>
      <c r="AD6" s="2011"/>
      <c r="AE6" s="2011"/>
      <c r="AF6" s="2011"/>
      <c r="AG6" s="2011"/>
      <c r="AH6" s="2011"/>
      <c r="AI6" s="2011"/>
      <c r="AJ6" s="2012"/>
    </row>
    <row r="7" spans="1:36" ht="24.75" thickBot="1">
      <c r="A7" s="3304" t="s">
        <v>3244</v>
      </c>
      <c r="B7" s="2020" t="s">
        <v>1950</v>
      </c>
      <c r="C7" s="755">
        <f>IF(C8="不临65条商业街",1,ROUND(1+(1.6*E8+1.2*E9+0.8*E10+0.4*E11)*C9,4))</f>
        <v>1</v>
      </c>
      <c r="D7" s="2021" t="s">
        <v>1951</v>
      </c>
      <c r="E7" s="776"/>
      <c r="F7" s="2022"/>
      <c r="G7" s="2023"/>
      <c r="H7" s="2023"/>
      <c r="I7" s="2023"/>
      <c r="J7" s="2024"/>
      <c r="K7" s="1383"/>
      <c r="L7" s="2002" t="s">
        <v>1952</v>
      </c>
      <c r="M7" s="864">
        <f>SUMPRODUCT((区片价!B190:B233=I2)*(区片价!C3:G3=E2)*(区片价!C190:G233))</f>
        <v>9020</v>
      </c>
      <c r="N7" s="866">
        <f>SUMPRODUCT((因素修正幅度!B190:B233=I2)*(因素修正幅度!C3:G3=E2)*(因素修正幅度!C190:G233))</f>
        <v>0.126</v>
      </c>
      <c r="O7" s="1119"/>
      <c r="P7" s="1119"/>
      <c r="Q7" s="1119"/>
      <c r="R7" s="1211">
        <v>6</v>
      </c>
      <c r="S7" s="3420"/>
      <c r="T7" s="3362">
        <f t="shared" si="0"/>
        <v>0</v>
      </c>
      <c r="U7" s="1212"/>
      <c r="V7" s="3362">
        <f t="shared" si="1"/>
        <v>0</v>
      </c>
      <c r="W7" s="1357" t="s">
        <v>1953</v>
      </c>
      <c r="X7" s="1213" t="str">
        <f>G2</f>
        <v>七级</v>
      </c>
      <c r="Y7" s="1213" t="s">
        <v>1954</v>
      </c>
      <c r="Z7" s="1214">
        <f>G3</f>
        <v>2.2000000000000002</v>
      </c>
      <c r="AA7" s="1215"/>
      <c r="AB7" s="1215"/>
      <c r="AC7" s="1216"/>
      <c r="AD7" s="1217"/>
      <c r="AE7" s="1217"/>
      <c r="AF7" s="1217"/>
      <c r="AG7" s="1217"/>
      <c r="AH7" s="1217"/>
      <c r="AI7" s="1217"/>
      <c r="AJ7" s="1218"/>
    </row>
    <row r="8" spans="1:36" ht="25.5">
      <c r="A8" s="3299"/>
      <c r="B8" s="170" t="s">
        <v>1955</v>
      </c>
      <c r="C8" s="2025" t="s">
        <v>3404</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2">
        <f t="shared" si="0"/>
        <v>0</v>
      </c>
      <c r="U8" s="1212"/>
      <c r="V8" s="3362">
        <f t="shared" si="1"/>
        <v>0</v>
      </c>
      <c r="W8" s="3761" t="s">
        <v>1958</v>
      </c>
      <c r="X8" s="3762"/>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9"/>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62">
        <f t="shared" si="0"/>
        <v>0</v>
      </c>
      <c r="U9" s="1212"/>
      <c r="V9" s="3362">
        <f t="shared" si="1"/>
        <v>0</v>
      </c>
      <c r="W9" s="3763"/>
      <c r="X9" s="3363" t="s">
        <v>3275</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2">
        <f t="shared" si="0"/>
        <v>0</v>
      </c>
      <c r="U10" s="1212"/>
      <c r="V10" s="3362">
        <f t="shared" si="1"/>
        <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2">
        <f t="shared" si="0"/>
        <v>0</v>
      </c>
      <c r="U11" s="1212"/>
      <c r="V11" s="3362">
        <f t="shared" si="1"/>
        <v>0</v>
      </c>
      <c r="W11" s="1215"/>
      <c r="X11" s="1215"/>
      <c r="Y11" s="1215"/>
      <c r="Z11" s="1215"/>
      <c r="AA11" s="1215"/>
      <c r="AB11" s="1215"/>
      <c r="AC11" s="1216"/>
      <c r="AD11" s="2788"/>
      <c r="AE11" s="2788"/>
      <c r="AF11" s="2788"/>
      <c r="AG11" s="2788"/>
      <c r="AH11" s="2788"/>
      <c r="AI11" s="2788"/>
      <c r="AJ11" s="2789"/>
    </row>
    <row r="12" spans="1:36" ht="25.5" thickBot="1">
      <c r="A12" s="3304" t="s">
        <v>3245</v>
      </c>
      <c r="B12" s="3305" t="s">
        <v>3246</v>
      </c>
      <c r="C12" s="3306">
        <v>1</v>
      </c>
      <c r="D12" s="3307" t="s">
        <v>3247</v>
      </c>
      <c r="E12" s="3308" t="s">
        <v>3248</v>
      </c>
      <c r="F12" s="3309"/>
      <c r="G12" s="3310"/>
      <c r="H12" s="3310"/>
      <c r="I12" s="3310"/>
      <c r="J12" s="3311"/>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2">
        <f t="shared" si="0"/>
        <v>0</v>
      </c>
      <c r="U12" s="1212"/>
      <c r="V12" s="3362">
        <f t="shared" si="1"/>
        <v>0</v>
      </c>
      <c r="W12" s="1215"/>
      <c r="X12" s="1215"/>
      <c r="Y12" s="1215"/>
      <c r="Z12" s="1215"/>
      <c r="AA12" s="1215"/>
      <c r="AB12" s="1215"/>
      <c r="AC12" s="1216"/>
      <c r="AD12" s="2788"/>
      <c r="AE12" s="2788"/>
      <c r="AF12" s="2788"/>
      <c r="AG12" s="2788"/>
      <c r="AH12" s="2788"/>
      <c r="AI12" s="2788"/>
      <c r="AJ12" s="2789"/>
    </row>
    <row r="13" spans="1:36" ht="15.75" thickBot="1">
      <c r="A13" s="3304" t="s">
        <v>3249</v>
      </c>
      <c r="B13" s="2033" t="s">
        <v>1980</v>
      </c>
      <c r="C13" s="755">
        <f>ROUND(C16*D16*E16*F16*G16*H16*I16*J16,4)</f>
        <v>0</v>
      </c>
      <c r="D13" s="2034" t="s">
        <v>1981</v>
      </c>
      <c r="E13" s="2035"/>
      <c r="F13" s="2035"/>
      <c r="G13" s="2036"/>
      <c r="H13" s="2036"/>
      <c r="I13" s="2036"/>
      <c r="J13" s="2037"/>
      <c r="K13" s="1119"/>
      <c r="L13" s="3300"/>
      <c r="M13" s="3301"/>
      <c r="N13" s="3302"/>
      <c r="O13" s="1119"/>
      <c r="P13" s="1119"/>
      <c r="Q13" s="1119"/>
      <c r="R13" s="1211">
        <v>12</v>
      </c>
      <c r="S13" s="1212"/>
      <c r="T13" s="3362">
        <f t="shared" si="0"/>
        <v>0</v>
      </c>
      <c r="U13" s="1212"/>
      <c r="V13" s="3362">
        <f t="shared" si="1"/>
        <v>0</v>
      </c>
      <c r="W13" s="1215"/>
      <c r="X13" s="1215"/>
      <c r="Y13" s="1215"/>
      <c r="Z13" s="1215"/>
      <c r="AA13" s="1215"/>
      <c r="AB13" s="1215"/>
      <c r="AC13" s="1216"/>
      <c r="AD13" s="2788"/>
      <c r="AE13" s="2788"/>
      <c r="AF13" s="2788"/>
      <c r="AG13" s="2788"/>
      <c r="AH13" s="2788"/>
      <c r="AI13" s="2788"/>
      <c r="AJ13" s="2789"/>
    </row>
    <row r="14" spans="1:36" ht="15">
      <c r="A14" s="3298"/>
      <c r="B14" s="2039" t="s">
        <v>1983</v>
      </c>
      <c r="C14" s="2040" t="s">
        <v>1984</v>
      </c>
      <c r="D14" s="1349" t="s">
        <v>1985</v>
      </c>
      <c r="E14" s="27" t="s">
        <v>1986</v>
      </c>
      <c r="F14" s="3312" t="s">
        <v>3250</v>
      </c>
      <c r="G14" s="3312" t="s">
        <v>3250</v>
      </c>
      <c r="H14" s="3312" t="s">
        <v>3250</v>
      </c>
      <c r="I14" s="3312" t="s">
        <v>3250</v>
      </c>
      <c r="J14" s="3312" t="s">
        <v>3250</v>
      </c>
      <c r="K14" s="1119"/>
      <c r="L14" s="1119"/>
      <c r="M14" s="1119"/>
      <c r="N14" s="1119"/>
      <c r="O14" s="1119"/>
      <c r="P14" s="1119"/>
      <c r="Q14" s="1119"/>
      <c r="R14" s="1211">
        <v>13</v>
      </c>
      <c r="S14" s="1212"/>
      <c r="T14" s="3362">
        <f t="shared" si="0"/>
        <v>0</v>
      </c>
      <c r="U14" s="1212"/>
      <c r="V14" s="3362">
        <f t="shared" si="1"/>
        <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3251</v>
      </c>
      <c r="G15" s="3314"/>
      <c r="H15" s="3315"/>
      <c r="I15" s="3316"/>
      <c r="J15" s="3317"/>
      <c r="K15" s="1119"/>
      <c r="L15" s="1119"/>
      <c r="M15" s="1119"/>
      <c r="N15" s="1119"/>
      <c r="O15" s="1119"/>
      <c r="P15" s="1119"/>
      <c r="Q15" s="1119"/>
      <c r="R15" s="1211">
        <v>14</v>
      </c>
      <c r="S15" s="1212"/>
      <c r="T15" s="3362">
        <f t="shared" si="0"/>
        <v>0</v>
      </c>
      <c r="U15" s="1212"/>
      <c r="V15" s="3362">
        <f t="shared" si="1"/>
        <v>0</v>
      </c>
      <c r="W15" s="1215"/>
      <c r="X15" s="1215"/>
      <c r="Y15" s="1215"/>
      <c r="Z15" s="1215"/>
      <c r="AA15" s="1215"/>
      <c r="AB15" s="1215"/>
      <c r="AC15" s="1216"/>
      <c r="AD15" s="2788"/>
      <c r="AE15" s="2788"/>
      <c r="AF15" s="2788"/>
      <c r="AG15" s="2788"/>
      <c r="AH15" s="2788"/>
      <c r="AI15" s="2788"/>
      <c r="AJ15" s="2789"/>
    </row>
    <row r="16" spans="1:36" ht="15.75" thickBot="1">
      <c r="A16" s="3298"/>
      <c r="B16" s="3320" t="s">
        <v>1987</v>
      </c>
      <c r="C16" s="3318"/>
      <c r="D16" s="3318"/>
      <c r="E16" s="3318"/>
      <c r="F16" s="3318">
        <v>1</v>
      </c>
      <c r="G16" s="3318">
        <v>1</v>
      </c>
      <c r="H16" s="3318">
        <v>1</v>
      </c>
      <c r="I16" s="3318">
        <v>1</v>
      </c>
      <c r="J16" s="3319">
        <v>1</v>
      </c>
      <c r="K16" s="1119"/>
      <c r="L16" s="1996"/>
      <c r="M16" s="1996"/>
      <c r="N16" s="1996"/>
      <c r="O16" s="1996"/>
      <c r="P16" s="1996"/>
      <c r="Q16" s="1119"/>
      <c r="R16" s="1211">
        <v>15</v>
      </c>
      <c r="S16" s="1212"/>
      <c r="T16" s="3362">
        <f t="shared" si="0"/>
        <v>0</v>
      </c>
      <c r="U16" s="1212"/>
      <c r="V16" s="3362">
        <f t="shared" si="1"/>
        <v>0</v>
      </c>
      <c r="W16" s="1215"/>
      <c r="X16" s="1215"/>
      <c r="Y16" s="1215"/>
      <c r="Z16" s="1215"/>
      <c r="AA16" s="1215"/>
      <c r="AB16" s="1215"/>
      <c r="AC16" s="1216"/>
      <c r="AD16" s="2788"/>
      <c r="AE16" s="2788"/>
      <c r="AF16" s="2788"/>
      <c r="AG16" s="2788"/>
      <c r="AH16" s="2788"/>
      <c r="AI16" s="2788"/>
      <c r="AJ16" s="2789"/>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3255</v>
      </c>
      <c r="E18" s="3329"/>
      <c r="F18" s="3324" t="s">
        <v>3258</v>
      </c>
      <c r="G18" s="3328">
        <f>ROUND(1-(1/(POWER(1+G24,E18))),4)</f>
        <v>0</v>
      </c>
      <c r="H18" s="3324" t="s">
        <v>3260</v>
      </c>
      <c r="I18" s="3328">
        <f>ROUND(1-(1/(POWER(1+G24,J24))),4)</f>
        <v>0.93120000000000003</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3256</v>
      </c>
      <c r="E19" s="3338"/>
      <c r="F19" s="3339" t="s">
        <v>3259</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8" t="s">
        <v>3261</v>
      </c>
      <c r="B20" s="167" t="s">
        <v>1992</v>
      </c>
      <c r="C20" s="3325">
        <f>ROUND(IF(F21="与级别开发程度一致",0,(G21-E21)/C21),0)</f>
        <v>-16</v>
      </c>
      <c r="D20" s="3341" t="s">
        <v>1996</v>
      </c>
      <c r="E20" s="3342"/>
      <c r="F20" s="3774" t="s">
        <v>1993</v>
      </c>
      <c r="G20" s="3775"/>
      <c r="H20" s="3326" t="s">
        <v>3406</v>
      </c>
      <c r="I20" s="3326" t="s">
        <v>3407</v>
      </c>
      <c r="J20" s="3327" t="s">
        <v>3408</v>
      </c>
      <c r="K20" s="2046" t="s">
        <v>3409</v>
      </c>
      <c r="L20" s="2046" t="s">
        <v>3410</v>
      </c>
      <c r="M20" s="2046" t="s">
        <v>3411</v>
      </c>
      <c r="N20" s="2046" t="s">
        <v>3412</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9"/>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3405</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3" t="s">
        <v>2000</v>
      </c>
      <c r="E23" s="761">
        <v>44197</v>
      </c>
      <c r="F23" s="2053" t="s">
        <v>2001</v>
      </c>
      <c r="G23" s="762">
        <f>'数据-取费表'!B2</f>
        <v>44929</v>
      </c>
      <c r="H23" s="3343" t="s">
        <v>3263</v>
      </c>
      <c r="I23" s="3344" t="str">
        <f>IF(H23="季度增幅（自定义）",SUMIF(N25:N28,E2,O25:O28),"")</f>
        <v/>
      </c>
      <c r="J23" s="3345" t="s">
        <v>3262</v>
      </c>
      <c r="K23" s="1125"/>
      <c r="L23" s="2054" t="s">
        <v>2002</v>
      </c>
      <c r="M23" s="1327">
        <f>ROUND(SUMIF(地价!B2:G2,E2,地价!B16:G16),0)</f>
        <v>350</v>
      </c>
      <c r="N23" s="2055" t="s">
        <v>2003</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0.96430000000000005</v>
      </c>
      <c r="D24" s="2059" t="s">
        <v>2005</v>
      </c>
      <c r="E24" s="1334">
        <f>存贷款利率!E22/100</f>
        <v>4.3499999999999997E-2</v>
      </c>
      <c r="F24" s="2059" t="s">
        <v>1997</v>
      </c>
      <c r="G24" s="768">
        <f>SUMIF(M30:Q30,E2,M33:Q33)</f>
        <v>5.5E-2</v>
      </c>
      <c r="H24" s="2059" t="s">
        <v>2006</v>
      </c>
      <c r="I24" s="769">
        <f>SUMIF('数据-取费表'!C6:C15,E2,'数据-取费表'!F6:F15)/COUNTIF('数据-取费表'!C6:C15,E2)</f>
        <v>42.63</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1.0287999999999999</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6" t="s">
        <v>3264</v>
      </c>
      <c r="D26" s="1351">
        <f>IF(E26=G26,F26,IF(G3&lt;10,ROUND(F26+(H26-F26)*(G3-E26)/(G26-E26),4),"——"))</f>
        <v>1.0287999999999999</v>
      </c>
      <c r="E26" s="752">
        <f>ROUNDDOWN(G3,1)</f>
        <v>2.2000000000000002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1.0287999999999999</v>
      </c>
      <c r="G26" s="752">
        <f>ROUNDUP(G3,1)</f>
        <v>2.2000000000000002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1.0287999999999999</v>
      </c>
      <c r="I26" s="3346" t="s">
        <v>3265</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1.0619000000000001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68035</v>
      </c>
      <c r="D30" s="2082"/>
      <c r="E30" s="2045"/>
      <c r="F30" s="2083"/>
      <c r="G30" s="2045"/>
      <c r="H30" s="2045"/>
      <c r="I30" s="2045"/>
      <c r="J30" s="2084"/>
      <c r="K30" s="1119"/>
      <c r="L30" s="3352" t="s">
        <v>1934</v>
      </c>
      <c r="M30" s="3353" t="s">
        <v>1988</v>
      </c>
      <c r="N30" s="3353" t="s">
        <v>1989</v>
      </c>
      <c r="O30" s="3353" t="s">
        <v>1990</v>
      </c>
      <c r="P30" s="3353" t="s">
        <v>1991</v>
      </c>
      <c r="Q30" s="3356"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2001</v>
      </c>
      <c r="D31" s="2086"/>
      <c r="E31" s="2087"/>
      <c r="F31" s="2088"/>
      <c r="G31" s="2087"/>
      <c r="H31" s="2087"/>
      <c r="I31" s="2087"/>
      <c r="J31" s="2089"/>
      <c r="K31" s="1119"/>
      <c r="L31" s="3354" t="s">
        <v>1994</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5" t="s">
        <v>1997</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7690</v>
      </c>
      <c r="D33" s="2097">
        <f>'数据-汇总表'!F19</f>
        <v>78056.28</v>
      </c>
      <c r="E33" s="773">
        <f>ROUND(C33*D33/10000,0)</f>
        <v>60025</v>
      </c>
      <c r="F33" s="3347" t="s">
        <v>3267</v>
      </c>
      <c r="G33" s="2098"/>
      <c r="H33" s="2098"/>
      <c r="I33" s="2098"/>
      <c r="J33" s="2099"/>
      <c r="K33" s="1119"/>
      <c r="L33" s="3350" t="s">
        <v>3270</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1923</v>
      </c>
      <c r="D34" s="2102"/>
      <c r="E34" s="773">
        <f>ROUND(IF(B25="楼层修正",SUM(V2:V16)*M40,C34*D34/10000),0)</f>
        <v>0</v>
      </c>
      <c r="F34" s="2103" t="s">
        <v>2030</v>
      </c>
      <c r="G34" s="2104"/>
      <c r="H34" s="2104"/>
      <c r="I34" s="2104"/>
      <c r="J34" s="2105"/>
      <c r="K34" s="1119"/>
      <c r="L34" s="3350" t="s">
        <v>3271</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8" t="s">
        <v>3268</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8" t="s">
        <v>3272</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2"/>
      <c r="B37" s="2112" t="s">
        <v>2034</v>
      </c>
      <c r="C37" s="175">
        <f>ROUND(D5*C22*C23*C24*C28*F37,0)</f>
        <v>4485</v>
      </c>
      <c r="D37" s="2097"/>
      <c r="E37" s="171">
        <f>ROUND(C37*D37/10000,0)</f>
        <v>0</v>
      </c>
      <c r="F37" s="171">
        <f>SUMIF(修正!A57:A68,G2,修正!B57:B68)</f>
        <v>0.6</v>
      </c>
      <c r="G37" s="171">
        <f>ROUND(IF(E2="工业",C37*$M$42,C37*$M$41),0)</f>
        <v>1121</v>
      </c>
      <c r="H37" s="171">
        <f>D37</f>
        <v>0</v>
      </c>
      <c r="I37" s="171">
        <f>ROUND(G37*H37/10000,0)</f>
        <v>0</v>
      </c>
      <c r="J37" s="3011"/>
      <c r="K37" s="3360" t="s">
        <v>3273</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3"/>
      <c r="B38" s="2040" t="s">
        <v>2035</v>
      </c>
      <c r="C38" s="175">
        <f>ROUND(D5*C22*C23*C24*C28*F38,0)</f>
        <v>2242</v>
      </c>
      <c r="D38" s="2097"/>
      <c r="E38" s="171">
        <f t="shared" ref="E38:E42" si="4">ROUND(C38*D38/10000,0)</f>
        <v>0</v>
      </c>
      <c r="F38" s="171">
        <f>SUMIF(修正!A57:A68,G2,修正!C57:C68)</f>
        <v>0.3</v>
      </c>
      <c r="G38" s="171">
        <f>ROUND(IF(E2="工业",C38*$M$42,C38*$M$41),0)</f>
        <v>561</v>
      </c>
      <c r="H38" s="171">
        <f t="shared" ref="H38:H42" si="5">D38</f>
        <v>0</v>
      </c>
      <c r="I38" s="171">
        <f t="shared" ref="I38:I42" si="6">ROUND(G38*H38/10000,0)</f>
        <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73"/>
      <c r="B39" s="2040" t="s">
        <v>3266</v>
      </c>
      <c r="C39" s="175">
        <f>ROUND(D5*C22*C23*C24*C28*F39,0)</f>
        <v>1869</v>
      </c>
      <c r="D39" s="2097"/>
      <c r="E39" s="171">
        <f t="shared" si="4"/>
        <v>0</v>
      </c>
      <c r="F39" s="171">
        <f>SUMIF(修正!A57:A68,G2,修正!D57:D68)</f>
        <v>0.25</v>
      </c>
      <c r="G39" s="171">
        <f>ROUND(IF(E2="工业",C39*$M$42,C39*$M$41),0)</f>
        <v>467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1869</v>
      </c>
      <c r="D40" s="2097">
        <f>'数据-汇总表'!G19</f>
        <v>32607.03</v>
      </c>
      <c r="E40" s="171">
        <f t="shared" si="4"/>
        <v>6094</v>
      </c>
      <c r="F40" s="175">
        <f>SUMIF(修正!A57:A68,G2,修正!E57:E68)</f>
        <v>0.25</v>
      </c>
      <c r="G40" s="171">
        <f>ROUND(IF(E2="工业",C40*$M$42,C40*$M$41),0)</f>
        <v>467</v>
      </c>
      <c r="H40" s="171">
        <f t="shared" si="5"/>
        <v>32607.03</v>
      </c>
      <c r="I40" s="171">
        <f t="shared" si="6"/>
        <v>1523</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1869</v>
      </c>
      <c r="D41" s="2097"/>
      <c r="E41" s="171">
        <f t="shared" si="4"/>
        <v>0</v>
      </c>
      <c r="F41" s="175">
        <f>SUMIF(修正!A57:A68,G2,修正!F57:F68)</f>
        <v>0.25</v>
      </c>
      <c r="G41" s="171">
        <f>ROUND(IF(E2="工业",C41*$M$42,C41*$M$41),0)</f>
        <v>467</v>
      </c>
      <c r="H41" s="171">
        <f t="shared" si="5"/>
        <v>0</v>
      </c>
      <c r="I41" s="171">
        <f t="shared" si="6"/>
        <v>0</v>
      </c>
      <c r="J41" s="2113"/>
      <c r="L41" s="3361" t="s">
        <v>3274</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1121</v>
      </c>
      <c r="D42" s="2102">
        <f>'数据-汇总表'!G20</f>
        <v>17089.22</v>
      </c>
      <c r="E42" s="187">
        <f t="shared" si="4"/>
        <v>1916</v>
      </c>
      <c r="F42" s="767">
        <f>SUMIF(修正!A57:A68,G2,修正!G57:G68)</f>
        <v>0.15</v>
      </c>
      <c r="G42" s="187">
        <f>ROUND(IF(E2="工业",C42*$M$42,C42*$M$41),0)</f>
        <v>280</v>
      </c>
      <c r="H42" s="187">
        <f t="shared" si="5"/>
        <v>17089.22</v>
      </c>
      <c r="I42" s="187">
        <f t="shared" si="6"/>
        <v>478</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0.96430000000000005</v>
      </c>
      <c r="D44" s="171" t="s">
        <v>1997</v>
      </c>
      <c r="E44" s="2152">
        <f>G24</f>
        <v>5.5E-2</v>
      </c>
      <c r="F44" s="171" t="s">
        <v>2006</v>
      </c>
      <c r="G44" s="183">
        <f>I24</f>
        <v>42.63</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3276</v>
      </c>
      <c r="B52" s="2133">
        <f>估价对象房地状况!C19</f>
        <v>0</v>
      </c>
      <c r="C52" s="2043"/>
      <c r="D52" s="1065">
        <f t="shared" si="7"/>
        <v>0</v>
      </c>
      <c r="E52" s="745"/>
      <c r="F52" s="1813"/>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1.0619000000000001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3733</v>
      </c>
      <c r="D61" s="1065">
        <f t="shared" ref="D61:D69" si="12">SUMIF($J$60:$N$60,C61,J61:N61)</f>
        <v>1.5699999999999999E-2</v>
      </c>
      <c r="E61" s="744">
        <f>ROUND(SUM(D61:D69),4)</f>
        <v>6.1899999999999997E-2</v>
      </c>
      <c r="F61" s="1813">
        <f>IF(E2="办公",SUMIF(L1:L12,G2,N1:N12),"——")</f>
        <v>0.126</v>
      </c>
      <c r="G61" s="1063">
        <v>1.5699999999999999E-2</v>
      </c>
      <c r="H61" s="1066">
        <f t="shared" ref="H61:H69" si="13">IFERROR(ROUNDDOWN($F$61*I61/2,4),"——")</f>
        <v>1.5699999999999999E-2</v>
      </c>
      <c r="I61" s="3368">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3733</v>
      </c>
      <c r="D62" s="1065">
        <f t="shared" si="12"/>
        <v>1.6299999999999999E-2</v>
      </c>
      <c r="E62" s="745"/>
      <c r="F62" s="1813"/>
      <c r="G62" s="1063">
        <v>1.6299999999999999E-2</v>
      </c>
      <c r="H62" s="1066">
        <f t="shared" si="13"/>
        <v>1.6299999999999999E-2</v>
      </c>
      <c r="I62" s="3368">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70" t="s">
        <v>3276</v>
      </c>
      <c r="B63" s="2133">
        <f>估价对象房地状况!C19</f>
        <v>0</v>
      </c>
      <c r="C63" s="2043" t="s">
        <v>3733</v>
      </c>
      <c r="D63" s="1065">
        <f t="shared" si="12"/>
        <v>6.8999999999999999E-3</v>
      </c>
      <c r="E63" s="745"/>
      <c r="F63" s="1813"/>
      <c r="G63" s="1063">
        <v>6.8999999999999999E-3</v>
      </c>
      <c r="H63" s="1066">
        <f t="shared" si="13"/>
        <v>6.8999999999999999E-3</v>
      </c>
      <c r="I63" s="3368">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29" t="s">
        <v>2052</v>
      </c>
      <c r="B64" s="2134" t="s">
        <v>2053</v>
      </c>
      <c r="C64" s="2043" t="s">
        <v>3734</v>
      </c>
      <c r="D64" s="1065">
        <f t="shared" si="12"/>
        <v>0</v>
      </c>
      <c r="E64" s="745"/>
      <c r="F64" s="1813"/>
      <c r="G64" s="1063">
        <v>3.0999999999999999E-3</v>
      </c>
      <c r="H64" s="1066">
        <f t="shared" si="13"/>
        <v>3.0999999999999999E-3</v>
      </c>
      <c r="I64" s="3368">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3734</v>
      </c>
      <c r="D65" s="1065">
        <f t="shared" si="12"/>
        <v>0</v>
      </c>
      <c r="E65" s="745"/>
      <c r="F65" s="1813"/>
      <c r="G65" s="1063">
        <v>3.0999999999999999E-3</v>
      </c>
      <c r="H65" s="1066">
        <f t="shared" si="13"/>
        <v>3.0999999999999999E-3</v>
      </c>
      <c r="I65" s="3368">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29" t="s">
        <v>2055</v>
      </c>
      <c r="B66" s="2135" t="s">
        <v>2056</v>
      </c>
      <c r="C66" s="2043" t="s">
        <v>3733</v>
      </c>
      <c r="D66" s="1065">
        <f t="shared" si="12"/>
        <v>3.7000000000000002E-3</v>
      </c>
      <c r="E66" s="745"/>
      <c r="F66" s="1813"/>
      <c r="G66" s="1063">
        <v>3.7000000000000002E-3</v>
      </c>
      <c r="H66" s="1066">
        <f t="shared" si="13"/>
        <v>3.7000000000000002E-3</v>
      </c>
      <c r="I66" s="3368">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t="s">
        <v>3733</v>
      </c>
      <c r="D67" s="1065">
        <f t="shared" si="12"/>
        <v>3.7000000000000002E-3</v>
      </c>
      <c r="E67" s="745"/>
      <c r="F67" s="1813"/>
      <c r="G67" s="1063">
        <v>3.7000000000000002E-3</v>
      </c>
      <c r="H67" s="1066">
        <f t="shared" si="13"/>
        <v>3.7000000000000002E-3</v>
      </c>
      <c r="I67" s="3368">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t="s">
        <v>3735</v>
      </c>
      <c r="D68" s="1065">
        <f t="shared" si="12"/>
        <v>1.12E-2</v>
      </c>
      <c r="E68" s="745"/>
      <c r="F68" s="1813"/>
      <c r="G68" s="1063">
        <v>5.5999999999999999E-3</v>
      </c>
      <c r="H68" s="1066">
        <f t="shared" si="13"/>
        <v>5.5999999999999999E-3</v>
      </c>
      <c r="I68" s="3368">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3733</v>
      </c>
      <c r="D69" s="1065">
        <f t="shared" si="12"/>
        <v>4.4000000000000003E-3</v>
      </c>
      <c r="E69" s="746"/>
      <c r="F69" s="1813"/>
      <c r="G69" s="1063">
        <v>4.4000000000000003E-3</v>
      </c>
      <c r="H69" s="1066">
        <f t="shared" si="13"/>
        <v>4.4000000000000003E-3</v>
      </c>
      <c r="I69" s="3369">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3276</v>
      </c>
      <c r="B74" s="2133">
        <f>估价对象房地状况!C19</f>
        <v>0</v>
      </c>
      <c r="C74" s="2043"/>
      <c r="D74" s="1065">
        <f t="shared" si="17"/>
        <v>0</v>
      </c>
      <c r="E74" s="747"/>
      <c r="F74" s="1813"/>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3277</v>
      </c>
      <c r="B85" s="2133">
        <f>估价对象房地状况!G17</f>
        <v>0</v>
      </c>
      <c r="C85" s="2043"/>
      <c r="D85" s="1065">
        <f t="shared" si="22"/>
        <v>0</v>
      </c>
      <c r="E85" s="747"/>
      <c r="F85" s="1813"/>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3"/>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c r="D87" s="1065">
        <f t="shared" si="22"/>
        <v>0</v>
      </c>
      <c r="E87" s="747"/>
      <c r="F87" s="1813"/>
      <c r="G87" s="1063"/>
      <c r="H87" s="1066" t="str">
        <f t="shared" si="23"/>
        <v>——</v>
      </c>
      <c r="I87" s="3368">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c r="D88" s="1065">
        <f t="shared" si="22"/>
        <v>0</v>
      </c>
      <c r="E88" s="747"/>
      <c r="F88" s="1813"/>
      <c r="G88" s="1063"/>
      <c r="H88" s="1066" t="str">
        <f t="shared" si="23"/>
        <v>——</v>
      </c>
      <c r="I88" s="3368">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3"/>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3"/>
      <c r="G90" s="1063"/>
      <c r="H90" s="1066" t="str">
        <f t="shared" si="23"/>
        <v>——</v>
      </c>
      <c r="I90" s="3369">
        <v>0.05</v>
      </c>
      <c r="J90" s="1064">
        <f t="shared" si="24"/>
        <v>0</v>
      </c>
      <c r="K90" s="1064">
        <f t="shared" si="25"/>
        <v>0</v>
      </c>
      <c r="L90" s="1064">
        <v>0</v>
      </c>
      <c r="M90" s="1064">
        <f t="shared" si="26"/>
        <v>0</v>
      </c>
      <c r="N90" s="1064">
        <f t="shared" si="26"/>
        <v>0</v>
      </c>
    </row>
    <row r="91" spans="1:37" ht="15">
      <c r="A91" s="3378" t="s">
        <v>2613</v>
      </c>
      <c r="B91" s="3379">
        <f>1+E93</f>
        <v>1</v>
      </c>
      <c r="C91" s="3372"/>
      <c r="D91" s="3373"/>
      <c r="E91" s="1813"/>
      <c r="F91" s="1813"/>
      <c r="G91" s="3374"/>
      <c r="H91" s="3375"/>
      <c r="I91" s="3376"/>
      <c r="J91" s="3377"/>
      <c r="K91" s="3377"/>
      <c r="L91" s="3377"/>
      <c r="M91" s="3377"/>
      <c r="N91" s="3377"/>
    </row>
    <row r="92" spans="1:37" ht="24.75">
      <c r="A92" s="3380" t="s">
        <v>3278</v>
      </c>
      <c r="B92" s="3367"/>
      <c r="C92" s="3367" t="s">
        <v>3287</v>
      </c>
      <c r="D92" s="3367" t="s">
        <v>3288</v>
      </c>
      <c r="E92" s="3349" t="s">
        <v>3289</v>
      </c>
      <c r="F92" s="3382" t="s">
        <v>3290</v>
      </c>
      <c r="G92" s="3367" t="s">
        <v>3291</v>
      </c>
      <c r="H92" s="3389" t="s">
        <v>3294</v>
      </c>
      <c r="I92" s="3367" t="s">
        <v>3295</v>
      </c>
      <c r="J92" s="3390" t="s">
        <v>3296</v>
      </c>
      <c r="K92" s="3390" t="s">
        <v>3297</v>
      </c>
      <c r="L92" s="3390" t="s">
        <v>3298</v>
      </c>
      <c r="M92" s="3390" t="s">
        <v>3299</v>
      </c>
      <c r="N92" s="3390" t="s">
        <v>3300</v>
      </c>
    </row>
    <row r="93" spans="1:37" ht="24">
      <c r="A93" s="3370" t="s">
        <v>3279</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3280</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3276</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3281</v>
      </c>
      <c r="B96" s="3386" t="s">
        <v>3292</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3282</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3283</v>
      </c>
      <c r="B98" s="3387" t="s">
        <v>3293</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3284</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3285</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3286</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3301</v>
      </c>
      <c r="B103" s="3770"/>
      <c r="C103" s="3770"/>
      <c r="D103" s="3770"/>
      <c r="E103" s="3770"/>
      <c r="F103" s="3770"/>
      <c r="G103" s="3770"/>
      <c r="H103" s="3770"/>
      <c r="I103" s="3770"/>
      <c r="J103" s="3770"/>
      <c r="K103" s="3391"/>
      <c r="L103" s="3391"/>
      <c r="M103" s="3391"/>
      <c r="N103" s="3391"/>
    </row>
    <row r="104" spans="1:14">
      <c r="A104" s="3771" t="s">
        <v>3302</v>
      </c>
      <c r="B104" s="3771" t="s">
        <v>3303</v>
      </c>
      <c r="C104" s="3392" t="s">
        <v>3304</v>
      </c>
      <c r="D104" s="3393"/>
      <c r="E104" s="3393"/>
      <c r="F104" s="3393"/>
      <c r="G104" s="3393"/>
      <c r="H104" s="3393"/>
      <c r="I104" s="3393"/>
      <c r="J104" s="3394"/>
      <c r="K104" s="3395"/>
      <c r="L104" s="3395"/>
      <c r="M104" s="3395"/>
      <c r="N104" s="3395"/>
    </row>
    <row r="105" spans="1:14">
      <c r="A105" s="3771"/>
      <c r="B105" s="3771"/>
      <c r="C105" s="3396" t="s">
        <v>3305</v>
      </c>
      <c r="D105" s="3396" t="s">
        <v>3306</v>
      </c>
      <c r="E105" s="3396" t="s">
        <v>3307</v>
      </c>
      <c r="F105" s="3396" t="s">
        <v>3308</v>
      </c>
      <c r="G105" s="3396" t="s">
        <v>3309</v>
      </c>
      <c r="H105" s="3396" t="s">
        <v>3310</v>
      </c>
      <c r="I105" s="3396" t="s">
        <v>3311</v>
      </c>
      <c r="J105" s="3396" t="s">
        <v>3312</v>
      </c>
      <c r="K105" s="3396" t="s">
        <v>3313</v>
      </c>
      <c r="L105" s="3396" t="s">
        <v>3314</v>
      </c>
      <c r="M105" s="3396" t="s">
        <v>3315</v>
      </c>
      <c r="N105" s="3396" t="s">
        <v>3316</v>
      </c>
    </row>
    <row r="106" spans="1:14">
      <c r="A106" s="3757" t="s">
        <v>3317</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3275</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3318</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3319</v>
      </c>
      <c r="B116" s="3417">
        <f>G3</f>
        <v>2.2000000000000002</v>
      </c>
      <c r="C116" s="3401" t="s">
        <v>3320</v>
      </c>
      <c r="D116" s="3402">
        <f>SUMPRODUCT((A118:A122=F116)*(B117:M117=H116)*B118:M122)</f>
        <v>0.9103</v>
      </c>
      <c r="E116" s="1999" t="s">
        <v>3321</v>
      </c>
      <c r="F116" s="3403" t="str">
        <f>E2</f>
        <v>办公</v>
      </c>
      <c r="G116" s="1999" t="s">
        <v>3322</v>
      </c>
      <c r="H116" s="3403" t="str">
        <f>G2</f>
        <v>七级</v>
      </c>
      <c r="I116" s="1999"/>
      <c r="J116" s="3404"/>
      <c r="K116" s="3404"/>
      <c r="L116" s="3404"/>
      <c r="M116" s="3404"/>
      <c r="N116" s="3399"/>
    </row>
    <row r="117" spans="1:14">
      <c r="A117" s="3405"/>
      <c r="B117" s="3406" t="s">
        <v>3323</v>
      </c>
      <c r="C117" s="3406" t="s">
        <v>3324</v>
      </c>
      <c r="D117" s="3406" t="s">
        <v>3325</v>
      </c>
      <c r="E117" s="3407" t="s">
        <v>3326</v>
      </c>
      <c r="F117" s="3407" t="s">
        <v>3327</v>
      </c>
      <c r="G117" s="3407" t="s">
        <v>3328</v>
      </c>
      <c r="H117" s="3408" t="s">
        <v>3329</v>
      </c>
      <c r="I117" s="3408" t="s">
        <v>3330</v>
      </c>
      <c r="J117" s="3409" t="s">
        <v>3331</v>
      </c>
      <c r="K117" s="3409" t="s">
        <v>3332</v>
      </c>
      <c r="L117" s="3409" t="s">
        <v>3333</v>
      </c>
      <c r="M117" s="3410" t="s">
        <v>3334</v>
      </c>
      <c r="N117" s="3399"/>
    </row>
    <row r="118" spans="1:14">
      <c r="A118" s="3411" t="s">
        <v>3335</v>
      </c>
      <c r="B118" s="3389">
        <f>ROUND(0.9968-0.011*B116,4)</f>
        <v>0.97260000000000002</v>
      </c>
      <c r="C118" s="3389">
        <f>B118</f>
        <v>0.97260000000000002</v>
      </c>
      <c r="D118" s="3389">
        <f>ROUND(0.949-0.014*B116,4)</f>
        <v>0.91820000000000002</v>
      </c>
      <c r="E118" s="3389">
        <f>D118</f>
        <v>0.91820000000000002</v>
      </c>
      <c r="F118" s="3389">
        <f>E118</f>
        <v>0.91820000000000002</v>
      </c>
      <c r="G118" s="3389">
        <f>F118</f>
        <v>0.91820000000000002</v>
      </c>
      <c r="H118" s="3389">
        <f>G118</f>
        <v>0.91820000000000002</v>
      </c>
      <c r="I118" s="3389">
        <f>ROUND(0.8486-0.018*B116,4)</f>
        <v>0.80900000000000005</v>
      </c>
      <c r="J118" s="3389">
        <f t="shared" ref="J118:M122" si="35">I118</f>
        <v>0.80900000000000005</v>
      </c>
      <c r="K118" s="3389">
        <f t="shared" si="35"/>
        <v>0.80900000000000005</v>
      </c>
      <c r="L118" s="3389">
        <f t="shared" si="35"/>
        <v>0.80900000000000005</v>
      </c>
      <c r="M118" s="3412">
        <f t="shared" si="35"/>
        <v>0.80900000000000005</v>
      </c>
      <c r="N118" s="3399"/>
    </row>
    <row r="119" spans="1:14">
      <c r="A119" s="3411" t="s">
        <v>3336</v>
      </c>
      <c r="B119" s="3389">
        <f>ROUND(0.993-0.0112*B116,4)</f>
        <v>0.96840000000000004</v>
      </c>
      <c r="C119" s="3389">
        <f>B119</f>
        <v>0.96840000000000004</v>
      </c>
      <c r="D119" s="3389">
        <f>ROUND(0.9415-0.0142*B116,4)</f>
        <v>0.9103</v>
      </c>
      <c r="E119" s="3389">
        <f t="shared" ref="E119:H120" si="36">D119</f>
        <v>0.9103</v>
      </c>
      <c r="F119" s="3389">
        <f t="shared" si="36"/>
        <v>0.9103</v>
      </c>
      <c r="G119" s="3389">
        <f t="shared" si="36"/>
        <v>0.9103</v>
      </c>
      <c r="H119" s="3389">
        <f t="shared" si="36"/>
        <v>0.9103</v>
      </c>
      <c r="I119" s="3389">
        <f>ROUND(0.838-0.0182*B116,4)</f>
        <v>0.79800000000000004</v>
      </c>
      <c r="J119" s="3389">
        <f t="shared" si="35"/>
        <v>0.79800000000000004</v>
      </c>
      <c r="K119" s="3389">
        <f t="shared" si="35"/>
        <v>0.79800000000000004</v>
      </c>
      <c r="L119" s="3389">
        <f t="shared" si="35"/>
        <v>0.79800000000000004</v>
      </c>
      <c r="M119" s="3412">
        <f t="shared" si="35"/>
        <v>0.79800000000000004</v>
      </c>
      <c r="N119" s="3399"/>
    </row>
    <row r="120" spans="1:14">
      <c r="A120" s="3411" t="s">
        <v>3337</v>
      </c>
      <c r="B120" s="3389">
        <f>ROUND(0.9448-0.0115*B116,4)</f>
        <v>0.91949999999999998</v>
      </c>
      <c r="C120" s="3389">
        <f>B120</f>
        <v>0.91949999999999998</v>
      </c>
      <c r="D120" s="3389">
        <f>ROUND(0.937-0.0145*B116,4)</f>
        <v>0.90510000000000002</v>
      </c>
      <c r="E120" s="3389">
        <f t="shared" si="36"/>
        <v>0.90510000000000002</v>
      </c>
      <c r="F120" s="3389">
        <f t="shared" si="36"/>
        <v>0.90510000000000002</v>
      </c>
      <c r="G120" s="3389">
        <f t="shared" si="36"/>
        <v>0.90510000000000002</v>
      </c>
      <c r="H120" s="3389">
        <f t="shared" si="36"/>
        <v>0.90510000000000002</v>
      </c>
      <c r="I120" s="3389">
        <f>ROUND(0.7965-0.0185*B116,4)</f>
        <v>0.75580000000000003</v>
      </c>
      <c r="J120" s="3389">
        <f t="shared" si="35"/>
        <v>0.75580000000000003</v>
      </c>
      <c r="K120" s="3389">
        <f t="shared" si="35"/>
        <v>0.75580000000000003</v>
      </c>
      <c r="L120" s="3389">
        <f t="shared" si="35"/>
        <v>0.75580000000000003</v>
      </c>
      <c r="M120" s="3412">
        <f t="shared" si="35"/>
        <v>0.75580000000000003</v>
      </c>
      <c r="N120" s="3399"/>
    </row>
    <row r="121" spans="1:14" ht="13.5" thickBot="1">
      <c r="A121" s="3413" t="s">
        <v>3338</v>
      </c>
      <c r="B121" s="3414">
        <f>ROUND(0.7836-0.012*B116,4)</f>
        <v>0.75719999999999998</v>
      </c>
      <c r="C121" s="3414">
        <f>B121</f>
        <v>0.75719999999999998</v>
      </c>
      <c r="D121" s="3414">
        <f>ROUND(0.753-0.015*B116,4)</f>
        <v>0.72</v>
      </c>
      <c r="E121" s="3414">
        <f>D121</f>
        <v>0.72</v>
      </c>
      <c r="F121" s="3414">
        <f>E121</f>
        <v>0.72</v>
      </c>
      <c r="G121" s="3414">
        <f>ROUND(0.6612-0.018*B116,4)</f>
        <v>0.62160000000000004</v>
      </c>
      <c r="H121" s="3414">
        <f>G121</f>
        <v>0.62160000000000004</v>
      </c>
      <c r="I121" s="3414">
        <f>ROUND(0.5905-0.019*B116,4)</f>
        <v>0.54869999999999997</v>
      </c>
      <c r="J121" s="3414">
        <f t="shared" si="35"/>
        <v>0.54869999999999997</v>
      </c>
      <c r="K121" s="3414">
        <f t="shared" si="35"/>
        <v>0.54869999999999997</v>
      </c>
      <c r="L121" s="3414">
        <f t="shared" si="35"/>
        <v>0.54869999999999997</v>
      </c>
      <c r="M121" s="3415">
        <f t="shared" si="35"/>
        <v>0.54869999999999997</v>
      </c>
      <c r="N121" s="3399"/>
    </row>
    <row r="122" spans="1:14">
      <c r="A122" s="3416" t="s">
        <v>2613</v>
      </c>
      <c r="B122" s="3389">
        <f>ROUND(0.9404-0.0106*B116,4)</f>
        <v>0.91710000000000003</v>
      </c>
      <c r="C122" s="3389">
        <f>B122</f>
        <v>0.91710000000000003</v>
      </c>
      <c r="D122" s="3389">
        <f>ROUND(0.8955-0.0135*B116,4)</f>
        <v>0.86580000000000001</v>
      </c>
      <c r="E122" s="3389">
        <f t="shared" ref="E122:H122" si="37">D122</f>
        <v>0.86580000000000001</v>
      </c>
      <c r="F122" s="3389">
        <f t="shared" si="37"/>
        <v>0.86580000000000001</v>
      </c>
      <c r="G122" s="3389">
        <f t="shared" si="37"/>
        <v>0.86580000000000001</v>
      </c>
      <c r="H122" s="3389">
        <f t="shared" si="37"/>
        <v>0.86580000000000001</v>
      </c>
      <c r="I122" s="3389">
        <f>ROUND(0.7632-0.0166*B116,4)</f>
        <v>0.72670000000000001</v>
      </c>
      <c r="J122" s="3389">
        <f t="shared" si="35"/>
        <v>0.72670000000000001</v>
      </c>
      <c r="K122" s="3389">
        <f t="shared" si="35"/>
        <v>0.72670000000000001</v>
      </c>
      <c r="L122" s="3389">
        <f t="shared" si="35"/>
        <v>0.72670000000000001</v>
      </c>
      <c r="M122" s="3412">
        <f t="shared" si="35"/>
        <v>0.72670000000000001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5" t="s">
        <v>2608</v>
      </c>
      <c r="B20" s="3780" t="s">
        <v>2629</v>
      </c>
      <c r="C20" s="3102" t="s">
        <v>2440</v>
      </c>
      <c r="D20" s="3103"/>
      <c r="E20" s="3104">
        <v>1</v>
      </c>
      <c r="F20" s="3105" t="s">
        <v>2441</v>
      </c>
      <c r="G20" s="3105"/>
    </row>
    <row r="21" spans="1:13" ht="19.5" customHeight="1">
      <c r="A21" s="3786"/>
      <c r="B21" s="3779"/>
      <c r="C21" s="3106" t="s">
        <v>2442</v>
      </c>
      <c r="D21" s="3107"/>
      <c r="E21" s="3108">
        <v>1</v>
      </c>
      <c r="F21" s="3105" t="s">
        <v>2443</v>
      </c>
      <c r="G21" s="3105"/>
    </row>
    <row r="22" spans="1:13" ht="19.5" customHeight="1">
      <c r="A22" s="3786"/>
      <c r="B22" s="3779"/>
      <c r="C22" s="3106" t="s">
        <v>2444</v>
      </c>
      <c r="D22" s="3107"/>
      <c r="E22" s="3108">
        <v>0.9</v>
      </c>
      <c r="F22" s="3105" t="s">
        <v>2445</v>
      </c>
      <c r="G22" s="3105"/>
    </row>
    <row r="23" spans="1:13" ht="19.5" customHeight="1">
      <c r="A23" s="3786"/>
      <c r="B23" s="3779"/>
      <c r="C23" s="3106" t="s">
        <v>2446</v>
      </c>
      <c r="D23" s="3107"/>
      <c r="E23" s="3108">
        <v>0.9</v>
      </c>
      <c r="F23" s="3105" t="s">
        <v>2447</v>
      </c>
      <c r="G23" s="3105"/>
    </row>
    <row r="24" spans="1:13" ht="19.5" customHeight="1">
      <c r="A24" s="3786"/>
      <c r="B24" s="3779"/>
      <c r="C24" s="3106" t="s">
        <v>2448</v>
      </c>
      <c r="D24" s="3107"/>
      <c r="E24" s="3108">
        <v>0.8</v>
      </c>
      <c r="F24" s="3105" t="s">
        <v>2449</v>
      </c>
      <c r="G24" s="3105"/>
    </row>
    <row r="25" spans="1:13" ht="19.5" customHeight="1" thickBot="1">
      <c r="A25" s="3787"/>
      <c r="B25" s="3781"/>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2" t="s">
        <v>2632</v>
      </c>
      <c r="B27" s="3780" t="s">
        <v>2613</v>
      </c>
      <c r="C27" s="3102" t="s">
        <v>2453</v>
      </c>
      <c r="D27" s="3103"/>
      <c r="E27" s="3104">
        <v>1</v>
      </c>
      <c r="F27" s="3105" t="s">
        <v>2454</v>
      </c>
      <c r="G27" s="3105"/>
    </row>
    <row r="28" spans="1:13" ht="19.5" customHeight="1">
      <c r="A28" s="3783"/>
      <c r="B28" s="3779"/>
      <c r="C28" s="3106" t="s">
        <v>2455</v>
      </c>
      <c r="D28" s="3107"/>
      <c r="E28" s="3108">
        <v>1</v>
      </c>
      <c r="F28" s="3105" t="s">
        <v>2456</v>
      </c>
      <c r="G28" s="3105"/>
    </row>
    <row r="29" spans="1:13" ht="19.5" customHeight="1">
      <c r="A29" s="3783"/>
      <c r="B29" s="3779"/>
      <c r="C29" s="3106" t="s">
        <v>2457</v>
      </c>
      <c r="D29" s="3107"/>
      <c r="E29" s="3108">
        <v>0.8</v>
      </c>
      <c r="F29" s="3105" t="s">
        <v>2458</v>
      </c>
      <c r="G29" s="3105"/>
    </row>
    <row r="30" spans="1:13" ht="19.5" customHeight="1">
      <c r="A30" s="3783"/>
      <c r="B30" s="3779"/>
      <c r="C30" s="3106" t="s">
        <v>2459</v>
      </c>
      <c r="D30" s="3107"/>
      <c r="E30" s="3108">
        <v>0.8</v>
      </c>
      <c r="F30" s="3105" t="s">
        <v>2460</v>
      </c>
      <c r="G30" s="3105"/>
    </row>
    <row r="31" spans="1:13" ht="19.5" customHeight="1">
      <c r="A31" s="3783"/>
      <c r="B31" s="3779"/>
      <c r="C31" s="3106" t="s">
        <v>2461</v>
      </c>
      <c r="D31" s="3107"/>
      <c r="E31" s="3108">
        <v>0.8</v>
      </c>
      <c r="F31" s="3105" t="s">
        <v>2462</v>
      </c>
      <c r="G31" s="3105"/>
    </row>
    <row r="32" spans="1:13" ht="19.5" customHeight="1">
      <c r="A32" s="3783"/>
      <c r="B32" s="3779"/>
      <c r="C32" s="3106" t="s">
        <v>2463</v>
      </c>
      <c r="D32" s="3107"/>
      <c r="E32" s="3108">
        <v>0.7</v>
      </c>
      <c r="F32" s="3105" t="s">
        <v>2464</v>
      </c>
      <c r="G32" s="3105"/>
    </row>
    <row r="33" spans="1:7" ht="19.5" customHeight="1">
      <c r="A33" s="3783"/>
      <c r="B33" s="3779"/>
      <c r="C33" s="3106" t="s">
        <v>2465</v>
      </c>
      <c r="D33" s="3107"/>
      <c r="E33" s="3108">
        <v>0.8</v>
      </c>
      <c r="F33" s="3105" t="s">
        <v>2466</v>
      </c>
      <c r="G33" s="3105"/>
    </row>
    <row r="34" spans="1:7" ht="19.5" customHeight="1">
      <c r="A34" s="3783"/>
      <c r="B34" s="3779"/>
      <c r="C34" s="3106" t="s">
        <v>2467</v>
      </c>
      <c r="D34" s="3107"/>
      <c r="E34" s="3108">
        <v>0.6</v>
      </c>
      <c r="F34" s="3105" t="s">
        <v>2468</v>
      </c>
      <c r="G34" s="3105"/>
    </row>
    <row r="35" spans="1:7" ht="19.5" customHeight="1">
      <c r="A35" s="3783"/>
      <c r="B35" s="3779"/>
      <c r="C35" s="3106" t="s">
        <v>2469</v>
      </c>
      <c r="D35" s="3107"/>
      <c r="E35" s="3108">
        <v>0.2</v>
      </c>
      <c r="F35" s="3105" t="s">
        <v>2470</v>
      </c>
      <c r="G35" s="3105"/>
    </row>
    <row r="36" spans="1:7" ht="19.5" customHeight="1">
      <c r="A36" s="3783"/>
      <c r="B36" s="3779"/>
      <c r="C36" s="3106" t="s">
        <v>2471</v>
      </c>
      <c r="D36" s="3107"/>
      <c r="E36" s="3108">
        <v>0.2</v>
      </c>
      <c r="F36" s="3105" t="s">
        <v>2472</v>
      </c>
      <c r="G36" s="3105"/>
    </row>
    <row r="37" spans="1:7" ht="19.5" customHeight="1">
      <c r="A37" s="3783"/>
      <c r="B37" s="3777" t="s">
        <v>2633</v>
      </c>
      <c r="C37" s="3106" t="s">
        <v>2473</v>
      </c>
      <c r="D37" s="3107"/>
      <c r="E37" s="3108">
        <v>0.6</v>
      </c>
      <c r="F37" s="3105" t="s">
        <v>2474</v>
      </c>
      <c r="G37" s="3105"/>
    </row>
    <row r="38" spans="1:7" ht="19.5" customHeight="1">
      <c r="A38" s="3783"/>
      <c r="B38" s="3779"/>
      <c r="C38" s="3106" t="s">
        <v>2475</v>
      </c>
      <c r="D38" s="3107"/>
      <c r="E38" s="3108">
        <v>0.6</v>
      </c>
      <c r="F38" s="3105" t="s">
        <v>2476</v>
      </c>
      <c r="G38" s="3105"/>
    </row>
    <row r="39" spans="1:7" ht="19.5" customHeight="1" thickBot="1">
      <c r="A39" s="3784"/>
      <c r="B39" s="3781"/>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5" t="s">
        <v>2611</v>
      </c>
      <c r="B41" s="3780" t="s">
        <v>2635</v>
      </c>
      <c r="C41" s="3102" t="s">
        <v>2480</v>
      </c>
      <c r="D41" s="3103"/>
      <c r="E41" s="3104">
        <v>1</v>
      </c>
      <c r="F41" s="3105" t="s">
        <v>2481</v>
      </c>
      <c r="G41" s="3105"/>
    </row>
    <row r="42" spans="1:7" ht="19.5" customHeight="1">
      <c r="A42" s="3786"/>
      <c r="B42" s="3779"/>
      <c r="C42" s="3106" t="s">
        <v>2482</v>
      </c>
      <c r="D42" s="3107"/>
      <c r="E42" s="3108">
        <v>1</v>
      </c>
      <c r="F42" s="3105" t="s">
        <v>2483</v>
      </c>
      <c r="G42" s="3105"/>
    </row>
    <row r="43" spans="1:7" ht="19.5" customHeight="1">
      <c r="A43" s="3786"/>
      <c r="B43" s="3778"/>
      <c r="C43" s="3106" t="s">
        <v>2484</v>
      </c>
      <c r="D43" s="3107"/>
      <c r="E43" s="3108">
        <v>1.5</v>
      </c>
      <c r="F43" s="3105" t="s">
        <v>2485</v>
      </c>
      <c r="G43" s="3105"/>
    </row>
    <row r="44" spans="1:7" ht="19.5" customHeight="1">
      <c r="A44" s="3786"/>
      <c r="B44" s="3117" t="s">
        <v>2636</v>
      </c>
      <c r="C44" s="3106" t="s">
        <v>2637</v>
      </c>
      <c r="D44" s="3107"/>
      <c r="E44" s="3108">
        <v>2</v>
      </c>
      <c r="F44" s="3105" t="s">
        <v>2486</v>
      </c>
      <c r="G44" s="3105"/>
    </row>
    <row r="45" spans="1:7" ht="19.5" customHeight="1">
      <c r="A45" s="3786"/>
      <c r="B45" s="3777" t="s">
        <v>2638</v>
      </c>
      <c r="C45" s="3106" t="s">
        <v>2487</v>
      </c>
      <c r="D45" s="3107"/>
      <c r="E45" s="3108">
        <v>1</v>
      </c>
      <c r="F45" s="3105" t="s">
        <v>2488</v>
      </c>
      <c r="G45" s="3105"/>
    </row>
    <row r="46" spans="1:7" ht="19.5" customHeight="1">
      <c r="A46" s="3786"/>
      <c r="B46" s="3779"/>
      <c r="C46" s="3106" t="s">
        <v>2489</v>
      </c>
      <c r="D46" s="3107"/>
      <c r="E46" s="3108">
        <v>1</v>
      </c>
      <c r="F46" s="3105" t="s">
        <v>2490</v>
      </c>
      <c r="G46" s="3105"/>
    </row>
    <row r="47" spans="1:7" ht="19.5" customHeight="1">
      <c r="A47" s="3786"/>
      <c r="B47" s="3779"/>
      <c r="C47" s="3106" t="s">
        <v>2491</v>
      </c>
      <c r="D47" s="3107"/>
      <c r="E47" s="3108">
        <v>1</v>
      </c>
      <c r="F47" s="3105" t="s">
        <v>2492</v>
      </c>
      <c r="G47" s="3105"/>
    </row>
    <row r="48" spans="1:7" ht="19.5" customHeight="1">
      <c r="A48" s="3786"/>
      <c r="B48" s="3779"/>
      <c r="C48" s="3106" t="s">
        <v>2493</v>
      </c>
      <c r="D48" s="3107"/>
      <c r="E48" s="3108">
        <v>1</v>
      </c>
      <c r="F48" s="3105" t="s">
        <v>2494</v>
      </c>
      <c r="G48" s="3105"/>
    </row>
    <row r="49" spans="1:7" ht="19.5" customHeight="1">
      <c r="A49" s="3786"/>
      <c r="B49" s="3779"/>
      <c r="C49" s="3106" t="s">
        <v>2495</v>
      </c>
      <c r="D49" s="3107"/>
      <c r="E49" s="3108">
        <v>1</v>
      </c>
      <c r="F49" s="3105" t="s">
        <v>2496</v>
      </c>
      <c r="G49" s="3105"/>
    </row>
    <row r="50" spans="1:7" ht="19.5" customHeight="1">
      <c r="A50" s="3786"/>
      <c r="B50" s="3779"/>
      <c r="C50" s="3106" t="s">
        <v>2497</v>
      </c>
      <c r="D50" s="3107"/>
      <c r="E50" s="3108">
        <v>1</v>
      </c>
      <c r="F50" s="3105" t="s">
        <v>2498</v>
      </c>
      <c r="G50" s="3105"/>
    </row>
    <row r="51" spans="1:7" ht="19.5" customHeight="1" thickBot="1">
      <c r="A51" s="3787"/>
      <c r="B51" s="3781"/>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7" t="s">
        <v>2652</v>
      </c>
      <c r="C73" s="3091" t="s">
        <v>2653</v>
      </c>
      <c r="D73" s="3091" t="s">
        <v>2654</v>
      </c>
      <c r="E73" s="3117">
        <v>0.2</v>
      </c>
      <c r="F73" s="3117">
        <v>25</v>
      </c>
    </row>
    <row r="74" spans="1:7" ht="24">
      <c r="A74" s="3117">
        <v>2</v>
      </c>
      <c r="B74" s="3779"/>
      <c r="C74" s="3091" t="s">
        <v>2655</v>
      </c>
      <c r="D74" s="3091" t="s">
        <v>2656</v>
      </c>
      <c r="E74" s="3117">
        <v>0.2</v>
      </c>
      <c r="F74" s="3117">
        <v>25</v>
      </c>
    </row>
    <row r="75" spans="1:7" ht="24">
      <c r="A75" s="3117">
        <v>3</v>
      </c>
      <c r="B75" s="3779"/>
      <c r="C75" s="3091" t="s">
        <v>2657</v>
      </c>
      <c r="D75" s="3091" t="s">
        <v>2658</v>
      </c>
      <c r="E75" s="3117">
        <v>0.2</v>
      </c>
      <c r="F75" s="3117">
        <v>25</v>
      </c>
    </row>
    <row r="76" spans="1:7" ht="13.5">
      <c r="A76" s="3117">
        <v>4</v>
      </c>
      <c r="B76" s="3779"/>
      <c r="C76" s="3091" t="s">
        <v>2659</v>
      </c>
      <c r="D76" s="3091" t="s">
        <v>2660</v>
      </c>
      <c r="E76" s="3117">
        <v>0.15</v>
      </c>
      <c r="F76" s="3117">
        <v>20</v>
      </c>
    </row>
    <row r="77" spans="1:7" ht="24">
      <c r="A77" s="3117">
        <v>5</v>
      </c>
      <c r="B77" s="3779"/>
      <c r="C77" s="3091" t="s">
        <v>2661</v>
      </c>
      <c r="D77" s="3091" t="s">
        <v>2662</v>
      </c>
      <c r="E77" s="3117">
        <v>0.15</v>
      </c>
      <c r="F77" s="3117">
        <v>20</v>
      </c>
    </row>
    <row r="78" spans="1:7" ht="24">
      <c r="A78" s="3117">
        <v>6</v>
      </c>
      <c r="B78" s="3779"/>
      <c r="C78" s="3091" t="s">
        <v>2663</v>
      </c>
      <c r="D78" s="3091" t="s">
        <v>2664</v>
      </c>
      <c r="E78" s="3117">
        <v>0.15</v>
      </c>
      <c r="F78" s="3117">
        <v>20</v>
      </c>
    </row>
    <row r="79" spans="1:7" ht="24">
      <c r="A79" s="3117">
        <v>7</v>
      </c>
      <c r="B79" s="3779"/>
      <c r="C79" s="3091" t="s">
        <v>2665</v>
      </c>
      <c r="D79" s="3091" t="s">
        <v>2666</v>
      </c>
      <c r="E79" s="3117">
        <v>0.15</v>
      </c>
      <c r="F79" s="3117">
        <v>20</v>
      </c>
    </row>
    <row r="80" spans="1:7" ht="24">
      <c r="A80" s="3117">
        <v>8</v>
      </c>
      <c r="B80" s="3779"/>
      <c r="C80" s="3091" t="s">
        <v>2667</v>
      </c>
      <c r="D80" s="3091" t="s">
        <v>2668</v>
      </c>
      <c r="E80" s="3117">
        <v>0.1</v>
      </c>
      <c r="F80" s="3117">
        <v>15</v>
      </c>
    </row>
    <row r="81" spans="1:6" ht="24">
      <c r="A81" s="3117">
        <v>9</v>
      </c>
      <c r="B81" s="3779"/>
      <c r="C81" s="3091" t="s">
        <v>2669</v>
      </c>
      <c r="D81" s="3091" t="s">
        <v>2670</v>
      </c>
      <c r="E81" s="3117">
        <v>0.1</v>
      </c>
      <c r="F81" s="3117">
        <v>15</v>
      </c>
    </row>
    <row r="82" spans="1:6" ht="24">
      <c r="A82" s="3117">
        <v>10</v>
      </c>
      <c r="B82" s="3779"/>
      <c r="C82" s="3091" t="s">
        <v>2671</v>
      </c>
      <c r="D82" s="3091" t="s">
        <v>2672</v>
      </c>
      <c r="E82" s="3117">
        <v>0.1</v>
      </c>
      <c r="F82" s="3117">
        <v>15</v>
      </c>
    </row>
    <row r="83" spans="1:6" ht="24">
      <c r="A83" s="3117">
        <v>11</v>
      </c>
      <c r="B83" s="3779"/>
      <c r="C83" s="3091" t="s">
        <v>2673</v>
      </c>
      <c r="D83" s="3091" t="s">
        <v>2674</v>
      </c>
      <c r="E83" s="3117">
        <v>0.1</v>
      </c>
      <c r="F83" s="3117">
        <v>15</v>
      </c>
    </row>
    <row r="84" spans="1:6" ht="24">
      <c r="A84" s="3117">
        <v>12</v>
      </c>
      <c r="B84" s="3779"/>
      <c r="C84" s="3091" t="s">
        <v>2675</v>
      </c>
      <c r="D84" s="3091" t="s">
        <v>2676</v>
      </c>
      <c r="E84" s="3117">
        <v>0.1</v>
      </c>
      <c r="F84" s="3117">
        <v>15</v>
      </c>
    </row>
    <row r="85" spans="1:6" ht="13.5">
      <c r="A85" s="3117">
        <v>13</v>
      </c>
      <c r="B85" s="3779"/>
      <c r="C85" s="3091" t="s">
        <v>2677</v>
      </c>
      <c r="D85" s="3091" t="s">
        <v>2678</v>
      </c>
      <c r="E85" s="3117">
        <v>0.1</v>
      </c>
      <c r="F85" s="3117">
        <v>15</v>
      </c>
    </row>
    <row r="86" spans="1:6" ht="13.5">
      <c r="A86" s="3117">
        <v>14</v>
      </c>
      <c r="B86" s="3779"/>
      <c r="C86" s="3091" t="s">
        <v>2679</v>
      </c>
      <c r="D86" s="3091" t="s">
        <v>2680</v>
      </c>
      <c r="E86" s="3117">
        <v>0.1</v>
      </c>
      <c r="F86" s="3117">
        <v>15</v>
      </c>
    </row>
    <row r="87" spans="1:6" ht="13.5">
      <c r="A87" s="3117">
        <v>15</v>
      </c>
      <c r="B87" s="3779"/>
      <c r="C87" s="3091" t="s">
        <v>2681</v>
      </c>
      <c r="D87" s="3091" t="s">
        <v>2682</v>
      </c>
      <c r="E87" s="3117">
        <v>0.1</v>
      </c>
      <c r="F87" s="3117">
        <v>15</v>
      </c>
    </row>
    <row r="88" spans="1:6" ht="24">
      <c r="A88" s="3117">
        <v>16</v>
      </c>
      <c r="B88" s="3779"/>
      <c r="C88" s="3091" t="s">
        <v>2683</v>
      </c>
      <c r="D88" s="3091" t="s">
        <v>2684</v>
      </c>
      <c r="E88" s="3117">
        <v>0.1</v>
      </c>
      <c r="F88" s="3117">
        <v>15</v>
      </c>
    </row>
    <row r="89" spans="1:6" ht="24">
      <c r="A89" s="3117">
        <v>17</v>
      </c>
      <c r="B89" s="3778"/>
      <c r="C89" s="3091" t="s">
        <v>2685</v>
      </c>
      <c r="D89" s="3091" t="s">
        <v>2686</v>
      </c>
      <c r="E89" s="3117">
        <v>0.1</v>
      </c>
      <c r="F89" s="3117">
        <v>15</v>
      </c>
    </row>
    <row r="90" spans="1:6" ht="13.5">
      <c r="A90" s="3117">
        <v>18</v>
      </c>
      <c r="B90" s="3777" t="s">
        <v>2687</v>
      </c>
      <c r="C90" s="3091" t="s">
        <v>2688</v>
      </c>
      <c r="D90" s="3091" t="s">
        <v>2689</v>
      </c>
      <c r="E90" s="3117">
        <v>0.2</v>
      </c>
      <c r="F90" s="3117">
        <v>25</v>
      </c>
    </row>
    <row r="91" spans="1:6" ht="24">
      <c r="A91" s="3117">
        <v>19</v>
      </c>
      <c r="B91" s="3779"/>
      <c r="C91" s="3091" t="s">
        <v>2690</v>
      </c>
      <c r="D91" s="3091" t="s">
        <v>2691</v>
      </c>
      <c r="E91" s="3117">
        <v>0.2</v>
      </c>
      <c r="F91" s="3117">
        <v>25</v>
      </c>
    </row>
    <row r="92" spans="1:6" ht="13.5">
      <c r="A92" s="3117">
        <v>20</v>
      </c>
      <c r="B92" s="3779"/>
      <c r="C92" s="3091" t="s">
        <v>2692</v>
      </c>
      <c r="D92" s="3091" t="s">
        <v>2693</v>
      </c>
      <c r="E92" s="3117">
        <v>0.15</v>
      </c>
      <c r="F92" s="3117">
        <v>20</v>
      </c>
    </row>
    <row r="93" spans="1:6" ht="13.5">
      <c r="A93" s="3117">
        <v>21</v>
      </c>
      <c r="B93" s="3779"/>
      <c r="C93" s="3091" t="s">
        <v>2694</v>
      </c>
      <c r="D93" s="3091" t="s">
        <v>2695</v>
      </c>
      <c r="E93" s="3117">
        <v>0.15</v>
      </c>
      <c r="F93" s="3117">
        <v>20</v>
      </c>
    </row>
    <row r="94" spans="1:6" ht="13.5">
      <c r="A94" s="3117">
        <v>22</v>
      </c>
      <c r="B94" s="3779"/>
      <c r="C94" s="3091" t="s">
        <v>2696</v>
      </c>
      <c r="D94" s="3091" t="s">
        <v>2697</v>
      </c>
      <c r="E94" s="3117">
        <v>0.15</v>
      </c>
      <c r="F94" s="3117">
        <v>20</v>
      </c>
    </row>
    <row r="95" spans="1:6" ht="36">
      <c r="A95" s="3117">
        <v>23</v>
      </c>
      <c r="B95" s="3779"/>
      <c r="C95" s="3091" t="s">
        <v>2698</v>
      </c>
      <c r="D95" s="3091" t="s">
        <v>2699</v>
      </c>
      <c r="E95" s="3117">
        <v>0.15</v>
      </c>
      <c r="F95" s="3117">
        <v>20</v>
      </c>
    </row>
    <row r="96" spans="1:6" ht="13.5">
      <c r="A96" s="3117">
        <v>24</v>
      </c>
      <c r="B96" s="3779"/>
      <c r="C96" s="3091" t="s">
        <v>2700</v>
      </c>
      <c r="D96" s="3091" t="s">
        <v>2701</v>
      </c>
      <c r="E96" s="3117">
        <v>0.1</v>
      </c>
      <c r="F96" s="3117">
        <v>15</v>
      </c>
    </row>
    <row r="97" spans="1:6" ht="13.5">
      <c r="A97" s="3117">
        <v>25</v>
      </c>
      <c r="B97" s="3779"/>
      <c r="C97" s="3091" t="s">
        <v>2702</v>
      </c>
      <c r="D97" s="3091" t="s">
        <v>2703</v>
      </c>
      <c r="E97" s="3117">
        <v>0.1</v>
      </c>
      <c r="F97" s="3117">
        <v>15</v>
      </c>
    </row>
    <row r="98" spans="1:6" ht="24">
      <c r="A98" s="3117">
        <v>26</v>
      </c>
      <c r="B98" s="3779"/>
      <c r="C98" s="3091" t="s">
        <v>2704</v>
      </c>
      <c r="D98" s="3091" t="s">
        <v>2705</v>
      </c>
      <c r="E98" s="3117">
        <v>0.1</v>
      </c>
      <c r="F98" s="3117">
        <v>15</v>
      </c>
    </row>
    <row r="99" spans="1:6" ht="24">
      <c r="A99" s="3117">
        <v>27</v>
      </c>
      <c r="B99" s="3779"/>
      <c r="C99" s="3091" t="s">
        <v>2706</v>
      </c>
      <c r="D99" s="3091" t="s">
        <v>2707</v>
      </c>
      <c r="E99" s="3117">
        <v>0.1</v>
      </c>
      <c r="F99" s="3117">
        <v>15</v>
      </c>
    </row>
    <row r="100" spans="1:6" ht="13.5">
      <c r="A100" s="3117">
        <v>28</v>
      </c>
      <c r="B100" s="3779"/>
      <c r="C100" s="3091" t="s">
        <v>2708</v>
      </c>
      <c r="D100" s="3091" t="s">
        <v>2709</v>
      </c>
      <c r="E100" s="3117">
        <v>0.1</v>
      </c>
      <c r="F100" s="3117">
        <v>15</v>
      </c>
    </row>
    <row r="101" spans="1:6" ht="13.5">
      <c r="A101" s="3117">
        <v>29</v>
      </c>
      <c r="B101" s="3779"/>
      <c r="C101" s="3091" t="s">
        <v>2710</v>
      </c>
      <c r="D101" s="3091" t="s">
        <v>2711</v>
      </c>
      <c r="E101" s="3117">
        <v>0.1</v>
      </c>
      <c r="F101" s="3117">
        <v>15</v>
      </c>
    </row>
    <row r="102" spans="1:6" ht="13.5">
      <c r="A102" s="3117">
        <v>30</v>
      </c>
      <c r="B102" s="3779"/>
      <c r="C102" s="3091" t="s">
        <v>2712</v>
      </c>
      <c r="D102" s="3091" t="s">
        <v>2713</v>
      </c>
      <c r="E102" s="3117">
        <v>0.1</v>
      </c>
      <c r="F102" s="3117">
        <v>15</v>
      </c>
    </row>
    <row r="103" spans="1:6" ht="24">
      <c r="A103" s="3117">
        <v>31</v>
      </c>
      <c r="B103" s="3779"/>
      <c r="C103" s="3091" t="s">
        <v>2714</v>
      </c>
      <c r="D103" s="3091" t="s">
        <v>2715</v>
      </c>
      <c r="E103" s="3117">
        <v>0.1</v>
      </c>
      <c r="F103" s="3117">
        <v>15</v>
      </c>
    </row>
    <row r="104" spans="1:6" ht="24">
      <c r="A104" s="3117">
        <v>32</v>
      </c>
      <c r="B104" s="3779"/>
      <c r="C104" s="3091" t="s">
        <v>2716</v>
      </c>
      <c r="D104" s="3091" t="s">
        <v>2717</v>
      </c>
      <c r="E104" s="3117">
        <v>0.1</v>
      </c>
      <c r="F104" s="3117">
        <v>15</v>
      </c>
    </row>
    <row r="105" spans="1:6" ht="24">
      <c r="A105" s="3117">
        <v>33</v>
      </c>
      <c r="B105" s="3779"/>
      <c r="C105" s="3091" t="s">
        <v>2718</v>
      </c>
      <c r="D105" s="3091" t="s">
        <v>2719</v>
      </c>
      <c r="E105" s="3117">
        <v>0.1</v>
      </c>
      <c r="F105" s="3117">
        <v>15</v>
      </c>
    </row>
    <row r="106" spans="1:6" ht="24">
      <c r="A106" s="3117">
        <v>34</v>
      </c>
      <c r="B106" s="3778"/>
      <c r="C106" s="3091" t="s">
        <v>2720</v>
      </c>
      <c r="D106" s="3091" t="s">
        <v>2721</v>
      </c>
      <c r="E106" s="3117">
        <v>0.1</v>
      </c>
      <c r="F106" s="3117">
        <v>15</v>
      </c>
    </row>
    <row r="107" spans="1:6" ht="24">
      <c r="A107" s="3117">
        <v>35</v>
      </c>
      <c r="B107" s="3777" t="s">
        <v>2722</v>
      </c>
      <c r="C107" s="3117" t="s">
        <v>2723</v>
      </c>
      <c r="D107" s="3091" t="s">
        <v>2724</v>
      </c>
      <c r="E107" s="3117">
        <v>0.15</v>
      </c>
      <c r="F107" s="3117">
        <v>20</v>
      </c>
    </row>
    <row r="108" spans="1:6" ht="13.5">
      <c r="A108" s="3117">
        <v>36</v>
      </c>
      <c r="B108" s="3779"/>
      <c r="C108" s="3117" t="s">
        <v>2725</v>
      </c>
      <c r="D108" s="3091" t="s">
        <v>2726</v>
      </c>
      <c r="E108" s="3117">
        <v>0.15</v>
      </c>
      <c r="F108" s="3117">
        <v>20</v>
      </c>
    </row>
    <row r="109" spans="1:6" ht="13.5">
      <c r="A109" s="3117">
        <v>37</v>
      </c>
      <c r="B109" s="3779"/>
      <c r="C109" s="3117" t="s">
        <v>2727</v>
      </c>
      <c r="D109" s="3091" t="s">
        <v>2728</v>
      </c>
      <c r="E109" s="3117">
        <v>0.15</v>
      </c>
      <c r="F109" s="3117">
        <v>20</v>
      </c>
    </row>
    <row r="110" spans="1:6" ht="13.5">
      <c r="A110" s="3117">
        <v>38</v>
      </c>
      <c r="B110" s="3779"/>
      <c r="C110" s="3117" t="s">
        <v>2729</v>
      </c>
      <c r="D110" s="3091" t="s">
        <v>2730</v>
      </c>
      <c r="E110" s="3117">
        <v>0.1</v>
      </c>
      <c r="F110" s="3117">
        <v>15</v>
      </c>
    </row>
    <row r="111" spans="1:6" ht="24">
      <c r="A111" s="3117">
        <v>39</v>
      </c>
      <c r="B111" s="3779"/>
      <c r="C111" s="3117" t="s">
        <v>2731</v>
      </c>
      <c r="D111" s="3091" t="s">
        <v>2732</v>
      </c>
      <c r="E111" s="3117">
        <v>0.1</v>
      </c>
      <c r="F111" s="3117">
        <v>15</v>
      </c>
    </row>
    <row r="112" spans="1:6" ht="24">
      <c r="A112" s="3117">
        <v>40</v>
      </c>
      <c r="B112" s="3778"/>
      <c r="C112" s="3117" t="s">
        <v>2733</v>
      </c>
      <c r="D112" s="3091" t="s">
        <v>2734</v>
      </c>
      <c r="E112" s="3117">
        <v>0.1</v>
      </c>
      <c r="F112" s="3117">
        <v>15</v>
      </c>
    </row>
    <row r="113" spans="1:6" ht="13.5">
      <c r="A113" s="3117">
        <v>41</v>
      </c>
      <c r="B113" s="3776" t="s">
        <v>2735</v>
      </c>
      <c r="C113" s="3117" t="s">
        <v>2736</v>
      </c>
      <c r="D113" s="3091" t="s">
        <v>2737</v>
      </c>
      <c r="E113" s="3117">
        <v>0.1</v>
      </c>
      <c r="F113" s="3117">
        <v>15</v>
      </c>
    </row>
    <row r="114" spans="1:6" ht="13.5">
      <c r="A114" s="3117">
        <v>42</v>
      </c>
      <c r="B114" s="3776"/>
      <c r="C114" s="3117" t="s">
        <v>2738</v>
      </c>
      <c r="D114" s="3091" t="s">
        <v>2739</v>
      </c>
      <c r="E114" s="3117">
        <v>0.1</v>
      </c>
      <c r="F114" s="3117">
        <v>15</v>
      </c>
    </row>
    <row r="115" spans="1:6" ht="24">
      <c r="A115" s="3117">
        <v>43</v>
      </c>
      <c r="B115" s="3776"/>
      <c r="C115" s="3117" t="s">
        <v>2740</v>
      </c>
      <c r="D115" s="3091" t="s">
        <v>2741</v>
      </c>
      <c r="E115" s="3117">
        <v>0.1</v>
      </c>
      <c r="F115" s="3117">
        <v>15</v>
      </c>
    </row>
    <row r="116" spans="1:6" ht="13.5">
      <c r="A116" s="3117">
        <v>44</v>
      </c>
      <c r="B116" s="3777" t="s">
        <v>2742</v>
      </c>
      <c r="C116" s="3117" t="s">
        <v>2743</v>
      </c>
      <c r="D116" s="3091" t="s">
        <v>2744</v>
      </c>
      <c r="E116" s="3117">
        <v>0.1</v>
      </c>
      <c r="F116" s="3117">
        <v>15</v>
      </c>
    </row>
    <row r="117" spans="1:6" ht="24">
      <c r="A117" s="3117">
        <v>45</v>
      </c>
      <c r="B117" s="3778"/>
      <c r="C117" s="3091" t="s">
        <v>2745</v>
      </c>
      <c r="D117" s="3091" t="s">
        <v>2746</v>
      </c>
      <c r="E117" s="3117">
        <v>0.1</v>
      </c>
      <c r="F117" s="3117">
        <v>15</v>
      </c>
    </row>
    <row r="118" spans="1:6" ht="24">
      <c r="A118" s="3117">
        <v>46</v>
      </c>
      <c r="B118" s="3777" t="s">
        <v>2747</v>
      </c>
      <c r="C118" s="3117" t="s">
        <v>2748</v>
      </c>
      <c r="D118" s="3091" t="s">
        <v>2749</v>
      </c>
      <c r="E118" s="3117">
        <v>0.1</v>
      </c>
      <c r="F118" s="3117">
        <v>15</v>
      </c>
    </row>
    <row r="119" spans="1:6" ht="24">
      <c r="A119" s="3117">
        <v>47</v>
      </c>
      <c r="B119" s="3778"/>
      <c r="C119" s="3117" t="s">
        <v>2750</v>
      </c>
      <c r="D119" s="3091" t="s">
        <v>2751</v>
      </c>
      <c r="E119" s="3117">
        <v>0.1</v>
      </c>
      <c r="F119" s="3117">
        <v>15</v>
      </c>
    </row>
    <row r="120" spans="1:6" ht="13.5">
      <c r="A120" s="3117">
        <v>48</v>
      </c>
      <c r="B120" s="3777" t="s">
        <v>2752</v>
      </c>
      <c r="C120" s="3117" t="s">
        <v>2753</v>
      </c>
      <c r="D120" s="3091" t="s">
        <v>2754</v>
      </c>
      <c r="E120" s="3117">
        <v>0.1</v>
      </c>
      <c r="F120" s="3117">
        <v>15</v>
      </c>
    </row>
    <row r="121" spans="1:6" ht="13.5">
      <c r="A121" s="3117">
        <v>49</v>
      </c>
      <c r="B121" s="3778"/>
      <c r="C121" s="3117" t="s">
        <v>2755</v>
      </c>
      <c r="D121" s="3091" t="s">
        <v>2756</v>
      </c>
      <c r="E121" s="3117">
        <v>0.1</v>
      </c>
      <c r="F121" s="3117">
        <v>15</v>
      </c>
    </row>
    <row r="122" spans="1:6" ht="24">
      <c r="A122" s="3117">
        <v>50</v>
      </c>
      <c r="B122" s="3776" t="s">
        <v>2757</v>
      </c>
      <c r="C122" s="3117" t="s">
        <v>2758</v>
      </c>
      <c r="D122" s="3091" t="s">
        <v>2759</v>
      </c>
      <c r="E122" s="3117">
        <v>0.1</v>
      </c>
      <c r="F122" s="3117">
        <v>15</v>
      </c>
    </row>
    <row r="123" spans="1:6" ht="24">
      <c r="A123" s="3117">
        <v>51</v>
      </c>
      <c r="B123" s="3776"/>
      <c r="C123" s="3117" t="s">
        <v>2760</v>
      </c>
      <c r="D123" s="3091" t="s">
        <v>2761</v>
      </c>
      <c r="E123" s="3117">
        <v>0.1</v>
      </c>
      <c r="F123" s="3117">
        <v>15</v>
      </c>
    </row>
    <row r="124" spans="1:6" ht="24">
      <c r="A124" s="3117">
        <v>52</v>
      </c>
      <c r="B124" s="3776" t="s">
        <v>2762</v>
      </c>
      <c r="C124" s="3117" t="s">
        <v>2763</v>
      </c>
      <c r="D124" s="3091" t="s">
        <v>2764</v>
      </c>
      <c r="E124" s="3117">
        <v>0.1</v>
      </c>
      <c r="F124" s="3117">
        <v>15</v>
      </c>
    </row>
    <row r="125" spans="1:6" ht="24">
      <c r="A125" s="3117">
        <v>53</v>
      </c>
      <c r="B125" s="3776"/>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6" t="s">
        <v>2770</v>
      </c>
      <c r="C127" s="3117" t="s">
        <v>2771</v>
      </c>
      <c r="D127" s="3091" t="s">
        <v>2772</v>
      </c>
      <c r="E127" s="3117">
        <v>0.1</v>
      </c>
      <c r="F127" s="3117">
        <v>15</v>
      </c>
    </row>
    <row r="128" spans="1:6" ht="13.5">
      <c r="A128" s="3117">
        <v>56</v>
      </c>
      <c r="B128" s="3776"/>
      <c r="C128" s="3117" t="s">
        <v>2773</v>
      </c>
      <c r="D128" s="3091" t="s">
        <v>2774</v>
      </c>
      <c r="E128" s="3117">
        <v>0.1</v>
      </c>
      <c r="F128" s="3117">
        <v>15</v>
      </c>
    </row>
    <row r="129" spans="1:6" ht="24">
      <c r="A129" s="3117">
        <v>57</v>
      </c>
      <c r="B129" s="3776"/>
      <c r="C129" s="3117" t="s">
        <v>2775</v>
      </c>
      <c r="D129" s="3091" t="s">
        <v>2776</v>
      </c>
      <c r="E129" s="3117">
        <v>0.1</v>
      </c>
      <c r="F129" s="3117">
        <v>15</v>
      </c>
    </row>
    <row r="130" spans="1:6" ht="24">
      <c r="A130" s="3117">
        <v>58</v>
      </c>
      <c r="B130" s="3776" t="s">
        <v>2777</v>
      </c>
      <c r="C130" s="3117" t="s">
        <v>2778</v>
      </c>
      <c r="D130" s="3091" t="s">
        <v>2779</v>
      </c>
      <c r="E130" s="3117">
        <v>0.1</v>
      </c>
      <c r="F130" s="3117">
        <v>15</v>
      </c>
    </row>
    <row r="131" spans="1:6" ht="13.5">
      <c r="A131" s="3117">
        <v>59</v>
      </c>
      <c r="B131" s="3776"/>
      <c r="C131" s="3117" t="s">
        <v>2780</v>
      </c>
      <c r="D131" s="3091" t="s">
        <v>2781</v>
      </c>
      <c r="E131" s="3117">
        <v>0.1</v>
      </c>
      <c r="F131" s="3117">
        <v>15</v>
      </c>
    </row>
    <row r="132" spans="1:6" ht="13.5">
      <c r="A132" s="3117">
        <v>60</v>
      </c>
      <c r="B132" s="3777" t="s">
        <v>2782</v>
      </c>
      <c r="C132" s="3117" t="s">
        <v>2783</v>
      </c>
      <c r="D132" s="3091" t="s">
        <v>2784</v>
      </c>
      <c r="E132" s="3117">
        <v>0.1</v>
      </c>
      <c r="F132" s="3117">
        <v>15</v>
      </c>
    </row>
    <row r="133" spans="1:6" ht="13.5">
      <c r="A133" s="3117">
        <v>61</v>
      </c>
      <c r="B133" s="3778"/>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6" t="s">
        <v>2790</v>
      </c>
      <c r="C135" s="3117" t="s">
        <v>2791</v>
      </c>
      <c r="D135" s="3091" t="s">
        <v>2792</v>
      </c>
      <c r="E135" s="3117">
        <v>0.1</v>
      </c>
      <c r="F135" s="3117">
        <v>15</v>
      </c>
    </row>
    <row r="136" spans="1:6" ht="13.5">
      <c r="A136" s="3117">
        <v>64</v>
      </c>
      <c r="B136" s="3776"/>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1.0287999999999999</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0.97860000000000003</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221170</v>
      </c>
      <c r="E5" s="1490"/>
    </row>
    <row r="6" spans="1:5" ht="15.75">
      <c r="A6" s="1490"/>
      <c r="B6" s="3471"/>
      <c r="C6" s="1493" t="s">
        <v>911</v>
      </c>
      <c r="D6" s="850" t="str">
        <f ca="1">NUMBERSTRING(INT(D5*10000),2)&amp;"元整"</f>
        <v>贰拾贰亿壹仟壹佰柒拾万元整</v>
      </c>
      <c r="E6" s="1490"/>
    </row>
    <row r="7" spans="1:5" ht="15.75">
      <c r="A7" s="1490"/>
      <c r="B7" s="3476"/>
      <c r="C7" s="1494" t="s">
        <v>912</v>
      </c>
      <c r="D7" s="851">
        <f ca="1">结果表!H102</f>
        <v>16774</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221170</v>
      </c>
      <c r="E13" s="1490"/>
    </row>
    <row r="14" spans="1:5" ht="15.75">
      <c r="A14" s="1490"/>
      <c r="B14" s="3471"/>
      <c r="C14" s="1493" t="s">
        <v>911</v>
      </c>
      <c r="D14" s="850" t="str">
        <f ca="1">NUMBERSTRING(INT(D13*10000),2)&amp;"元整"</f>
        <v>贰拾贰亿壹仟壹佰柒拾万元整</v>
      </c>
      <c r="E14" s="1490"/>
    </row>
    <row r="15" spans="1:5" ht="15">
      <c r="A15" s="1490"/>
      <c r="B15" s="3476"/>
      <c r="C15" s="1494" t="s">
        <v>921</v>
      </c>
      <c r="D15" s="859">
        <f ca="1">结果表!H108</f>
        <v>16774</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94502</v>
      </c>
      <c r="C2" s="2" t="s">
        <v>106</v>
      </c>
      <c r="D2" s="199"/>
      <c r="E2" s="199"/>
      <c r="F2" s="199"/>
      <c r="G2" s="199"/>
    </row>
    <row r="3" spans="1:7" s="200" customFormat="1" ht="18" customHeight="1" thickBot="1">
      <c r="A3" s="203" t="s">
        <v>58</v>
      </c>
      <c r="B3" s="204">
        <f ca="1">ROUND(B2*10000/'数据-汇总表'!E3,0)</f>
        <v>7167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2637</v>
      </c>
      <c r="D10" s="845">
        <f>'数据-汇总表'!E6</f>
        <v>131855.63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2637</v>
      </c>
      <c r="D19" s="849">
        <f>'数据-汇总表'!E3</f>
        <v>131855.63</v>
      </c>
      <c r="E19" s="211">
        <f>'数据-取费表'!B31</f>
        <v>200</v>
      </c>
      <c r="F19" s="231"/>
      <c r="G19" s="1" t="s">
        <v>436</v>
      </c>
    </row>
    <row r="20" spans="1:7" s="214" customFormat="1" ht="13.5" customHeight="1">
      <c r="A20" s="777" t="s">
        <v>419</v>
      </c>
      <c r="B20" s="210" t="s">
        <v>77</v>
      </c>
      <c r="C20" s="232">
        <f>ROUND((C5+C19)*F20,0)</f>
        <v>349</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1983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223</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3303</v>
      </c>
      <c r="D27" s="235">
        <f>C29</f>
        <v>2.0999999999999999E-3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3303</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31059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51785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46149</v>
      </c>
      <c r="D34" s="217"/>
      <c r="E34" s="220"/>
      <c r="F34" s="257">
        <f>IF('数据-取费表'!B24=0,1,'数据-取费表'!N16)</f>
        <v>1</v>
      </c>
      <c r="G34" s="219" t="s">
        <v>89</v>
      </c>
    </row>
    <row r="35" spans="1:7" ht="13.5" customHeight="1">
      <c r="A35" s="780" t="s">
        <v>351</v>
      </c>
      <c r="B35" s="215" t="s">
        <v>33</v>
      </c>
      <c r="C35" s="220">
        <f>ROUND(C34*F35,0)</f>
        <v>2307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2637</v>
      </c>
      <c r="D37" s="217">
        <f>'数据-汇总表'!E3</f>
        <v>131855.63</v>
      </c>
      <c r="E37" s="249">
        <f>'数据-取费表'!B35</f>
        <v>200</v>
      </c>
      <c r="F37" s="259"/>
      <c r="G37" s="261" t="s">
        <v>92</v>
      </c>
    </row>
    <row r="38" spans="1:7" ht="13.5" customHeight="1">
      <c r="A38" s="780" t="s">
        <v>354</v>
      </c>
      <c r="B38" s="215" t="s">
        <v>36</v>
      </c>
      <c r="C38" s="220">
        <f>ROUND(C34*F38,0)</f>
        <v>692</v>
      </c>
      <c r="D38" s="220"/>
      <c r="E38" s="220"/>
      <c r="F38" s="259">
        <f>'数据-取费表'!B36</f>
        <v>1.4999999999999999E-2</v>
      </c>
      <c r="G38" s="219" t="s">
        <v>90</v>
      </c>
    </row>
    <row r="39" spans="1:7" s="214" customFormat="1" ht="13.5" customHeight="1">
      <c r="A39" s="777" t="s">
        <v>338</v>
      </c>
      <c r="B39" s="210" t="s">
        <v>77</v>
      </c>
      <c r="C39" s="232">
        <f>ROUND(C33*F20,0)</f>
        <v>777</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2181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2149</v>
      </c>
      <c r="D42" s="238"/>
      <c r="E42" s="238"/>
      <c r="F42" s="239"/>
      <c r="G42" s="3652" t="s">
        <v>94</v>
      </c>
    </row>
    <row r="43" spans="1:7" ht="13.5" customHeight="1">
      <c r="A43" s="780" t="s">
        <v>347</v>
      </c>
      <c r="B43" s="215" t="s">
        <v>426</v>
      </c>
      <c r="C43" s="238">
        <f ca="1">ROUND(IF('数据-取费表'!B22&lt;=1,C39*F22*'数据-取费表'!B21/2,C39*(POWER((1+F22),'数据-取费表'!B21/2)-1)),0)</f>
        <v>32</v>
      </c>
      <c r="D43" s="238"/>
      <c r="E43" s="238"/>
      <c r="F43" s="239"/>
      <c r="G43" s="3653"/>
    </row>
    <row r="44" spans="1:7" ht="13.5" customHeight="1">
      <c r="A44" s="780" t="s">
        <v>348</v>
      </c>
      <c r="B44" s="215" t="s">
        <v>428</v>
      </c>
      <c r="C44" s="238">
        <f ca="1">ROUND(IF('数据-取费表'!B22&lt;=1,C40*F22*'数据-取费表'!B21/2,C40*(POWER((1+F22),'数据-取费表'!B21/2)-1)),4)</f>
        <v>5.9999999999999995E-4</v>
      </c>
      <c r="D44" s="238"/>
      <c r="E44" s="238"/>
      <c r="F44" s="239"/>
      <c r="G44" s="3654"/>
    </row>
    <row r="45" spans="1:7" s="214" customFormat="1" ht="13.5" customHeight="1">
      <c r="A45" s="777" t="s">
        <v>341</v>
      </c>
      <c r="B45" s="244" t="s">
        <v>85</v>
      </c>
      <c r="C45" s="245">
        <f>C46</f>
        <v>7359</v>
      </c>
      <c r="D45" s="235">
        <f>C47</f>
        <v>2.0999999999999999E-3</v>
      </c>
      <c r="E45" s="236" t="s">
        <v>102</v>
      </c>
      <c r="F45" s="246"/>
      <c r="G45" s="247" t="s">
        <v>434</v>
      </c>
    </row>
    <row r="46" spans="1:7" s="214" customFormat="1" ht="13.5" customHeight="1">
      <c r="A46" s="780" t="s">
        <v>349</v>
      </c>
      <c r="B46" s="248" t="s">
        <v>427</v>
      </c>
      <c r="C46" s="249">
        <f>ROUND((C33+C39)*F27,0)</f>
        <v>7359</v>
      </c>
      <c r="D46" s="263"/>
      <c r="E46" s="236"/>
      <c r="F46" s="246"/>
      <c r="G46" s="247"/>
    </row>
    <row r="47" spans="1:7" s="214" customFormat="1" ht="13.5" customHeight="1">
      <c r="A47" s="780" t="s">
        <v>347</v>
      </c>
      <c r="B47" s="248" t="s">
        <v>429</v>
      </c>
      <c r="C47" s="238">
        <f>ROUND(C40*F27,4)</f>
        <v>2.0999999999999999E-3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66782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63443</v>
      </c>
      <c r="D51" s="232"/>
      <c r="E51" s="232"/>
      <c r="F51" s="264"/>
      <c r="G51" s="234" t="s">
        <v>37</v>
      </c>
    </row>
    <row r="52" spans="1:7" s="208" customFormat="1" ht="16.5" thickBot="1">
      <c r="A52" s="265" t="s">
        <v>38</v>
      </c>
      <c r="B52" s="266"/>
      <c r="C52" s="267">
        <f ca="1">C31+C51</f>
        <v>94502</v>
      </c>
      <c r="D52" s="266"/>
      <c r="E52" s="266"/>
      <c r="F52" s="266"/>
      <c r="G52" s="268"/>
    </row>
    <row r="55" spans="1:7" ht="15">
      <c r="B55" s="270" t="s">
        <v>39</v>
      </c>
      <c r="C55" s="271"/>
    </row>
    <row r="56" spans="1:7">
      <c r="B56" s="273" t="s">
        <v>40</v>
      </c>
      <c r="C56" s="274">
        <f ca="1">ROUND(C51/C52,3)</f>
        <v>0.67100000000000004</v>
      </c>
    </row>
    <row r="57" spans="1:7">
      <c r="B57" s="273" t="s">
        <v>41</v>
      </c>
      <c r="C57" s="275">
        <f ca="1">1-C56</f>
        <v>0.32899999999999996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41" activeCellId="1" sqref="E26 H4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2846</v>
      </c>
      <c r="B1" s="3790"/>
      <c r="C1" s="3790"/>
      <c r="D1" s="3790"/>
      <c r="E1" s="3790"/>
      <c r="F1" s="3790"/>
      <c r="G1" s="3791"/>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8" t="s">
        <v>2873</v>
      </c>
      <c r="B3" s="3230"/>
      <c r="C3" s="3231" t="s">
        <v>2812</v>
      </c>
      <c r="D3" s="3231" t="s">
        <v>2874</v>
      </c>
      <c r="E3" s="3231" t="s">
        <v>2814</v>
      </c>
      <c r="F3" s="3231" t="s">
        <v>2875</v>
      </c>
      <c r="G3" s="3231" t="s">
        <v>2632</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9"/>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3188</v>
      </c>
      <c r="B1" s="3792"/>
    </row>
    <row r="2" spans="1:7" ht="14.25" thickBot="1">
      <c r="A2" s="3255"/>
      <c r="B2" s="3255"/>
    </row>
    <row r="3" spans="1:7" ht="14.25" thickBot="1">
      <c r="A3" s="3255"/>
      <c r="B3" s="3255"/>
      <c r="C3" s="3256" t="s">
        <v>2812</v>
      </c>
      <c r="D3" s="3256" t="s">
        <v>2874</v>
      </c>
      <c r="E3" s="3256" t="s">
        <v>2814</v>
      </c>
      <c r="F3" s="3256" t="s">
        <v>2875</v>
      </c>
      <c r="G3" s="3256" t="s">
        <v>2632</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3239</v>
      </c>
      <c r="B1" s="3793"/>
      <c r="C1" s="3793"/>
      <c r="D1" s="3793"/>
      <c r="E1" s="3793"/>
      <c r="F1" s="3794"/>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H41" activeCellId="1" sqref="E26 H41"/>
    </sheetView>
  </sheetViews>
  <sheetFormatPr defaultRowHeight="13.5"/>
  <cols>
    <col min="1" max="1" width="13.875" customWidth="1"/>
  </cols>
  <sheetData>
    <row r="1" spans="1:30">
      <c r="A1" s="3221">
        <f>基准地价修正!G23</f>
        <v>44929</v>
      </c>
      <c r="B1" s="3210" t="s">
        <v>2845</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2821</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2822</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3362</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3363</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2823</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2824</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2825</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2826</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2827</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2828</v>
      </c>
    </row>
    <row r="17" spans="1:30" s="3008" customFormat="1"/>
    <row r="18" spans="1:30" s="3209" customFormat="1" ht="12.75">
      <c r="B18" s="3210" t="s">
        <v>2829</v>
      </c>
      <c r="C18" s="3211"/>
      <c r="D18" s="3211"/>
      <c r="E18" s="3211"/>
      <c r="F18" s="3211"/>
      <c r="G18" s="3211"/>
      <c r="H18" s="3211"/>
      <c r="I18" s="3211"/>
      <c r="J18" s="3164"/>
      <c r="K18" s="3211" t="s">
        <v>2830</v>
      </c>
      <c r="L18" s="3211"/>
      <c r="M18" s="3211"/>
      <c r="N18" s="3211"/>
      <c r="O18" s="3211"/>
      <c r="P18" s="3211"/>
      <c r="Q18" s="3164"/>
      <c r="R18" s="3795" t="s">
        <v>2831</v>
      </c>
      <c r="S18" s="3796"/>
      <c r="T18" s="3796"/>
      <c r="U18" s="3796"/>
      <c r="V18" s="3796"/>
      <c r="W18" s="3796"/>
      <c r="X18" s="3164"/>
      <c r="Y18" s="3795" t="s">
        <v>2832</v>
      </c>
      <c r="Z18" s="3796"/>
      <c r="AA18" s="3796"/>
      <c r="AB18" s="3796"/>
      <c r="AC18" s="3796"/>
      <c r="AD18" s="3796"/>
    </row>
    <row r="19" spans="1:30" s="3142" customFormat="1" ht="14.25" thickBot="1">
      <c r="B19" s="3143"/>
      <c r="C19" s="3144"/>
      <c r="D19" s="3145" t="s">
        <v>2833</v>
      </c>
      <c r="E19" s="3146" t="s">
        <v>2834</v>
      </c>
      <c r="F19" s="3146" t="s">
        <v>2835</v>
      </c>
      <c r="G19" s="3146" t="s">
        <v>2836</v>
      </c>
      <c r="H19" s="3146"/>
      <c r="I19" s="3146" t="s">
        <v>2837</v>
      </c>
      <c r="J19" s="3147"/>
      <c r="K19" s="3145" t="s">
        <v>2833</v>
      </c>
      <c r="L19" s="3146" t="s">
        <v>2834</v>
      </c>
      <c r="M19" s="3146" t="s">
        <v>2835</v>
      </c>
      <c r="N19" s="3146" t="s">
        <v>2836</v>
      </c>
      <c r="O19" s="3146"/>
      <c r="P19" s="3146" t="s">
        <v>2837</v>
      </c>
      <c r="Q19" s="3147"/>
      <c r="R19" s="3145" t="s">
        <v>2833</v>
      </c>
      <c r="S19" s="3146" t="s">
        <v>2834</v>
      </c>
      <c r="T19" s="3146" t="s">
        <v>2835</v>
      </c>
      <c r="U19" s="3146" t="s">
        <v>2836</v>
      </c>
      <c r="V19" s="3146"/>
      <c r="W19" s="3146" t="s">
        <v>2837</v>
      </c>
      <c r="X19" s="3147"/>
      <c r="Y19" s="3145" t="s">
        <v>2833</v>
      </c>
      <c r="Z19" s="3146" t="s">
        <v>2834</v>
      </c>
      <c r="AA19" s="3146" t="s">
        <v>2835</v>
      </c>
      <c r="AB19" s="3146" t="s">
        <v>2836</v>
      </c>
      <c r="AC19" s="3146"/>
      <c r="AD19" s="3146" t="s">
        <v>2837</v>
      </c>
    </row>
    <row r="20" spans="1:30" s="3160" customFormat="1" ht="12.75">
      <c r="A20" s="3148" t="s">
        <v>2838</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2839</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2840</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3364</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3363</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2841</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2842</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2843</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2844</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2827</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41" activeCellId="1" sqref="E26 H4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2311</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C59" sqref="C59"/>
    </sheetView>
  </sheetViews>
  <sheetFormatPr defaultRowHeight="12"/>
  <cols>
    <col min="1" max="2" width="20" style="3461" customWidth="1"/>
    <col min="3" max="3" width="7" style="3461" customWidth="1"/>
    <col min="4" max="4" width="6.75" style="3461" customWidth="1"/>
    <col min="5" max="5" width="20" style="3461" customWidth="1"/>
    <col min="6" max="6" width="20" style="3461" hidden="1" customWidth="1"/>
    <col min="7" max="7" width="10.125" style="3461" customWidth="1"/>
    <col min="8" max="8" width="10.5" style="3461" customWidth="1"/>
    <col min="9" max="9" width="6.875" style="3461" customWidth="1"/>
    <col min="10" max="10" width="20" style="3461" customWidth="1"/>
    <col min="11" max="11" width="20" style="3461" hidden="1" customWidth="1"/>
    <col min="12" max="12" width="6.625" style="3461" customWidth="1"/>
    <col min="13" max="13" width="10.125" style="3461" customWidth="1"/>
    <col min="14" max="15" width="20" style="3461" customWidth="1"/>
    <col min="16" max="17" width="10.875" style="3461" customWidth="1"/>
    <col min="18" max="18" width="10.125" style="3461" customWidth="1"/>
    <col min="19" max="20" width="9.375" style="3461" customWidth="1"/>
    <col min="21" max="21" width="20" style="3461" customWidth="1"/>
    <col min="22" max="16384" width="9" style="3461"/>
  </cols>
  <sheetData>
    <row r="1" spans="1:20">
      <c r="A1" s="3460" t="s">
        <v>3413</v>
      </c>
      <c r="B1" s="3460" t="s">
        <v>3414</v>
      </c>
      <c r="C1" s="3460" t="s">
        <v>3415</v>
      </c>
      <c r="D1" s="3460" t="s">
        <v>3416</v>
      </c>
      <c r="E1" s="3460" t="s">
        <v>3417</v>
      </c>
      <c r="F1" s="3460" t="s">
        <v>3418</v>
      </c>
      <c r="G1" s="3460" t="s">
        <v>3419</v>
      </c>
      <c r="H1" s="3460" t="s">
        <v>3420</v>
      </c>
      <c r="I1" s="3460" t="s">
        <v>3421</v>
      </c>
      <c r="J1" s="3460" t="s">
        <v>3422</v>
      </c>
      <c r="K1" s="3460" t="s">
        <v>3423</v>
      </c>
      <c r="L1" s="3460" t="s">
        <v>3424</v>
      </c>
      <c r="M1" s="3460" t="s">
        <v>3425</v>
      </c>
      <c r="N1" s="3460" t="s">
        <v>3426</v>
      </c>
      <c r="O1" s="3460" t="s">
        <v>3427</v>
      </c>
      <c r="P1" s="3460" t="s">
        <v>3428</v>
      </c>
      <c r="Q1" s="3460" t="s">
        <v>3429</v>
      </c>
      <c r="R1" s="3460" t="s">
        <v>3430</v>
      </c>
      <c r="S1" s="3460" t="s">
        <v>3431</v>
      </c>
      <c r="T1" s="3460" t="s">
        <v>3432</v>
      </c>
    </row>
    <row r="2" spans="1:20" s="3465" customFormat="1">
      <c r="A2" s="3463" t="s">
        <v>3433</v>
      </c>
      <c r="B2" s="3463" t="s">
        <v>3434</v>
      </c>
      <c r="C2" s="3463" t="s">
        <v>3435</v>
      </c>
      <c r="D2" s="3463" t="s">
        <v>3436</v>
      </c>
      <c r="E2" s="3463" t="s">
        <v>3437</v>
      </c>
      <c r="F2" s="3463" t="s">
        <v>3438</v>
      </c>
      <c r="G2" s="3463">
        <v>32733.22</v>
      </c>
      <c r="H2" s="3463">
        <v>72013.08</v>
      </c>
      <c r="I2" s="3463">
        <v>2.2000000000000002</v>
      </c>
      <c r="J2" s="3463" t="s">
        <v>3439</v>
      </c>
      <c r="K2" s="3463" t="s">
        <v>3440</v>
      </c>
      <c r="L2" s="3463" t="s">
        <v>3440</v>
      </c>
      <c r="M2" s="3464">
        <v>44865.000497685185</v>
      </c>
      <c r="N2" s="3463" t="s">
        <v>3441</v>
      </c>
      <c r="O2" s="3463" t="s">
        <v>3442</v>
      </c>
      <c r="P2" s="3463">
        <v>149000</v>
      </c>
      <c r="Q2" s="3463">
        <v>3034.63</v>
      </c>
      <c r="R2" s="3463">
        <v>20691</v>
      </c>
      <c r="S2" s="3463">
        <v>0</v>
      </c>
      <c r="T2" s="3463" t="s">
        <v>3443</v>
      </c>
    </row>
    <row r="3" spans="1:20" s="3465" customFormat="1">
      <c r="A3" s="3463" t="s">
        <v>3444</v>
      </c>
      <c r="B3" s="3463" t="s">
        <v>3445</v>
      </c>
      <c r="C3" s="3463" t="s">
        <v>3435</v>
      </c>
      <c r="D3" s="3463" t="s">
        <v>3436</v>
      </c>
      <c r="E3" s="3463" t="s">
        <v>3437</v>
      </c>
      <c r="F3" s="3463" t="s">
        <v>3438</v>
      </c>
      <c r="G3" s="3463">
        <v>29506.55</v>
      </c>
      <c r="H3" s="3463">
        <v>64914.41</v>
      </c>
      <c r="I3" s="3463">
        <v>2.2000000000000002</v>
      </c>
      <c r="J3" s="3463" t="s">
        <v>3439</v>
      </c>
      <c r="K3" s="3463" t="s">
        <v>3440</v>
      </c>
      <c r="L3" s="3463" t="s">
        <v>3440</v>
      </c>
      <c r="M3" s="3464">
        <v>44865.000497685185</v>
      </c>
      <c r="N3" s="3463" t="s">
        <v>3446</v>
      </c>
      <c r="O3" s="3463" t="s">
        <v>3442</v>
      </c>
      <c r="P3" s="3463">
        <v>135000</v>
      </c>
      <c r="Q3" s="3463">
        <v>3050.17</v>
      </c>
      <c r="R3" s="3463">
        <v>20797</v>
      </c>
      <c r="S3" s="3463">
        <v>0</v>
      </c>
      <c r="T3" s="3463" t="s">
        <v>3443</v>
      </c>
    </row>
    <row r="4" spans="1:20">
      <c r="A4" s="3460" t="s">
        <v>3447</v>
      </c>
      <c r="B4" s="3460" t="s">
        <v>3448</v>
      </c>
      <c r="C4" s="3460" t="s">
        <v>3449</v>
      </c>
      <c r="D4" s="3460" t="s">
        <v>3450</v>
      </c>
      <c r="E4" s="3460" t="s">
        <v>3451</v>
      </c>
      <c r="F4" s="3460" t="s">
        <v>3438</v>
      </c>
      <c r="G4" s="3460">
        <v>10000</v>
      </c>
      <c r="H4" s="3460">
        <v>22000</v>
      </c>
      <c r="I4" s="3460" t="s">
        <v>3452</v>
      </c>
      <c r="J4" s="3460" t="s">
        <v>3439</v>
      </c>
      <c r="K4" s="3460" t="s">
        <v>3440</v>
      </c>
      <c r="L4" s="3460" t="s">
        <v>3440</v>
      </c>
      <c r="M4" s="3462">
        <v>44795.000497685185</v>
      </c>
      <c r="N4" s="3460" t="s">
        <v>3453</v>
      </c>
      <c r="O4" s="3460" t="s">
        <v>3454</v>
      </c>
      <c r="P4" s="3460">
        <v>36400</v>
      </c>
      <c r="Q4" s="3460">
        <v>2426.67</v>
      </c>
      <c r="R4" s="3460">
        <v>16545</v>
      </c>
      <c r="S4" s="3460">
        <v>0</v>
      </c>
      <c r="T4" s="3460" t="s">
        <v>3455</v>
      </c>
    </row>
    <row r="5" spans="1:20">
      <c r="A5" s="3460" t="s">
        <v>3456</v>
      </c>
      <c r="B5" s="3460" t="s">
        <v>3457</v>
      </c>
      <c r="C5" s="3460" t="s">
        <v>3449</v>
      </c>
      <c r="D5" s="3460" t="s">
        <v>3450</v>
      </c>
      <c r="E5" s="3460" t="s">
        <v>3451</v>
      </c>
      <c r="F5" s="3460" t="s">
        <v>3438</v>
      </c>
      <c r="G5" s="3460">
        <v>5500</v>
      </c>
      <c r="H5" s="3460">
        <v>12100</v>
      </c>
      <c r="I5" s="3460" t="s">
        <v>3452</v>
      </c>
      <c r="J5" s="3460" t="s">
        <v>3439</v>
      </c>
      <c r="K5" s="3460" t="s">
        <v>3440</v>
      </c>
      <c r="L5" s="3460" t="s">
        <v>3440</v>
      </c>
      <c r="M5" s="3462">
        <v>44796.000497685185</v>
      </c>
      <c r="N5" s="3460" t="s">
        <v>3458</v>
      </c>
      <c r="O5" s="3460" t="s">
        <v>3440</v>
      </c>
      <c r="P5" s="3460">
        <v>20000</v>
      </c>
      <c r="Q5" s="3460">
        <v>2424.2399999999998</v>
      </c>
      <c r="R5" s="3460">
        <v>16529</v>
      </c>
      <c r="S5" s="3460">
        <v>0</v>
      </c>
      <c r="T5" s="3460" t="s">
        <v>3455</v>
      </c>
    </row>
    <row r="6" spans="1:20">
      <c r="A6" s="3460" t="s">
        <v>3459</v>
      </c>
      <c r="B6" s="3460" t="s">
        <v>3460</v>
      </c>
      <c r="C6" s="3460" t="s">
        <v>3449</v>
      </c>
      <c r="D6" s="3460" t="s">
        <v>3461</v>
      </c>
      <c r="E6" s="3460" t="s">
        <v>3462</v>
      </c>
      <c r="F6" s="3460" t="s">
        <v>3438</v>
      </c>
      <c r="G6" s="3460">
        <v>16122.82</v>
      </c>
      <c r="H6" s="3460">
        <v>45143.91</v>
      </c>
      <c r="I6" s="3460" t="s">
        <v>3463</v>
      </c>
      <c r="J6" s="3460" t="s">
        <v>3439</v>
      </c>
      <c r="K6" s="3460" t="s">
        <v>3440</v>
      </c>
      <c r="L6" s="3460" t="s">
        <v>3440</v>
      </c>
      <c r="M6" s="3462">
        <v>44761.000497685185</v>
      </c>
      <c r="N6" s="3460" t="s">
        <v>3464</v>
      </c>
      <c r="O6" s="3460" t="s">
        <v>3465</v>
      </c>
      <c r="P6" s="3460">
        <v>76000</v>
      </c>
      <c r="Q6" s="3460">
        <v>3142.54</v>
      </c>
      <c r="R6" s="3460">
        <v>16835</v>
      </c>
      <c r="S6" s="3460">
        <v>0</v>
      </c>
      <c r="T6" s="3460" t="s">
        <v>3466</v>
      </c>
    </row>
    <row r="7" spans="1:20">
      <c r="A7" s="3460" t="s">
        <v>3467</v>
      </c>
      <c r="B7" s="3460" t="s">
        <v>3468</v>
      </c>
      <c r="C7" s="3460" t="s">
        <v>3449</v>
      </c>
      <c r="D7" s="3460" t="s">
        <v>3469</v>
      </c>
      <c r="E7" s="3460" t="s">
        <v>3470</v>
      </c>
      <c r="F7" s="3460" t="s">
        <v>3438</v>
      </c>
      <c r="G7" s="3460">
        <v>29991.73</v>
      </c>
      <c r="H7" s="3460">
        <v>119966.93</v>
      </c>
      <c r="I7" s="3460">
        <v>4</v>
      </c>
      <c r="J7" s="3460" t="s">
        <v>3439</v>
      </c>
      <c r="K7" s="3460">
        <v>100</v>
      </c>
      <c r="L7" s="3460" t="s">
        <v>3440</v>
      </c>
      <c r="M7" s="3462">
        <v>44566.000497685185</v>
      </c>
      <c r="N7" s="3460" t="s">
        <v>3471</v>
      </c>
      <c r="O7" s="3460" t="s">
        <v>3440</v>
      </c>
      <c r="P7" s="3460">
        <v>165300</v>
      </c>
      <c r="Q7" s="3460">
        <v>3674.35</v>
      </c>
      <c r="R7" s="3460">
        <v>13779</v>
      </c>
      <c r="S7" s="3460">
        <v>0</v>
      </c>
      <c r="T7" s="3460" t="s">
        <v>3472</v>
      </c>
    </row>
    <row r="8" spans="1:20">
      <c r="A8" s="3460" t="s">
        <v>3473</v>
      </c>
      <c r="B8" s="3460" t="s">
        <v>3474</v>
      </c>
      <c r="C8" s="3460" t="s">
        <v>3435</v>
      </c>
      <c r="D8" s="3460" t="s">
        <v>3436</v>
      </c>
      <c r="E8" s="3460" t="s">
        <v>3475</v>
      </c>
      <c r="F8" s="3460" t="s">
        <v>3438</v>
      </c>
      <c r="G8" s="3460">
        <v>38252.550000000003</v>
      </c>
      <c r="H8" s="3460">
        <v>84155.61</v>
      </c>
      <c r="I8" s="3460">
        <v>2.2000000000000002</v>
      </c>
      <c r="J8" s="3460" t="s">
        <v>3439</v>
      </c>
      <c r="K8" s="3460">
        <v>45</v>
      </c>
      <c r="L8" s="3460" t="s">
        <v>3440</v>
      </c>
      <c r="M8" s="3462">
        <v>44495.000497685185</v>
      </c>
      <c r="N8" s="3460" t="s">
        <v>3476</v>
      </c>
      <c r="O8" s="3460" t="s">
        <v>3440</v>
      </c>
      <c r="P8" s="3460">
        <v>175000</v>
      </c>
      <c r="Q8" s="3460">
        <v>3049.91</v>
      </c>
      <c r="R8" s="3460">
        <v>20795</v>
      </c>
      <c r="S8" s="3460">
        <v>0</v>
      </c>
      <c r="T8" s="3460" t="s">
        <v>3472</v>
      </c>
    </row>
    <row r="9" spans="1:20">
      <c r="A9" s="3460" t="s">
        <v>3477</v>
      </c>
      <c r="B9" s="3460" t="s">
        <v>3478</v>
      </c>
      <c r="C9" s="3460" t="s">
        <v>3435</v>
      </c>
      <c r="D9" s="3460" t="s">
        <v>3436</v>
      </c>
      <c r="E9" s="3460" t="s">
        <v>3475</v>
      </c>
      <c r="F9" s="3460" t="s">
        <v>3438</v>
      </c>
      <c r="G9" s="3460">
        <v>30025.18</v>
      </c>
      <c r="H9" s="3460">
        <v>66055.39</v>
      </c>
      <c r="I9" s="3460">
        <v>2.2000000000000002</v>
      </c>
      <c r="J9" s="3460" t="s">
        <v>3439</v>
      </c>
      <c r="K9" s="3460">
        <v>45</v>
      </c>
      <c r="L9" s="3460" t="s">
        <v>3440</v>
      </c>
      <c r="M9" s="3462">
        <v>44495.000497685185</v>
      </c>
      <c r="N9" s="3460" t="s">
        <v>3479</v>
      </c>
      <c r="O9" s="3460" t="s">
        <v>3440</v>
      </c>
      <c r="P9" s="3460">
        <v>137000</v>
      </c>
      <c r="Q9" s="3460">
        <v>3041.89</v>
      </c>
      <c r="R9" s="3460">
        <v>20740</v>
      </c>
      <c r="S9" s="3460">
        <v>0</v>
      </c>
      <c r="T9" s="3460" t="s">
        <v>3472</v>
      </c>
    </row>
    <row r="10" spans="1:20">
      <c r="A10" s="3460" t="s">
        <v>3480</v>
      </c>
      <c r="B10" s="3460" t="s">
        <v>3481</v>
      </c>
      <c r="C10" s="3460" t="s">
        <v>3449</v>
      </c>
      <c r="D10" s="3460" t="s">
        <v>3461</v>
      </c>
      <c r="E10" s="3460" t="s">
        <v>3462</v>
      </c>
      <c r="F10" s="3460" t="s">
        <v>3438</v>
      </c>
      <c r="G10" s="3460">
        <v>204418.11</v>
      </c>
      <c r="H10" s="3460">
        <v>302000</v>
      </c>
      <c r="I10" s="3460">
        <v>1.5</v>
      </c>
      <c r="J10" s="3460" t="s">
        <v>3439</v>
      </c>
      <c r="K10" s="3460">
        <v>36</v>
      </c>
      <c r="L10" s="3460" t="s">
        <v>3440</v>
      </c>
      <c r="M10" s="3462">
        <v>44495.000497685185</v>
      </c>
      <c r="N10" s="3460" t="s">
        <v>3482</v>
      </c>
      <c r="O10" s="3460" t="s">
        <v>3483</v>
      </c>
      <c r="P10" s="3460">
        <v>506700</v>
      </c>
      <c r="Q10" s="3460">
        <v>1652.5</v>
      </c>
      <c r="R10" s="3460">
        <v>16778</v>
      </c>
      <c r="S10" s="3460">
        <v>0</v>
      </c>
      <c r="T10" s="3460" t="s">
        <v>3472</v>
      </c>
    </row>
    <row r="11" spans="1:20" hidden="1">
      <c r="A11" s="3460" t="s">
        <v>3484</v>
      </c>
      <c r="B11" s="3460" t="s">
        <v>3485</v>
      </c>
      <c r="C11" s="3460" t="s">
        <v>3486</v>
      </c>
      <c r="D11" s="3460" t="s">
        <v>3487</v>
      </c>
      <c r="E11" s="3460" t="s">
        <v>3488</v>
      </c>
      <c r="F11" s="3460" t="s">
        <v>3438</v>
      </c>
      <c r="G11" s="3460">
        <v>12136.3</v>
      </c>
      <c r="H11" s="3460">
        <v>42477</v>
      </c>
      <c r="I11" s="3460">
        <v>3.5</v>
      </c>
      <c r="J11" s="3460" t="s">
        <v>3489</v>
      </c>
      <c r="K11" s="3460">
        <v>45</v>
      </c>
      <c r="L11" s="3460" t="s">
        <v>3440</v>
      </c>
      <c r="M11" s="3462">
        <v>44495.000497685185</v>
      </c>
      <c r="N11" s="3460" t="s">
        <v>3490</v>
      </c>
      <c r="O11" s="3460" t="s">
        <v>3491</v>
      </c>
      <c r="P11" s="3460">
        <v>71000</v>
      </c>
      <c r="Q11" s="3460">
        <v>3900.15</v>
      </c>
      <c r="R11" s="3460">
        <v>16715</v>
      </c>
      <c r="S11" s="3460">
        <v>0</v>
      </c>
      <c r="T11" s="3460" t="s">
        <v>3472</v>
      </c>
    </row>
    <row r="12" spans="1:20">
      <c r="A12" s="3460" t="s">
        <v>3492</v>
      </c>
      <c r="B12" s="3460" t="s">
        <v>3493</v>
      </c>
      <c r="C12" s="3460" t="s">
        <v>3435</v>
      </c>
      <c r="D12" s="3460" t="s">
        <v>3436</v>
      </c>
      <c r="E12" s="3460" t="s">
        <v>3475</v>
      </c>
      <c r="F12" s="3460" t="s">
        <v>3438</v>
      </c>
      <c r="G12" s="3460">
        <v>25121.77</v>
      </c>
      <c r="H12" s="3460">
        <v>55267.89</v>
      </c>
      <c r="I12" s="3460">
        <v>2.2000000000000002</v>
      </c>
      <c r="J12" s="3460" t="s">
        <v>3439</v>
      </c>
      <c r="K12" s="3460">
        <v>45</v>
      </c>
      <c r="L12" s="3460" t="s">
        <v>3440</v>
      </c>
      <c r="M12" s="3462">
        <v>44495.000497685185</v>
      </c>
      <c r="N12" s="3460" t="s">
        <v>3494</v>
      </c>
      <c r="O12" s="3460" t="s">
        <v>3440</v>
      </c>
      <c r="P12" s="3460">
        <v>115000</v>
      </c>
      <c r="Q12" s="3460">
        <v>3051.8</v>
      </c>
      <c r="R12" s="3460">
        <v>20808</v>
      </c>
      <c r="S12" s="3460">
        <v>0</v>
      </c>
      <c r="T12" s="3460" t="s">
        <v>3472</v>
      </c>
    </row>
    <row r="13" spans="1:20" hidden="1">
      <c r="A13" s="3460" t="s">
        <v>3495</v>
      </c>
      <c r="B13" s="3460" t="s">
        <v>3496</v>
      </c>
      <c r="C13" s="3460" t="s">
        <v>3449</v>
      </c>
      <c r="D13" s="3460" t="s">
        <v>3469</v>
      </c>
      <c r="E13" s="3460" t="s">
        <v>3497</v>
      </c>
      <c r="F13" s="3460" t="s">
        <v>3438</v>
      </c>
      <c r="G13" s="3460">
        <v>17147.95</v>
      </c>
      <c r="H13" s="3460">
        <v>53158.65</v>
      </c>
      <c r="I13" s="3460" t="s">
        <v>3498</v>
      </c>
      <c r="J13" s="3460" t="s">
        <v>3499</v>
      </c>
      <c r="K13" s="3460" t="s">
        <v>3500</v>
      </c>
      <c r="L13" s="3460" t="s">
        <v>3440</v>
      </c>
      <c r="M13" s="3462">
        <v>44335.000497685185</v>
      </c>
      <c r="N13" s="3460" t="s">
        <v>3501</v>
      </c>
      <c r="O13" s="3460" t="s">
        <v>3502</v>
      </c>
      <c r="P13" s="3460">
        <v>69200</v>
      </c>
      <c r="Q13" s="3460">
        <v>2690.31</v>
      </c>
      <c r="R13" s="3460">
        <v>13018</v>
      </c>
      <c r="S13" s="3460">
        <v>0</v>
      </c>
      <c r="T13" s="3460" t="s">
        <v>3503</v>
      </c>
    </row>
    <row r="14" spans="1:20">
      <c r="A14" s="3460" t="s">
        <v>3504</v>
      </c>
      <c r="B14" s="3460" t="s">
        <v>3505</v>
      </c>
      <c r="C14" s="3460" t="s">
        <v>3449</v>
      </c>
      <c r="D14" s="3460" t="s">
        <v>3461</v>
      </c>
      <c r="E14" s="3460" t="s">
        <v>3506</v>
      </c>
      <c r="F14" s="3460" t="s">
        <v>3438</v>
      </c>
      <c r="G14" s="3460">
        <v>22058.78</v>
      </c>
      <c r="H14" s="3460">
        <v>47390</v>
      </c>
      <c r="I14" s="3460" t="s">
        <v>3507</v>
      </c>
      <c r="J14" s="3460" t="s">
        <v>3439</v>
      </c>
      <c r="K14" s="3460" t="s">
        <v>3508</v>
      </c>
      <c r="L14" s="3460" t="s">
        <v>3440</v>
      </c>
      <c r="M14" s="3462">
        <v>44234.000497685185</v>
      </c>
      <c r="N14" s="3460" t="s">
        <v>3509</v>
      </c>
      <c r="O14" s="3460" t="s">
        <v>3510</v>
      </c>
      <c r="P14" s="3460">
        <v>32700</v>
      </c>
      <c r="Q14" s="3460">
        <v>988.27</v>
      </c>
      <c r="R14" s="3460">
        <v>6900</v>
      </c>
      <c r="S14" s="3460">
        <v>0</v>
      </c>
      <c r="T14" s="3460" t="s">
        <v>3503</v>
      </c>
    </row>
    <row r="15" spans="1:20" hidden="1">
      <c r="A15" s="3460" t="s">
        <v>3511</v>
      </c>
      <c r="B15" s="3460" t="s">
        <v>3512</v>
      </c>
      <c r="C15" s="3460" t="s">
        <v>3486</v>
      </c>
      <c r="D15" s="3460" t="s">
        <v>3487</v>
      </c>
      <c r="E15" s="3460" t="s">
        <v>3513</v>
      </c>
      <c r="F15" s="3460" t="s">
        <v>3438</v>
      </c>
      <c r="G15" s="3460">
        <v>28676.63</v>
      </c>
      <c r="H15" s="3460">
        <v>114706.51</v>
      </c>
      <c r="I15" s="3460" t="s">
        <v>3514</v>
      </c>
      <c r="J15" s="3460" t="s">
        <v>3515</v>
      </c>
      <c r="K15" s="3460" t="s">
        <v>3516</v>
      </c>
      <c r="L15" s="3460" t="s">
        <v>3440</v>
      </c>
      <c r="M15" s="3462">
        <v>44179.000497685185</v>
      </c>
      <c r="N15" s="3460" t="s">
        <v>3517</v>
      </c>
      <c r="O15" s="3460" t="s">
        <v>3518</v>
      </c>
      <c r="P15" s="3460">
        <v>175500</v>
      </c>
      <c r="Q15" s="3460">
        <v>4079.98</v>
      </c>
      <c r="R15" s="3460">
        <v>15300</v>
      </c>
      <c r="S15" s="3460">
        <v>0</v>
      </c>
      <c r="T15" s="3460" t="s">
        <v>3455</v>
      </c>
    </row>
    <row r="16" spans="1:20" hidden="1">
      <c r="A16" s="3460" t="s">
        <v>3519</v>
      </c>
      <c r="B16" s="3460" t="s">
        <v>3520</v>
      </c>
      <c r="C16" s="3460" t="s">
        <v>3435</v>
      </c>
      <c r="D16" s="3460" t="s">
        <v>3521</v>
      </c>
      <c r="E16" s="3460" t="s">
        <v>3522</v>
      </c>
      <c r="F16" s="3460" t="s">
        <v>3438</v>
      </c>
      <c r="G16" s="3460">
        <v>51788.13</v>
      </c>
      <c r="H16" s="3460">
        <v>184800</v>
      </c>
      <c r="I16" s="3460" t="s">
        <v>3523</v>
      </c>
      <c r="J16" s="3460" t="s">
        <v>3489</v>
      </c>
      <c r="K16" s="3460" t="s">
        <v>3524</v>
      </c>
      <c r="L16" s="3460" t="s">
        <v>3440</v>
      </c>
      <c r="M16" s="3462">
        <v>44167.000497685185</v>
      </c>
      <c r="N16" s="3460" t="s">
        <v>3525</v>
      </c>
      <c r="O16" s="3460" t="s">
        <v>3526</v>
      </c>
      <c r="P16" s="3460">
        <v>579500</v>
      </c>
      <c r="Q16" s="3460">
        <v>7459.88</v>
      </c>
      <c r="R16" s="3460">
        <v>31358</v>
      </c>
      <c r="S16" s="3460">
        <v>1.58</v>
      </c>
      <c r="T16" s="3460" t="s">
        <v>3455</v>
      </c>
    </row>
    <row r="17" spans="1:20" hidden="1">
      <c r="A17" s="3460" t="s">
        <v>3527</v>
      </c>
      <c r="B17" s="3460" t="s">
        <v>3528</v>
      </c>
      <c r="C17" s="3460" t="s">
        <v>3529</v>
      </c>
      <c r="D17" s="3460" t="s">
        <v>3530</v>
      </c>
      <c r="E17" s="3460" t="s">
        <v>3531</v>
      </c>
      <c r="F17" s="3460" t="s">
        <v>3438</v>
      </c>
      <c r="G17" s="3460">
        <v>7289.19</v>
      </c>
      <c r="H17" s="3460">
        <v>21867.57</v>
      </c>
      <c r="I17" s="3460" t="s">
        <v>3532</v>
      </c>
      <c r="J17" s="3460" t="s">
        <v>3533</v>
      </c>
      <c r="K17" s="3460" t="s">
        <v>3516</v>
      </c>
      <c r="L17" s="3460" t="s">
        <v>3440</v>
      </c>
      <c r="M17" s="3462">
        <v>43923.000497685185</v>
      </c>
      <c r="N17" s="3460" t="s">
        <v>3534</v>
      </c>
      <c r="O17" s="3460" t="s">
        <v>3535</v>
      </c>
      <c r="P17" s="3460">
        <v>35200</v>
      </c>
      <c r="Q17" s="3460">
        <v>3219.38</v>
      </c>
      <c r="R17" s="3460">
        <v>16097</v>
      </c>
      <c r="S17" s="3460">
        <v>0</v>
      </c>
      <c r="T17" s="3460" t="s">
        <v>3455</v>
      </c>
    </row>
    <row r="18" spans="1:20" s="3465" customFormat="1">
      <c r="A18" s="3463" t="s">
        <v>3536</v>
      </c>
      <c r="B18" s="3463" t="s">
        <v>3537</v>
      </c>
      <c r="C18" s="3463" t="s">
        <v>3538</v>
      </c>
      <c r="D18" s="3463" t="s">
        <v>3539</v>
      </c>
      <c r="E18" s="3463" t="s">
        <v>3540</v>
      </c>
      <c r="F18" s="3463" t="s">
        <v>3438</v>
      </c>
      <c r="G18" s="3463">
        <v>12501.51</v>
      </c>
      <c r="H18" s="3463">
        <v>37505</v>
      </c>
      <c r="I18" s="3463" t="s">
        <v>3532</v>
      </c>
      <c r="J18" s="3463" t="s">
        <v>3439</v>
      </c>
      <c r="K18" s="3463" t="s">
        <v>3541</v>
      </c>
      <c r="L18" s="3463" t="s">
        <v>3440</v>
      </c>
      <c r="M18" s="3464">
        <v>43923.000497685185</v>
      </c>
      <c r="N18" s="3463" t="s">
        <v>3542</v>
      </c>
      <c r="O18" s="3463" t="s">
        <v>3543</v>
      </c>
      <c r="P18" s="3463">
        <v>56000</v>
      </c>
      <c r="Q18" s="3463">
        <v>2986.31</v>
      </c>
      <c r="R18" s="3463">
        <v>14931</v>
      </c>
      <c r="S18" s="3463">
        <v>0</v>
      </c>
      <c r="T18" s="3463" t="s">
        <v>3455</v>
      </c>
    </row>
    <row r="19" spans="1:20" hidden="1">
      <c r="A19" s="3460" t="s">
        <v>3544</v>
      </c>
      <c r="B19" s="3460" t="s">
        <v>3545</v>
      </c>
      <c r="C19" s="3460" t="s">
        <v>3486</v>
      </c>
      <c r="D19" s="3460" t="s">
        <v>3487</v>
      </c>
      <c r="E19" s="3460" t="s">
        <v>3546</v>
      </c>
      <c r="F19" s="3460" t="s">
        <v>3438</v>
      </c>
      <c r="G19" s="3460">
        <v>30159.25</v>
      </c>
      <c r="H19" s="3460">
        <v>138421</v>
      </c>
      <c r="I19" s="3460" t="s">
        <v>3547</v>
      </c>
      <c r="J19" s="3460" t="s">
        <v>3489</v>
      </c>
      <c r="K19" s="3460" t="s">
        <v>3548</v>
      </c>
      <c r="L19" s="3460" t="s">
        <v>3440</v>
      </c>
      <c r="M19" s="3462">
        <v>43811.000497685185</v>
      </c>
      <c r="N19" s="3460" t="s">
        <v>3549</v>
      </c>
      <c r="O19" s="3460" t="s">
        <v>3550</v>
      </c>
      <c r="P19" s="3460">
        <v>230100</v>
      </c>
      <c r="Q19" s="3460">
        <v>5086.33</v>
      </c>
      <c r="R19" s="3460">
        <v>16623</v>
      </c>
      <c r="S19" s="3460">
        <v>0</v>
      </c>
      <c r="T19" s="3460" t="s">
        <v>3455</v>
      </c>
    </row>
    <row r="20" spans="1:20" hidden="1">
      <c r="A20" s="3460" t="s">
        <v>3551</v>
      </c>
      <c r="B20" s="3460" t="s">
        <v>3552</v>
      </c>
      <c r="C20" s="3460" t="s">
        <v>3486</v>
      </c>
      <c r="D20" s="3460" t="s">
        <v>3487</v>
      </c>
      <c r="E20" s="3460" t="s">
        <v>3546</v>
      </c>
      <c r="F20" s="3460" t="s">
        <v>3438</v>
      </c>
      <c r="G20" s="3460">
        <v>35629.120000000003</v>
      </c>
      <c r="H20" s="3460">
        <v>100429</v>
      </c>
      <c r="I20" s="3460" t="s">
        <v>3553</v>
      </c>
      <c r="J20" s="3460" t="s">
        <v>3554</v>
      </c>
      <c r="K20" s="3460" t="s">
        <v>3555</v>
      </c>
      <c r="L20" s="3460" t="s">
        <v>3440</v>
      </c>
      <c r="M20" s="3462">
        <v>43811.000497685185</v>
      </c>
      <c r="N20" s="3460" t="s">
        <v>3549</v>
      </c>
      <c r="O20" s="3460" t="s">
        <v>3550</v>
      </c>
      <c r="P20" s="3460">
        <v>166700</v>
      </c>
      <c r="Q20" s="3460">
        <v>3119.17</v>
      </c>
      <c r="R20" s="3460">
        <v>16599</v>
      </c>
      <c r="S20" s="3460">
        <v>0</v>
      </c>
      <c r="T20" s="3460" t="s">
        <v>3455</v>
      </c>
    </row>
    <row r="21" spans="1:20" hidden="1">
      <c r="A21" s="3460" t="s">
        <v>3556</v>
      </c>
      <c r="B21" s="3460" t="s">
        <v>3557</v>
      </c>
      <c r="C21" s="3460" t="s">
        <v>3435</v>
      </c>
      <c r="D21" s="3460" t="s">
        <v>3558</v>
      </c>
      <c r="E21" s="3460" t="s">
        <v>3559</v>
      </c>
      <c r="F21" s="3460" t="s">
        <v>3438</v>
      </c>
      <c r="G21" s="3460">
        <v>70601.070000000007</v>
      </c>
      <c r="H21" s="3460">
        <v>285523</v>
      </c>
      <c r="I21" s="3460" t="s">
        <v>3560</v>
      </c>
      <c r="J21" s="3460" t="s">
        <v>3561</v>
      </c>
      <c r="K21" s="3460" t="s">
        <v>3440</v>
      </c>
      <c r="L21" s="3460" t="s">
        <v>3440</v>
      </c>
      <c r="M21" s="3462">
        <v>43801.000497685185</v>
      </c>
      <c r="N21" s="3460" t="s">
        <v>3562</v>
      </c>
      <c r="O21" s="3460" t="s">
        <v>3563</v>
      </c>
      <c r="P21" s="3460">
        <v>660900</v>
      </c>
      <c r="Q21" s="3460">
        <v>6240.7</v>
      </c>
      <c r="R21" s="3460">
        <v>23147</v>
      </c>
      <c r="S21" s="3460">
        <v>0</v>
      </c>
      <c r="T21" s="3460" t="s">
        <v>3455</v>
      </c>
    </row>
    <row r="22" spans="1:20">
      <c r="A22" s="3460" t="s">
        <v>3564</v>
      </c>
      <c r="B22" s="3460" t="s">
        <v>3565</v>
      </c>
      <c r="C22" s="3460" t="s">
        <v>3449</v>
      </c>
      <c r="D22" s="3460" t="s">
        <v>3469</v>
      </c>
      <c r="E22" s="3460" t="s">
        <v>3566</v>
      </c>
      <c r="F22" s="3460" t="s">
        <v>3438</v>
      </c>
      <c r="G22" s="3460">
        <v>28003.32</v>
      </c>
      <c r="H22" s="3460">
        <v>70008</v>
      </c>
      <c r="I22" s="3460" t="s">
        <v>3567</v>
      </c>
      <c r="J22" s="3460" t="s">
        <v>3439</v>
      </c>
      <c r="K22" s="3460" t="s">
        <v>3568</v>
      </c>
      <c r="L22" s="3460" t="s">
        <v>3440</v>
      </c>
      <c r="M22" s="3462">
        <v>43755.000497685185</v>
      </c>
      <c r="N22" s="3460" t="s">
        <v>3569</v>
      </c>
      <c r="O22" s="3460" t="s">
        <v>3570</v>
      </c>
      <c r="P22" s="3460">
        <v>97800</v>
      </c>
      <c r="Q22" s="3460">
        <v>2328.3000000000002</v>
      </c>
      <c r="R22" s="3460">
        <v>13970</v>
      </c>
      <c r="S22" s="3460">
        <v>1.03</v>
      </c>
      <c r="T22" s="3460" t="s">
        <v>3443</v>
      </c>
    </row>
    <row r="23" spans="1:20" hidden="1">
      <c r="A23" s="3460" t="s">
        <v>3571</v>
      </c>
      <c r="B23" s="3460" t="s">
        <v>3572</v>
      </c>
      <c r="C23" s="3460" t="s">
        <v>3435</v>
      </c>
      <c r="D23" s="3460" t="s">
        <v>3573</v>
      </c>
      <c r="E23" s="3460" t="s">
        <v>3574</v>
      </c>
      <c r="F23" s="3460" t="s">
        <v>3438</v>
      </c>
      <c r="G23" s="3460">
        <v>22035.93</v>
      </c>
      <c r="H23" s="3460">
        <v>61700.6</v>
      </c>
      <c r="I23" s="3460" t="s">
        <v>3463</v>
      </c>
      <c r="J23" s="3460" t="s">
        <v>3489</v>
      </c>
      <c r="K23" s="3460" t="s">
        <v>3516</v>
      </c>
      <c r="L23" s="3460" t="s">
        <v>3440</v>
      </c>
      <c r="M23" s="3462">
        <v>43650.000497685185</v>
      </c>
      <c r="N23" s="3460" t="s">
        <v>3575</v>
      </c>
      <c r="O23" s="3460" t="s">
        <v>3576</v>
      </c>
      <c r="P23" s="3460">
        <v>103700</v>
      </c>
      <c r="Q23" s="3460">
        <v>3137.3</v>
      </c>
      <c r="R23" s="3460">
        <v>16807</v>
      </c>
      <c r="S23" s="3460">
        <v>0</v>
      </c>
      <c r="T23" s="3460" t="s">
        <v>3455</v>
      </c>
    </row>
    <row r="24" spans="1:20" hidden="1">
      <c r="A24" s="3460" t="s">
        <v>3577</v>
      </c>
      <c r="B24" s="3460" t="s">
        <v>3578</v>
      </c>
      <c r="C24" s="3460" t="s">
        <v>3435</v>
      </c>
      <c r="D24" s="3460" t="s">
        <v>3436</v>
      </c>
      <c r="E24" s="3460" t="s">
        <v>3579</v>
      </c>
      <c r="F24" s="3460" t="s">
        <v>3438</v>
      </c>
      <c r="G24" s="3460">
        <v>32158.94</v>
      </c>
      <c r="H24" s="3460">
        <v>96476.82</v>
      </c>
      <c r="I24" s="3460" t="s">
        <v>3532</v>
      </c>
      <c r="J24" s="3460" t="s">
        <v>3515</v>
      </c>
      <c r="K24" s="3460" t="s">
        <v>3580</v>
      </c>
      <c r="L24" s="3460" t="s">
        <v>3440</v>
      </c>
      <c r="M24" s="3462">
        <v>43613.000497685185</v>
      </c>
      <c r="N24" s="3460" t="s">
        <v>3581</v>
      </c>
      <c r="O24" s="3460" t="s">
        <v>3442</v>
      </c>
      <c r="P24" s="3460">
        <v>263800</v>
      </c>
      <c r="Q24" s="3460">
        <v>5468.67</v>
      </c>
      <c r="R24" s="3460">
        <v>27343</v>
      </c>
      <c r="S24" s="3460">
        <v>0</v>
      </c>
      <c r="T24" s="3460" t="s">
        <v>3455</v>
      </c>
    </row>
    <row r="25" spans="1:20" hidden="1">
      <c r="A25" s="3460" t="s">
        <v>3582</v>
      </c>
      <c r="B25" s="3460" t="s">
        <v>3583</v>
      </c>
      <c r="C25" s="3460" t="s">
        <v>3538</v>
      </c>
      <c r="D25" s="3460" t="s">
        <v>3539</v>
      </c>
      <c r="E25" s="3460" t="s">
        <v>3584</v>
      </c>
      <c r="F25" s="3460" t="s">
        <v>3438</v>
      </c>
      <c r="G25" s="3460">
        <v>28622.32</v>
      </c>
      <c r="H25" s="3460">
        <v>71556</v>
      </c>
      <c r="I25" s="3460">
        <v>2.5</v>
      </c>
      <c r="J25" s="3460" t="s">
        <v>3489</v>
      </c>
      <c r="K25" s="3460" t="s">
        <v>3585</v>
      </c>
      <c r="L25" s="3460" t="s">
        <v>3440</v>
      </c>
      <c r="M25" s="3462">
        <v>43430.000497685185</v>
      </c>
      <c r="N25" s="3460" t="s">
        <v>3586</v>
      </c>
      <c r="O25" s="3460" t="s">
        <v>3587</v>
      </c>
      <c r="P25" s="3460">
        <v>132000</v>
      </c>
      <c r="Q25" s="3460">
        <v>3074.52</v>
      </c>
      <c r="R25" s="3460">
        <v>18447</v>
      </c>
      <c r="S25" s="3460">
        <v>0</v>
      </c>
      <c r="T25" s="3460" t="s">
        <v>3455</v>
      </c>
    </row>
    <row r="26" spans="1:20" hidden="1">
      <c r="A26" s="3460" t="s">
        <v>3588</v>
      </c>
      <c r="B26" s="3460" t="s">
        <v>3589</v>
      </c>
      <c r="C26" s="3460" t="s">
        <v>3529</v>
      </c>
      <c r="D26" s="3460" t="s">
        <v>3590</v>
      </c>
      <c r="E26" s="3460" t="s">
        <v>3591</v>
      </c>
      <c r="F26" s="3460" t="s">
        <v>3438</v>
      </c>
      <c r="G26" s="3460">
        <v>138746.29999999999</v>
      </c>
      <c r="H26" s="3460">
        <v>486596</v>
      </c>
      <c r="I26" s="3460">
        <v>3.51</v>
      </c>
      <c r="J26" s="3460" t="s">
        <v>3554</v>
      </c>
      <c r="K26" s="3460" t="s">
        <v>3592</v>
      </c>
      <c r="L26" s="3460" t="s">
        <v>3440</v>
      </c>
      <c r="M26" s="3462">
        <v>43409.000497685185</v>
      </c>
      <c r="N26" s="3460" t="s">
        <v>3593</v>
      </c>
      <c r="O26" s="3460" t="s">
        <v>3594</v>
      </c>
      <c r="P26" s="3460">
        <v>866300</v>
      </c>
      <c r="Q26" s="3460">
        <v>4162.51</v>
      </c>
      <c r="R26" s="3460">
        <v>17803</v>
      </c>
      <c r="S26" s="3460">
        <v>0</v>
      </c>
      <c r="T26" s="3460" t="s">
        <v>3455</v>
      </c>
    </row>
    <row r="27" spans="1:20" s="3465" customFormat="1">
      <c r="A27" s="3463" t="s">
        <v>3595</v>
      </c>
      <c r="B27" s="3463" t="s">
        <v>3596</v>
      </c>
      <c r="C27" s="3463" t="s">
        <v>3486</v>
      </c>
      <c r="D27" s="3463" t="s">
        <v>3436</v>
      </c>
      <c r="E27" s="3463" t="s">
        <v>3597</v>
      </c>
      <c r="F27" s="3463" t="s">
        <v>3438</v>
      </c>
      <c r="G27" s="3463">
        <v>59747.77</v>
      </c>
      <c r="H27" s="3463">
        <v>89622</v>
      </c>
      <c r="I27" s="3463">
        <v>1.5</v>
      </c>
      <c r="J27" s="3463" t="s">
        <v>3598</v>
      </c>
      <c r="K27" s="3463" t="s">
        <v>3599</v>
      </c>
      <c r="L27" s="3463" t="s">
        <v>3440</v>
      </c>
      <c r="M27" s="3464">
        <v>43109.000497685185</v>
      </c>
      <c r="N27" s="3463" t="s">
        <v>3600</v>
      </c>
      <c r="O27" s="3463" t="s">
        <v>3601</v>
      </c>
      <c r="P27" s="3463">
        <v>146800</v>
      </c>
      <c r="Q27" s="3463">
        <v>1638</v>
      </c>
      <c r="R27" s="3463">
        <v>16380</v>
      </c>
      <c r="S27" s="3463">
        <v>0</v>
      </c>
      <c r="T27" s="3463" t="s">
        <v>3602</v>
      </c>
    </row>
    <row r="28" spans="1:20" s="3465" customFormat="1">
      <c r="A28" s="3463" t="s">
        <v>3603</v>
      </c>
      <c r="B28" s="3463" t="s">
        <v>3604</v>
      </c>
      <c r="C28" s="3463" t="s">
        <v>3486</v>
      </c>
      <c r="D28" s="3463" t="s">
        <v>3436</v>
      </c>
      <c r="E28" s="3463" t="s">
        <v>3597</v>
      </c>
      <c r="F28" s="3463" t="s">
        <v>3438</v>
      </c>
      <c r="G28" s="3463">
        <v>31420.65</v>
      </c>
      <c r="H28" s="3463">
        <v>65983</v>
      </c>
      <c r="I28" s="3463">
        <v>2.1</v>
      </c>
      <c r="J28" s="3463" t="s">
        <v>3598</v>
      </c>
      <c r="K28" s="3463" t="s">
        <v>3605</v>
      </c>
      <c r="L28" s="3463" t="s">
        <v>3606</v>
      </c>
      <c r="M28" s="3464">
        <v>43109.000497685185</v>
      </c>
      <c r="N28" s="3463" t="s">
        <v>3607</v>
      </c>
      <c r="O28" s="3463" t="s">
        <v>3608</v>
      </c>
      <c r="P28" s="3463">
        <v>108100</v>
      </c>
      <c r="Q28" s="3463">
        <v>2293.61</v>
      </c>
      <c r="R28" s="3463">
        <v>16383</v>
      </c>
      <c r="S28" s="3463">
        <v>0</v>
      </c>
      <c r="T28" s="3463" t="s">
        <v>3602</v>
      </c>
    </row>
    <row r="29" spans="1:20" hidden="1">
      <c r="A29" s="3460" t="s">
        <v>3609</v>
      </c>
      <c r="B29" s="3460" t="s">
        <v>3610</v>
      </c>
      <c r="C29" s="3460" t="s">
        <v>3435</v>
      </c>
      <c r="D29" s="3460" t="s">
        <v>3521</v>
      </c>
      <c r="E29" s="3460" t="s">
        <v>3522</v>
      </c>
      <c r="F29" s="3460" t="s">
        <v>3438</v>
      </c>
      <c r="G29" s="3460">
        <v>15240.2</v>
      </c>
      <c r="H29" s="3460">
        <v>86800</v>
      </c>
      <c r="I29" s="3460">
        <v>5.7</v>
      </c>
      <c r="J29" s="3460" t="s">
        <v>3489</v>
      </c>
      <c r="K29" s="3460" t="s">
        <v>3440</v>
      </c>
      <c r="L29" s="3460" t="s">
        <v>3440</v>
      </c>
      <c r="M29" s="3462">
        <v>43055.000497685185</v>
      </c>
      <c r="N29" s="3460" t="s">
        <v>3611</v>
      </c>
      <c r="O29" s="3460" t="s">
        <v>3440</v>
      </c>
      <c r="P29" s="3460">
        <v>242500</v>
      </c>
      <c r="Q29" s="3460">
        <v>10607.91</v>
      </c>
      <c r="R29" s="3460">
        <v>27938</v>
      </c>
      <c r="S29" s="3460">
        <v>2.11</v>
      </c>
      <c r="T29" s="3460" t="s">
        <v>3455</v>
      </c>
    </row>
    <row r="30" spans="1:20" hidden="1">
      <c r="A30" s="3460" t="s">
        <v>3612</v>
      </c>
      <c r="B30" s="3460" t="s">
        <v>3613</v>
      </c>
      <c r="C30" s="3460" t="s">
        <v>3486</v>
      </c>
      <c r="D30" s="3460" t="s">
        <v>3614</v>
      </c>
      <c r="E30" s="3460" t="s">
        <v>3615</v>
      </c>
      <c r="F30" s="3460" t="s">
        <v>3438</v>
      </c>
      <c r="G30" s="3460">
        <v>16863.939999999999</v>
      </c>
      <c r="H30" s="3460">
        <v>87923.61</v>
      </c>
      <c r="I30" s="3460">
        <v>5.21</v>
      </c>
      <c r="J30" s="3460" t="s">
        <v>3489</v>
      </c>
      <c r="K30" s="3460" t="s">
        <v>3616</v>
      </c>
      <c r="L30" s="3460" t="s">
        <v>3440</v>
      </c>
      <c r="M30" s="3462">
        <v>43053.000497685185</v>
      </c>
      <c r="N30" s="3460" t="s">
        <v>3617</v>
      </c>
      <c r="O30" s="3460" t="s">
        <v>3440</v>
      </c>
      <c r="P30" s="3460">
        <v>211000</v>
      </c>
      <c r="Q30" s="3460">
        <v>8341.27</v>
      </c>
      <c r="R30" s="3460">
        <v>23998</v>
      </c>
      <c r="S30" s="3460">
        <v>0</v>
      </c>
      <c r="T30" s="3460" t="s">
        <v>3455</v>
      </c>
    </row>
    <row r="31" spans="1:20">
      <c r="A31" s="3460" t="s">
        <v>3618</v>
      </c>
      <c r="B31" s="3460" t="s">
        <v>3619</v>
      </c>
      <c r="C31" s="3460" t="s">
        <v>3449</v>
      </c>
      <c r="D31" s="3460" t="s">
        <v>3620</v>
      </c>
      <c r="E31" s="3460" t="s">
        <v>3621</v>
      </c>
      <c r="F31" s="3460" t="s">
        <v>3438</v>
      </c>
      <c r="G31" s="3460">
        <v>35230.230000000003</v>
      </c>
      <c r="H31" s="3460">
        <v>88076</v>
      </c>
      <c r="I31" s="3460">
        <v>2.5</v>
      </c>
      <c r="J31" s="3460" t="s">
        <v>3439</v>
      </c>
      <c r="K31" s="3460" t="s">
        <v>3440</v>
      </c>
      <c r="L31" s="3460" t="s">
        <v>3440</v>
      </c>
      <c r="M31" s="3462">
        <v>42867.000497685185</v>
      </c>
      <c r="N31" s="3460" t="s">
        <v>3622</v>
      </c>
      <c r="O31" s="3460" t="s">
        <v>3440</v>
      </c>
      <c r="P31" s="3460">
        <v>62000</v>
      </c>
      <c r="Q31" s="3460">
        <v>1173.23</v>
      </c>
      <c r="R31" s="3460">
        <v>7039</v>
      </c>
      <c r="S31" s="3460">
        <v>0</v>
      </c>
      <c r="T31" s="3460" t="s">
        <v>3443</v>
      </c>
    </row>
    <row r="32" spans="1:20">
      <c r="A32" s="3460" t="s">
        <v>3623</v>
      </c>
      <c r="B32" s="3460" t="s">
        <v>3624</v>
      </c>
      <c r="C32" s="3460" t="s">
        <v>3625</v>
      </c>
      <c r="D32" s="3460" t="s">
        <v>3626</v>
      </c>
      <c r="E32" s="3460" t="s">
        <v>3627</v>
      </c>
      <c r="F32" s="3460" t="s">
        <v>3438</v>
      </c>
      <c r="G32" s="3460">
        <v>170200.2</v>
      </c>
      <c r="H32" s="3460">
        <v>255301</v>
      </c>
      <c r="I32" s="3460">
        <v>1.5</v>
      </c>
      <c r="J32" s="3460" t="s">
        <v>3439</v>
      </c>
      <c r="K32" s="3460" t="s">
        <v>3440</v>
      </c>
      <c r="L32" s="3460" t="s">
        <v>3440</v>
      </c>
      <c r="M32" s="3462">
        <v>42860.000497685185</v>
      </c>
      <c r="N32" s="3460" t="s">
        <v>3628</v>
      </c>
      <c r="O32" s="3460" t="s">
        <v>3629</v>
      </c>
      <c r="P32" s="3460">
        <v>259500</v>
      </c>
      <c r="Q32" s="3460">
        <v>1016.45</v>
      </c>
      <c r="R32" s="3460">
        <v>10164</v>
      </c>
      <c r="S32" s="3460">
        <v>1.76</v>
      </c>
      <c r="T32" s="3460" t="s">
        <v>3443</v>
      </c>
    </row>
    <row r="33" spans="1:20" hidden="1">
      <c r="A33" s="3460" t="s">
        <v>3630</v>
      </c>
      <c r="B33" s="3460" t="s">
        <v>3631</v>
      </c>
      <c r="C33" s="3460" t="s">
        <v>3529</v>
      </c>
      <c r="D33" s="3460" t="s">
        <v>3632</v>
      </c>
      <c r="E33" s="3460" t="s">
        <v>3633</v>
      </c>
      <c r="F33" s="3460" t="s">
        <v>3438</v>
      </c>
      <c r="G33" s="3460">
        <v>92055.95</v>
      </c>
      <c r="H33" s="3460">
        <v>92056</v>
      </c>
      <c r="I33" s="3460">
        <v>1</v>
      </c>
      <c r="J33" s="3460" t="s">
        <v>3489</v>
      </c>
      <c r="K33" s="3460">
        <v>12</v>
      </c>
      <c r="L33" s="3460" t="s">
        <v>3440</v>
      </c>
      <c r="M33" s="3462">
        <v>42836.000497685185</v>
      </c>
      <c r="N33" s="3460" t="s">
        <v>3634</v>
      </c>
      <c r="O33" s="3460" t="s">
        <v>3635</v>
      </c>
      <c r="P33" s="3460">
        <v>285373.59999999998</v>
      </c>
      <c r="Q33" s="3460">
        <v>2066.67</v>
      </c>
      <c r="R33" s="3460">
        <v>31000</v>
      </c>
      <c r="S33" s="3460">
        <v>0</v>
      </c>
      <c r="T33" s="3460" t="s">
        <v>3489</v>
      </c>
    </row>
    <row r="34" spans="1:20" hidden="1">
      <c r="A34" s="3460" t="s">
        <v>3636</v>
      </c>
      <c r="B34" s="3460" t="s">
        <v>3637</v>
      </c>
      <c r="C34" s="3460" t="s">
        <v>3529</v>
      </c>
      <c r="D34" s="3460" t="s">
        <v>3638</v>
      </c>
      <c r="E34" s="3460" t="s">
        <v>3639</v>
      </c>
      <c r="F34" s="3460" t="s">
        <v>3438</v>
      </c>
      <c r="G34" s="3460">
        <v>39744.120000000003</v>
      </c>
      <c r="H34" s="3460">
        <v>119232</v>
      </c>
      <c r="I34" s="3460">
        <v>3</v>
      </c>
      <c r="J34" s="3460" t="s">
        <v>3515</v>
      </c>
      <c r="K34" s="3460" t="s">
        <v>3640</v>
      </c>
      <c r="L34" s="3460" t="s">
        <v>3440</v>
      </c>
      <c r="M34" s="3462">
        <v>42839.000497685185</v>
      </c>
      <c r="N34" s="3460" t="s">
        <v>3641</v>
      </c>
      <c r="O34" s="3460" t="s">
        <v>3642</v>
      </c>
      <c r="P34" s="3460">
        <v>292000</v>
      </c>
      <c r="Q34" s="3460">
        <v>4898</v>
      </c>
      <c r="R34" s="3460">
        <v>24490</v>
      </c>
      <c r="S34" s="3460">
        <v>28.63</v>
      </c>
      <c r="T34" s="3460" t="s">
        <v>3503</v>
      </c>
    </row>
    <row r="35" spans="1:20">
      <c r="A35" s="3460" t="s">
        <v>3643</v>
      </c>
      <c r="B35" s="3460" t="s">
        <v>3644</v>
      </c>
      <c r="C35" s="3460" t="s">
        <v>3529</v>
      </c>
      <c r="D35" s="3460" t="s">
        <v>3638</v>
      </c>
      <c r="E35" s="3460" t="s">
        <v>3645</v>
      </c>
      <c r="F35" s="3460" t="s">
        <v>3438</v>
      </c>
      <c r="G35" s="3460">
        <v>46165.91</v>
      </c>
      <c r="H35" s="3460">
        <v>92332</v>
      </c>
      <c r="I35" s="3460">
        <v>2</v>
      </c>
      <c r="J35" s="3460" t="s">
        <v>3439</v>
      </c>
      <c r="K35" s="3460" t="s">
        <v>3440</v>
      </c>
      <c r="L35" s="3460" t="s">
        <v>3440</v>
      </c>
      <c r="M35" s="3462">
        <v>42824.000497685185</v>
      </c>
      <c r="N35" s="3460" t="s">
        <v>3646</v>
      </c>
      <c r="O35" s="3460" t="s">
        <v>3647</v>
      </c>
      <c r="P35" s="3460">
        <v>225000</v>
      </c>
      <c r="Q35" s="3460">
        <v>3249.15</v>
      </c>
      <c r="R35" s="3460">
        <v>24369</v>
      </c>
      <c r="S35" s="3460">
        <v>27.84</v>
      </c>
      <c r="T35" s="3460" t="s">
        <v>3455</v>
      </c>
    </row>
    <row r="36" spans="1:20">
      <c r="A36" s="3460" t="s">
        <v>3648</v>
      </c>
      <c r="B36" s="3460" t="s">
        <v>3649</v>
      </c>
      <c r="C36" s="3460" t="s">
        <v>3529</v>
      </c>
      <c r="D36" s="3460" t="s">
        <v>3638</v>
      </c>
      <c r="E36" s="3460" t="s">
        <v>3645</v>
      </c>
      <c r="F36" s="3460" t="s">
        <v>3438</v>
      </c>
      <c r="G36" s="3460">
        <v>38100</v>
      </c>
      <c r="H36" s="3460">
        <v>76200</v>
      </c>
      <c r="I36" s="3460">
        <v>2</v>
      </c>
      <c r="J36" s="3460" t="s">
        <v>3439</v>
      </c>
      <c r="K36" s="3460" t="s">
        <v>3440</v>
      </c>
      <c r="L36" s="3460" t="s">
        <v>3440</v>
      </c>
      <c r="M36" s="3462">
        <v>42824.000497685185</v>
      </c>
      <c r="N36" s="3460" t="s">
        <v>3650</v>
      </c>
      <c r="O36" s="3460" t="s">
        <v>3651</v>
      </c>
      <c r="P36" s="3460">
        <v>204000</v>
      </c>
      <c r="Q36" s="3460">
        <v>3569.55</v>
      </c>
      <c r="R36" s="3460">
        <v>26772</v>
      </c>
      <c r="S36" s="3460">
        <v>40.69</v>
      </c>
      <c r="T36" s="3460" t="s">
        <v>3455</v>
      </c>
    </row>
    <row r="37" spans="1:20">
      <c r="A37" s="3460" t="s">
        <v>3652</v>
      </c>
      <c r="B37" s="3460" t="s">
        <v>3653</v>
      </c>
      <c r="C37" s="3460" t="s">
        <v>3486</v>
      </c>
      <c r="D37" s="3460" t="s">
        <v>3436</v>
      </c>
      <c r="E37" s="3460" t="s">
        <v>3654</v>
      </c>
      <c r="F37" s="3460" t="s">
        <v>3438</v>
      </c>
      <c r="G37" s="3460">
        <v>69848.44</v>
      </c>
      <c r="H37" s="3460">
        <v>146863</v>
      </c>
      <c r="I37" s="3460">
        <v>2.1</v>
      </c>
      <c r="J37" s="3460" t="s">
        <v>3598</v>
      </c>
      <c r="K37" s="3460" t="s">
        <v>3440</v>
      </c>
      <c r="L37" s="3460" t="s">
        <v>3440</v>
      </c>
      <c r="M37" s="3462">
        <v>42711.000497685185</v>
      </c>
      <c r="N37" s="3460" t="s">
        <v>3655</v>
      </c>
      <c r="O37" s="3460" t="s">
        <v>3440</v>
      </c>
      <c r="P37" s="3460">
        <v>220000</v>
      </c>
      <c r="Q37" s="3460">
        <v>2099.7800000000002</v>
      </c>
      <c r="R37" s="3460">
        <v>14980</v>
      </c>
      <c r="S37" s="3460">
        <v>0</v>
      </c>
      <c r="T37" s="3460" t="s">
        <v>3602</v>
      </c>
    </row>
    <row r="38" spans="1:20">
      <c r="A38" s="3460" t="s">
        <v>3656</v>
      </c>
      <c r="B38" s="3460" t="s">
        <v>3657</v>
      </c>
      <c r="C38" s="3460" t="s">
        <v>3486</v>
      </c>
      <c r="D38" s="3460" t="s">
        <v>3436</v>
      </c>
      <c r="E38" s="3460" t="s">
        <v>3654</v>
      </c>
      <c r="F38" s="3460" t="s">
        <v>3438</v>
      </c>
      <c r="G38" s="3460">
        <v>66079.679999999993</v>
      </c>
      <c r="H38" s="3460">
        <v>111429</v>
      </c>
      <c r="I38" s="3460">
        <v>1.69</v>
      </c>
      <c r="J38" s="3460" t="s">
        <v>3598</v>
      </c>
      <c r="K38" s="3460" t="s">
        <v>3440</v>
      </c>
      <c r="L38" s="3460" t="s">
        <v>3440</v>
      </c>
      <c r="M38" s="3462">
        <v>42711.000497685185</v>
      </c>
      <c r="N38" s="3460" t="s">
        <v>3607</v>
      </c>
      <c r="O38" s="3460" t="s">
        <v>3440</v>
      </c>
      <c r="P38" s="3460">
        <v>135000</v>
      </c>
      <c r="Q38" s="3460">
        <v>1361.99</v>
      </c>
      <c r="R38" s="3460">
        <v>12115</v>
      </c>
      <c r="S38" s="3460">
        <v>0</v>
      </c>
      <c r="T38" s="3460" t="s">
        <v>3602</v>
      </c>
    </row>
    <row r="39" spans="1:20">
      <c r="A39" s="3460" t="s">
        <v>3658</v>
      </c>
      <c r="B39" s="3460" t="s">
        <v>3659</v>
      </c>
      <c r="C39" s="3460" t="s">
        <v>3449</v>
      </c>
      <c r="D39" s="3460" t="s">
        <v>3461</v>
      </c>
      <c r="E39" s="3460" t="s">
        <v>3660</v>
      </c>
      <c r="F39" s="3460" t="s">
        <v>3438</v>
      </c>
      <c r="G39" s="3460">
        <v>2070793</v>
      </c>
      <c r="H39" s="3460">
        <v>1642730</v>
      </c>
      <c r="I39" s="3460">
        <v>0.79</v>
      </c>
      <c r="J39" s="3460" t="s">
        <v>3661</v>
      </c>
      <c r="K39" s="3460" t="s">
        <v>3440</v>
      </c>
      <c r="L39" s="3460" t="s">
        <v>3440</v>
      </c>
      <c r="M39" s="3462">
        <v>42558.000497685185</v>
      </c>
      <c r="N39" s="3460" t="s">
        <v>3662</v>
      </c>
      <c r="O39" s="3460" t="s">
        <v>3465</v>
      </c>
      <c r="P39" s="3460">
        <v>870000</v>
      </c>
      <c r="Q39" s="3460">
        <v>280.08999999999997</v>
      </c>
      <c r="R39" s="3460">
        <v>5296</v>
      </c>
      <c r="S39" s="3460">
        <v>0</v>
      </c>
      <c r="T39" s="3460" t="s">
        <v>3455</v>
      </c>
    </row>
    <row r="40" spans="1:20">
      <c r="A40" s="3460" t="s">
        <v>3663</v>
      </c>
      <c r="B40" s="3460" t="s">
        <v>3664</v>
      </c>
      <c r="C40" s="3460" t="s">
        <v>3435</v>
      </c>
      <c r="D40" s="3460" t="s">
        <v>3436</v>
      </c>
      <c r="E40" s="3460" t="s">
        <v>3665</v>
      </c>
      <c r="F40" s="3460" t="s">
        <v>3438</v>
      </c>
      <c r="G40" s="3460">
        <v>13326.99</v>
      </c>
      <c r="H40" s="3460">
        <v>46644</v>
      </c>
      <c r="I40" s="3460">
        <v>3.5</v>
      </c>
      <c r="J40" s="3460" t="s">
        <v>3499</v>
      </c>
      <c r="K40" s="3460" t="s">
        <v>3440</v>
      </c>
      <c r="L40" s="3460" t="s">
        <v>3440</v>
      </c>
      <c r="M40" s="3462">
        <v>42523.000497685185</v>
      </c>
      <c r="N40" s="3460" t="s">
        <v>3666</v>
      </c>
      <c r="O40" s="3460" t="s">
        <v>3667</v>
      </c>
      <c r="P40" s="3460">
        <v>141000</v>
      </c>
      <c r="Q40" s="3460">
        <v>7053.36</v>
      </c>
      <c r="R40" s="3460">
        <v>30229</v>
      </c>
      <c r="S40" s="3460">
        <v>107.35</v>
      </c>
      <c r="T40" s="3460" t="s">
        <v>3455</v>
      </c>
    </row>
    <row r="41" spans="1:20">
      <c r="A41" s="3460" t="s">
        <v>3668</v>
      </c>
      <c r="B41" s="3460" t="s">
        <v>3669</v>
      </c>
      <c r="C41" s="3460" t="s">
        <v>3529</v>
      </c>
      <c r="D41" s="3460" t="s">
        <v>3670</v>
      </c>
      <c r="E41" s="3460" t="s">
        <v>3671</v>
      </c>
      <c r="F41" s="3460" t="s">
        <v>3438</v>
      </c>
      <c r="G41" s="3460">
        <v>18313.7</v>
      </c>
      <c r="H41" s="3460">
        <v>119400</v>
      </c>
      <c r="I41" s="3460">
        <v>6.52</v>
      </c>
      <c r="J41" s="3460" t="s">
        <v>3489</v>
      </c>
      <c r="K41" s="3460" t="s">
        <v>3440</v>
      </c>
      <c r="L41" s="3460" t="s">
        <v>3440</v>
      </c>
      <c r="M41" s="3462">
        <v>42395.000497685185</v>
      </c>
      <c r="N41" s="3460" t="s">
        <v>3672</v>
      </c>
      <c r="O41" s="3460" t="s">
        <v>3635</v>
      </c>
      <c r="P41" s="3460">
        <v>415000</v>
      </c>
      <c r="Q41" s="3460">
        <v>15107.09</v>
      </c>
      <c r="R41" s="3460">
        <v>34757</v>
      </c>
      <c r="S41" s="3460">
        <v>0</v>
      </c>
      <c r="T41" s="3460" t="s">
        <v>3455</v>
      </c>
    </row>
    <row r="42" spans="1:20">
      <c r="A42" s="3460" t="s">
        <v>3673</v>
      </c>
      <c r="B42" s="3460" t="s">
        <v>3674</v>
      </c>
      <c r="C42" s="3460" t="s">
        <v>3625</v>
      </c>
      <c r="D42" s="3460" t="s">
        <v>3675</v>
      </c>
      <c r="E42" s="3460" t="s">
        <v>3676</v>
      </c>
      <c r="F42" s="3460" t="s">
        <v>3438</v>
      </c>
      <c r="G42" s="3460">
        <v>49477.2</v>
      </c>
      <c r="H42" s="3460">
        <v>123693</v>
      </c>
      <c r="I42" s="3460">
        <v>2.5</v>
      </c>
      <c r="J42" s="3460" t="s">
        <v>3439</v>
      </c>
      <c r="K42" s="3460" t="s">
        <v>3440</v>
      </c>
      <c r="L42" s="3460" t="s">
        <v>3440</v>
      </c>
      <c r="M42" s="3462">
        <v>42396.000497685185</v>
      </c>
      <c r="N42" s="3460" t="s">
        <v>3677</v>
      </c>
      <c r="O42" s="3460" t="s">
        <v>3678</v>
      </c>
      <c r="P42" s="3460">
        <v>187500</v>
      </c>
      <c r="Q42" s="3460">
        <v>2526.42</v>
      </c>
      <c r="R42" s="3460">
        <v>15159</v>
      </c>
      <c r="S42" s="3460">
        <v>152.36000000000001</v>
      </c>
      <c r="T42" s="3460" t="s">
        <v>3455</v>
      </c>
    </row>
    <row r="43" spans="1:20">
      <c r="A43" s="3460" t="s">
        <v>3679</v>
      </c>
      <c r="B43" s="3460" t="s">
        <v>3680</v>
      </c>
      <c r="C43" s="3460" t="s">
        <v>3486</v>
      </c>
      <c r="D43" s="3460" t="s">
        <v>3487</v>
      </c>
      <c r="E43" s="3460" t="s">
        <v>3681</v>
      </c>
      <c r="F43" s="3460" t="s">
        <v>3438</v>
      </c>
      <c r="G43" s="3460">
        <v>35244.94</v>
      </c>
      <c r="H43" s="3460">
        <v>123357</v>
      </c>
      <c r="I43" s="3460">
        <v>3.5</v>
      </c>
      <c r="J43" s="3460" t="s">
        <v>3489</v>
      </c>
      <c r="K43" s="3460" t="s">
        <v>3440</v>
      </c>
      <c r="L43" s="3460" t="s">
        <v>3440</v>
      </c>
      <c r="M43" s="3462">
        <v>42331.000497685185</v>
      </c>
      <c r="N43" s="3460" t="s">
        <v>3682</v>
      </c>
      <c r="O43" s="3460" t="s">
        <v>3683</v>
      </c>
      <c r="P43" s="3460">
        <v>354000</v>
      </c>
      <c r="Q43" s="3460">
        <v>6696</v>
      </c>
      <c r="R43" s="3460">
        <v>28697</v>
      </c>
      <c r="S43" s="3460">
        <v>121.25</v>
      </c>
      <c r="T43" s="3460" t="s">
        <v>3455</v>
      </c>
    </row>
    <row r="44" spans="1:20">
      <c r="A44" s="3460" t="s">
        <v>3684</v>
      </c>
      <c r="B44" s="3460" t="s">
        <v>3685</v>
      </c>
      <c r="C44" s="3460" t="s">
        <v>3538</v>
      </c>
      <c r="D44" s="3460" t="s">
        <v>3686</v>
      </c>
      <c r="E44" s="3460" t="s">
        <v>3687</v>
      </c>
      <c r="F44" s="3460" t="s">
        <v>3438</v>
      </c>
      <c r="G44" s="3460">
        <v>74500</v>
      </c>
      <c r="H44" s="3460">
        <v>475640</v>
      </c>
      <c r="I44" s="3460">
        <v>6.38</v>
      </c>
      <c r="J44" s="3460" t="s">
        <v>3489</v>
      </c>
      <c r="K44" s="3460" t="s">
        <v>3440</v>
      </c>
      <c r="L44" s="3460" t="s">
        <v>3440</v>
      </c>
      <c r="M44" s="3462">
        <v>42327.000497685185</v>
      </c>
      <c r="N44" s="3460" t="s">
        <v>3688</v>
      </c>
      <c r="O44" s="3460" t="s">
        <v>3689</v>
      </c>
      <c r="P44" s="3460">
        <v>420000</v>
      </c>
      <c r="Q44" s="3460">
        <v>3758.39</v>
      </c>
      <c r="R44" s="3460">
        <v>8830</v>
      </c>
      <c r="S44" s="3460">
        <v>0</v>
      </c>
      <c r="T44" s="3460" t="s">
        <v>3455</v>
      </c>
    </row>
    <row r="45" spans="1:20">
      <c r="A45" s="3460" t="s">
        <v>3690</v>
      </c>
      <c r="B45" s="3460" t="s">
        <v>3691</v>
      </c>
      <c r="C45" s="3460" t="s">
        <v>3435</v>
      </c>
      <c r="D45" s="3460" t="s">
        <v>3436</v>
      </c>
      <c r="E45" s="3460" t="s">
        <v>3692</v>
      </c>
      <c r="F45" s="3460" t="s">
        <v>3438</v>
      </c>
      <c r="G45" s="3460">
        <v>17629.740000000002</v>
      </c>
      <c r="H45" s="3460">
        <v>52889</v>
      </c>
      <c r="I45" s="3460">
        <v>3</v>
      </c>
      <c r="J45" s="3460" t="s">
        <v>3499</v>
      </c>
      <c r="K45" s="3460" t="s">
        <v>3440</v>
      </c>
      <c r="L45" s="3460" t="s">
        <v>3440</v>
      </c>
      <c r="M45" s="3462">
        <v>42305.000497685185</v>
      </c>
      <c r="N45" s="3460" t="s">
        <v>3693</v>
      </c>
      <c r="O45" s="3460" t="s">
        <v>3694</v>
      </c>
      <c r="P45" s="3460">
        <v>64200</v>
      </c>
      <c r="Q45" s="3460">
        <v>2427.7199999999998</v>
      </c>
      <c r="R45" s="3460">
        <v>12139</v>
      </c>
      <c r="S45" s="3460">
        <v>1.1000000000000001</v>
      </c>
      <c r="T45" s="3460" t="s">
        <v>3455</v>
      </c>
    </row>
    <row r="46" spans="1:20">
      <c r="A46" s="3460" t="s">
        <v>3695</v>
      </c>
      <c r="B46" s="3460" t="s">
        <v>3696</v>
      </c>
      <c r="C46" s="3460" t="s">
        <v>3435</v>
      </c>
      <c r="D46" s="3460" t="s">
        <v>3436</v>
      </c>
      <c r="E46" s="3460" t="s">
        <v>3692</v>
      </c>
      <c r="F46" s="3460" t="s">
        <v>3438</v>
      </c>
      <c r="G46" s="3460">
        <v>20680.23</v>
      </c>
      <c r="H46" s="3460">
        <v>62041</v>
      </c>
      <c r="I46" s="3460">
        <v>3</v>
      </c>
      <c r="J46" s="3460" t="s">
        <v>3697</v>
      </c>
      <c r="K46" s="3460" t="s">
        <v>3440</v>
      </c>
      <c r="L46" s="3460" t="s">
        <v>3440</v>
      </c>
      <c r="M46" s="3462">
        <v>42304.000497685185</v>
      </c>
      <c r="N46" s="3460" t="s">
        <v>3698</v>
      </c>
      <c r="O46" s="3460" t="s">
        <v>3694</v>
      </c>
      <c r="P46" s="3460">
        <v>81000</v>
      </c>
      <c r="Q46" s="3460">
        <v>2611.19</v>
      </c>
      <c r="R46" s="3460">
        <v>13056</v>
      </c>
      <c r="S46" s="3460">
        <v>8</v>
      </c>
      <c r="T46" s="3460" t="s">
        <v>3455</v>
      </c>
    </row>
    <row r="47" spans="1:20">
      <c r="A47" s="3460" t="s">
        <v>3699</v>
      </c>
      <c r="B47" s="3460" t="s">
        <v>3700</v>
      </c>
      <c r="C47" s="3460" t="s">
        <v>3486</v>
      </c>
      <c r="D47" s="3460" t="s">
        <v>3436</v>
      </c>
      <c r="E47" s="3460" t="s">
        <v>3701</v>
      </c>
      <c r="F47" s="3460" t="s">
        <v>3438</v>
      </c>
      <c r="G47" s="3460">
        <v>27377.24</v>
      </c>
      <c r="H47" s="3460">
        <v>62968</v>
      </c>
      <c r="I47" s="3460">
        <v>2.2999999999999998</v>
      </c>
      <c r="J47" s="3460" t="s">
        <v>3598</v>
      </c>
      <c r="K47" s="3460" t="s">
        <v>3440</v>
      </c>
      <c r="L47" s="3460" t="s">
        <v>3440</v>
      </c>
      <c r="M47" s="3462">
        <v>42304.000497685185</v>
      </c>
      <c r="N47" s="3460" t="s">
        <v>3655</v>
      </c>
      <c r="O47" s="3460" t="s">
        <v>3440</v>
      </c>
      <c r="P47" s="3460">
        <v>65000</v>
      </c>
      <c r="Q47" s="3460">
        <v>1582.82</v>
      </c>
      <c r="R47" s="3460">
        <v>10323</v>
      </c>
      <c r="S47" s="3460">
        <v>0</v>
      </c>
      <c r="T47" s="3460" t="s">
        <v>3602</v>
      </c>
    </row>
    <row r="48" spans="1:20">
      <c r="A48" s="3460" t="s">
        <v>3702</v>
      </c>
      <c r="B48" s="3460" t="s">
        <v>3703</v>
      </c>
      <c r="C48" s="3460" t="s">
        <v>3529</v>
      </c>
      <c r="D48" s="3460" t="s">
        <v>3704</v>
      </c>
      <c r="E48" s="3460" t="s">
        <v>3705</v>
      </c>
      <c r="F48" s="3460" t="s">
        <v>3438</v>
      </c>
      <c r="G48" s="3460">
        <v>166012.29999999999</v>
      </c>
      <c r="H48" s="3460">
        <v>332025</v>
      </c>
      <c r="I48" s="3460">
        <v>2</v>
      </c>
      <c r="J48" s="3460" t="s">
        <v>3515</v>
      </c>
      <c r="K48" s="3460" t="s">
        <v>3440</v>
      </c>
      <c r="L48" s="3460" t="s">
        <v>3440</v>
      </c>
      <c r="M48" s="3462">
        <v>42258.000497685185</v>
      </c>
      <c r="N48" s="3460" t="s">
        <v>3706</v>
      </c>
      <c r="O48" s="3460" t="s">
        <v>3440</v>
      </c>
      <c r="P48" s="3460">
        <v>240045</v>
      </c>
      <c r="Q48" s="3460">
        <v>963.96</v>
      </c>
      <c r="R48" s="3460">
        <v>7230</v>
      </c>
      <c r="S48" s="3460">
        <v>0</v>
      </c>
      <c r="T48" s="3460" t="s">
        <v>3455</v>
      </c>
    </row>
    <row r="49" spans="1:20">
      <c r="A49" s="3460" t="s">
        <v>3707</v>
      </c>
      <c r="B49" s="3460" t="s">
        <v>3708</v>
      </c>
      <c r="C49" s="3460" t="s">
        <v>3449</v>
      </c>
      <c r="D49" s="3460" t="s">
        <v>3709</v>
      </c>
      <c r="E49" s="3460" t="s">
        <v>3710</v>
      </c>
      <c r="F49" s="3460" t="s">
        <v>3438</v>
      </c>
      <c r="G49" s="3460">
        <v>65873.39</v>
      </c>
      <c r="H49" s="3460">
        <v>164683</v>
      </c>
      <c r="I49" s="3460">
        <v>2.5</v>
      </c>
      <c r="J49" s="3460" t="s">
        <v>3711</v>
      </c>
      <c r="K49" s="3460" t="s">
        <v>3440</v>
      </c>
      <c r="L49" s="3460" t="s">
        <v>3440</v>
      </c>
      <c r="M49" s="3462">
        <v>42087.000497685185</v>
      </c>
      <c r="N49" s="3460" t="s">
        <v>3712</v>
      </c>
      <c r="O49" s="3460" t="s">
        <v>3440</v>
      </c>
      <c r="P49" s="3460">
        <v>108000</v>
      </c>
      <c r="Q49" s="3460">
        <v>1093.01</v>
      </c>
      <c r="R49" s="3460">
        <v>6558</v>
      </c>
      <c r="S49" s="3460">
        <v>38.46</v>
      </c>
      <c r="T49" s="3460" t="s">
        <v>3713</v>
      </c>
    </row>
    <row r="50" spans="1:20">
      <c r="A50" s="3460" t="s">
        <v>3714</v>
      </c>
      <c r="B50" s="3460" t="s">
        <v>3715</v>
      </c>
      <c r="C50" s="3460" t="s">
        <v>3625</v>
      </c>
      <c r="D50" s="3460" t="s">
        <v>3716</v>
      </c>
      <c r="E50" s="3460" t="s">
        <v>3717</v>
      </c>
      <c r="F50" s="3460" t="s">
        <v>3438</v>
      </c>
      <c r="G50" s="3460">
        <v>17277.400000000001</v>
      </c>
      <c r="H50" s="3460">
        <v>34555</v>
      </c>
      <c r="I50" s="3460">
        <v>2</v>
      </c>
      <c r="J50" s="3460" t="s">
        <v>3439</v>
      </c>
      <c r="K50" s="3460" t="s">
        <v>3440</v>
      </c>
      <c r="L50" s="3460" t="s">
        <v>3440</v>
      </c>
      <c r="M50" s="3462">
        <v>42047.000497685185</v>
      </c>
      <c r="N50" s="3460" t="s">
        <v>3718</v>
      </c>
      <c r="O50" s="3460" t="s">
        <v>3719</v>
      </c>
      <c r="P50" s="3460">
        <v>22000</v>
      </c>
      <c r="Q50" s="3460">
        <v>848.89</v>
      </c>
      <c r="R50" s="3460">
        <v>6367</v>
      </c>
      <c r="S50" s="3460">
        <v>0</v>
      </c>
      <c r="T50" s="3460" t="s">
        <v>3713</v>
      </c>
    </row>
    <row r="51" spans="1:20">
      <c r="A51" s="3460" t="s">
        <v>3720</v>
      </c>
      <c r="B51" s="3460" t="s">
        <v>3721</v>
      </c>
      <c r="C51" s="3460" t="s">
        <v>3625</v>
      </c>
      <c r="D51" s="3460" t="s">
        <v>3722</v>
      </c>
      <c r="E51" s="3460" t="s">
        <v>3723</v>
      </c>
      <c r="F51" s="3460" t="s">
        <v>3438</v>
      </c>
      <c r="G51" s="3460">
        <v>88702.37</v>
      </c>
      <c r="H51" s="3460">
        <v>206707</v>
      </c>
      <c r="I51" s="3460">
        <v>2.33</v>
      </c>
      <c r="J51" s="3460" t="s">
        <v>3724</v>
      </c>
      <c r="K51" s="3460" t="s">
        <v>3440</v>
      </c>
      <c r="L51" s="3460" t="s">
        <v>3440</v>
      </c>
      <c r="M51" s="3462">
        <v>42047.000497685185</v>
      </c>
      <c r="N51" s="3460" t="s">
        <v>3725</v>
      </c>
      <c r="O51" s="3460" t="s">
        <v>3726</v>
      </c>
      <c r="P51" s="3460">
        <v>138000</v>
      </c>
      <c r="Q51" s="3460">
        <v>1037.18</v>
      </c>
      <c r="R51" s="3460">
        <v>6676</v>
      </c>
      <c r="S51" s="3460">
        <v>2.6</v>
      </c>
      <c r="T51" s="3460" t="s">
        <v>3713</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15">
      <c r="A4" s="1504" t="str">
        <f>项目基本情况!S2</f>
        <v>北京市房地产</v>
      </c>
      <c r="B4" s="854">
        <f>项目基本情况!C17</f>
        <v>131855.63</v>
      </c>
      <c r="C4" s="854">
        <f>项目基本情况!C18</f>
        <v>41486.36</v>
      </c>
      <c r="D4" s="854">
        <f ca="1">结果表!D118</f>
        <v>161233</v>
      </c>
      <c r="E4" s="854">
        <f ca="1">结果表!E118</f>
        <v>12228</v>
      </c>
      <c r="F4" s="854">
        <f ca="1">结果表!F118</f>
        <v>59937</v>
      </c>
      <c r="G4" s="854">
        <f ca="1">结果表!G118</f>
        <v>4546</v>
      </c>
      <c r="H4" s="854">
        <f ca="1">结果表!H118</f>
        <v>221170</v>
      </c>
      <c r="I4" s="854">
        <f ca="1">结果表!I118</f>
        <v>16774</v>
      </c>
    </row>
    <row r="5" spans="1:9" ht="30" customHeight="1">
      <c r="A5" s="3483" t="s">
        <v>927</v>
      </c>
      <c r="B5" s="3483"/>
      <c r="C5" s="3483"/>
      <c r="D5" s="3483" t="str">
        <f ca="1">结果表!D119</f>
        <v>壹拾陆亿壹仟贰佰叁拾叁万元整</v>
      </c>
      <c r="E5" s="3483"/>
      <c r="F5" s="3483" t="str">
        <f ca="1">结果表!F119</f>
        <v>伍亿玖仟玖佰叁拾柒万元整</v>
      </c>
      <c r="G5" s="3483"/>
      <c r="H5" s="3483" t="str">
        <f ca="1">结果表!H119</f>
        <v>贰拾贰亿壹仟壹佰柒拾万元整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221170</v>
      </c>
      <c r="E8" s="3482"/>
      <c r="F8" s="3482"/>
      <c r="G8" s="3482"/>
      <c r="H8" s="3482"/>
      <c r="I8" s="3482"/>
    </row>
    <row r="9" spans="1:9" ht="15">
      <c r="A9" s="3483" t="s">
        <v>927</v>
      </c>
      <c r="B9" s="3483"/>
      <c r="C9" s="3483"/>
      <c r="D9" s="3483" t="str">
        <f ca="1">结果表!D123</f>
        <v>贰拾贰亿壹仟壹佰柒拾万元整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44929</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f ca="1">IF(C14&lt;B2,"已过期",1119980106)</f>
        <v>1119980106</v>
      </c>
      <c r="C14" s="2349">
        <v>44969</v>
      </c>
      <c r="D14" s="2345" t="str">
        <f t="shared" ca="1" si="0"/>
        <v>刘俊财（注册号：1119980106）</v>
      </c>
      <c r="E14" s="2346" t="s">
        <v>2156</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2158</v>
      </c>
      <c r="B17" s="3506"/>
      <c r="C17" s="3506"/>
      <c r="D17" s="3506"/>
      <c r="E17" s="3506"/>
      <c r="F17" s="3506"/>
      <c r="G17" s="3506"/>
      <c r="H17" s="3506"/>
    </row>
    <row r="18" spans="1:8" ht="24" customHeight="1">
      <c r="A18" s="3507" t="s">
        <v>2159</v>
      </c>
      <c r="B18" s="3507"/>
      <c r="C18" s="3507"/>
      <c r="D18" s="2342"/>
      <c r="E18" s="3508" t="s">
        <v>2160</v>
      </c>
      <c r="F18" s="3507"/>
      <c r="G18" s="350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2023-01-03T05:40:17Z</dcterms:modified>
</cp:coreProperties>
</file>